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Finance\Session\Session 2022\Tier Model\Model options\Presentations\Mash Ups\"/>
    </mc:Choice>
  </mc:AlternateContent>
  <bookViews>
    <workbookView xWindow="14280" yWindow="-13620" windowWidth="21840" windowHeight="13140"/>
  </bookViews>
  <sheets>
    <sheet name="Outputs Results" sheetId="4" r:id="rId1"/>
    <sheet name="Small College Data" sheetId="19" state="hidden" r:id="rId2"/>
    <sheet name="Model Generation" sheetId="17" r:id="rId3"/>
    <sheet name="28 Point Models" sheetId="18" r:id="rId4"/>
    <sheet name="Tiers by Output" sheetId="7" state="hidden" r:id="rId5"/>
  </sheets>
  <definedNames>
    <definedName name="_xlnm._FilterDatabase" localSheetId="0" hidden="1">'Outputs Results'!$A$2:$AE$31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8" l="1"/>
  <c r="D39" i="18"/>
  <c r="C41" i="18"/>
  <c r="D41" i="18"/>
  <c r="C44" i="18"/>
  <c r="D44" i="18"/>
  <c r="C42" i="18"/>
  <c r="D42" i="18"/>
  <c r="C45" i="18"/>
  <c r="D45" i="18"/>
  <c r="C43" i="18"/>
  <c r="D43" i="18"/>
  <c r="C46" i="18"/>
  <c r="D46" i="18"/>
  <c r="C47" i="18"/>
  <c r="D47" i="18"/>
  <c r="C48" i="18"/>
  <c r="D48" i="18"/>
  <c r="C52" i="18"/>
  <c r="D52" i="18"/>
  <c r="C51" i="18"/>
  <c r="D51" i="18"/>
  <c r="C50" i="18"/>
  <c r="D50" i="18"/>
  <c r="C49" i="18"/>
  <c r="D49" i="18"/>
  <c r="C53" i="18"/>
  <c r="D53" i="18"/>
  <c r="C55" i="18"/>
  <c r="D55" i="18"/>
  <c r="C54" i="18"/>
  <c r="D54" i="18"/>
  <c r="C56" i="18"/>
  <c r="D56" i="18"/>
  <c r="C57" i="18"/>
  <c r="D57" i="18"/>
  <c r="C59" i="18"/>
  <c r="D59" i="18"/>
  <c r="C58" i="18"/>
  <c r="D58" i="18"/>
  <c r="C62" i="18"/>
  <c r="D62" i="18"/>
  <c r="C63" i="18"/>
  <c r="D63" i="18"/>
  <c r="C60" i="18"/>
  <c r="D60" i="18"/>
  <c r="C61" i="18"/>
  <c r="D61" i="18"/>
  <c r="C64" i="18"/>
  <c r="D64" i="18"/>
  <c r="C65" i="18"/>
  <c r="D65" i="18"/>
  <c r="C66" i="18"/>
  <c r="D66" i="18"/>
  <c r="D40" i="18"/>
  <c r="C40" i="18"/>
  <c r="C5" i="18"/>
  <c r="D5" i="18"/>
  <c r="C7" i="18"/>
  <c r="D7" i="18"/>
  <c r="C10" i="18"/>
  <c r="D10" i="18"/>
  <c r="C8" i="18"/>
  <c r="D8" i="18"/>
  <c r="C11" i="18"/>
  <c r="D11" i="18"/>
  <c r="C9" i="18"/>
  <c r="D9" i="18"/>
  <c r="C12" i="18"/>
  <c r="D12" i="18"/>
  <c r="C13" i="18"/>
  <c r="D13" i="18"/>
  <c r="C14" i="18"/>
  <c r="D14" i="18"/>
  <c r="C18" i="18"/>
  <c r="D18" i="18"/>
  <c r="C17" i="18"/>
  <c r="D17" i="18"/>
  <c r="C16" i="18"/>
  <c r="D16" i="18"/>
  <c r="C15" i="18"/>
  <c r="D15" i="18"/>
  <c r="C19" i="18"/>
  <c r="D19" i="18"/>
  <c r="C21" i="18"/>
  <c r="D21" i="18"/>
  <c r="C20" i="18"/>
  <c r="D20" i="18"/>
  <c r="C22" i="18"/>
  <c r="D22" i="18"/>
  <c r="C23" i="18"/>
  <c r="D23" i="18"/>
  <c r="C25" i="18"/>
  <c r="D25" i="18"/>
  <c r="C24" i="18"/>
  <c r="D24" i="18"/>
  <c r="C28" i="18"/>
  <c r="D28" i="18"/>
  <c r="C29" i="18"/>
  <c r="D29" i="18"/>
  <c r="C26" i="18"/>
  <c r="D26" i="18"/>
  <c r="C27" i="18"/>
  <c r="D27" i="18"/>
  <c r="C30" i="18"/>
  <c r="D30" i="18"/>
  <c r="C31" i="18"/>
  <c r="D31" i="18"/>
  <c r="C32" i="18"/>
  <c r="D32" i="18"/>
  <c r="D6" i="18"/>
  <c r="C6" i="18"/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" i="4"/>
  <c r="F31" i="4"/>
  <c r="G31" i="4"/>
  <c r="H31" i="4"/>
  <c r="I31" i="4"/>
  <c r="E31" i="4" s="1"/>
  <c r="J31" i="4"/>
  <c r="K31" i="4"/>
  <c r="E32" i="4" l="1"/>
  <c r="K6" i="19" l="1"/>
  <c r="Y28" i="4" l="1"/>
  <c r="Y12" i="4"/>
  <c r="Y5" i="4"/>
  <c r="Y20" i="4"/>
  <c r="Y19" i="4"/>
  <c r="Y24" i="4"/>
  <c r="Y4" i="4"/>
  <c r="Y8" i="4"/>
  <c r="Y26" i="4"/>
  <c r="Y22" i="4"/>
  <c r="Y6" i="4"/>
  <c r="Y9" i="4"/>
  <c r="Y15" i="4"/>
  <c r="Y30" i="4"/>
  <c r="Y3" i="4"/>
  <c r="Y10" i="4"/>
  <c r="Y27" i="4"/>
  <c r="Y16" i="4"/>
  <c r="Y14" i="4"/>
  <c r="Y13" i="4"/>
  <c r="Y11" i="4"/>
  <c r="Y25" i="4"/>
  <c r="Y18" i="4"/>
  <c r="Y23" i="4"/>
  <c r="Y7" i="4"/>
  <c r="Y17" i="4"/>
  <c r="Y29" i="4"/>
  <c r="Y21" i="4"/>
  <c r="G33" i="19"/>
  <c r="K33" i="19" s="1"/>
  <c r="K32" i="19"/>
  <c r="G32" i="19"/>
  <c r="G31" i="19"/>
  <c r="K31" i="19" s="1"/>
  <c r="K30" i="19"/>
  <c r="G30" i="19"/>
  <c r="G29" i="19"/>
  <c r="K29" i="19" s="1"/>
  <c r="K28" i="19"/>
  <c r="G28" i="19"/>
  <c r="G27" i="19"/>
  <c r="K27" i="19" s="1"/>
  <c r="K26" i="19"/>
  <c r="G26" i="19"/>
  <c r="G25" i="19"/>
  <c r="K25" i="19" s="1"/>
  <c r="K24" i="19"/>
  <c r="G24" i="19"/>
  <c r="G23" i="19"/>
  <c r="K23" i="19" s="1"/>
  <c r="K22" i="19"/>
  <c r="G22" i="19"/>
  <c r="G21" i="19"/>
  <c r="K21" i="19" s="1"/>
  <c r="K20" i="19"/>
  <c r="G20" i="19"/>
  <c r="G19" i="19"/>
  <c r="K19" i="19" s="1"/>
  <c r="K18" i="19"/>
  <c r="G18" i="19"/>
  <c r="G17" i="19"/>
  <c r="K17" i="19" s="1"/>
  <c r="K16" i="19"/>
  <c r="G16" i="19"/>
  <c r="G15" i="19"/>
  <c r="K15" i="19" s="1"/>
  <c r="K14" i="19"/>
  <c r="G14" i="19"/>
  <c r="G13" i="19"/>
  <c r="K13" i="19" s="1"/>
  <c r="K12" i="19"/>
  <c r="G12" i="19"/>
  <c r="G11" i="19"/>
  <c r="K11" i="19" s="1"/>
  <c r="K10" i="19"/>
  <c r="G10" i="19"/>
  <c r="G9" i="19"/>
  <c r="K9" i="19" s="1"/>
  <c r="K8" i="19"/>
  <c r="G8" i="19"/>
  <c r="G7" i="19"/>
  <c r="K7" i="19" s="1"/>
  <c r="G6" i="19"/>
  <c r="G34" i="19" s="1"/>
  <c r="Y31" i="4" l="1"/>
  <c r="L13" i="19"/>
  <c r="K34" i="19"/>
  <c r="L9" i="19" s="1"/>
  <c r="L14" i="19"/>
  <c r="L7" i="19"/>
  <c r="L11" i="19"/>
  <c r="L8" i="19"/>
  <c r="L12" i="19"/>
  <c r="L32" i="19"/>
  <c r="L6" i="19"/>
  <c r="AH5" i="4"/>
  <c r="L16" i="19" l="1"/>
  <c r="L18" i="19"/>
  <c r="L19" i="19"/>
  <c r="L17" i="19"/>
  <c r="L10" i="19"/>
  <c r="L15" i="19"/>
  <c r="L28" i="19"/>
  <c r="L31" i="19"/>
  <c r="L30" i="19"/>
  <c r="L33" i="19"/>
  <c r="L24" i="19"/>
  <c r="L27" i="19"/>
  <c r="L26" i="19"/>
  <c r="L29" i="19"/>
  <c r="L21" i="19"/>
  <c r="L20" i="19"/>
  <c r="L23" i="19"/>
  <c r="L22" i="19"/>
  <c r="L25" i="19"/>
  <c r="N28" i="4"/>
  <c r="N12" i="4"/>
  <c r="N5" i="4"/>
  <c r="N20" i="4"/>
  <c r="N19" i="4"/>
  <c r="N24" i="4"/>
  <c r="N4" i="4"/>
  <c r="N8" i="4"/>
  <c r="N26" i="4"/>
  <c r="N22" i="4"/>
  <c r="N6" i="4"/>
  <c r="N9" i="4"/>
  <c r="N15" i="4"/>
  <c r="N30" i="4"/>
  <c r="N3" i="4"/>
  <c r="N10" i="4"/>
  <c r="N27" i="4"/>
  <c r="N16" i="4"/>
  <c r="N14" i="4"/>
  <c r="N13" i="4"/>
  <c r="N11" i="4"/>
  <c r="N25" i="4"/>
  <c r="N18" i="4"/>
  <c r="N23" i="4"/>
  <c r="N7" i="4"/>
  <c r="N17" i="4"/>
  <c r="N29" i="4"/>
  <c r="N21" i="4"/>
  <c r="M31" i="4"/>
  <c r="L34" i="19" l="1"/>
  <c r="N31" i="4"/>
  <c r="O28" i="4"/>
  <c r="O12" i="4"/>
  <c r="O5" i="4"/>
  <c r="O20" i="4"/>
  <c r="O19" i="4"/>
  <c r="O24" i="4"/>
  <c r="O4" i="4"/>
  <c r="O8" i="4"/>
  <c r="O26" i="4"/>
  <c r="O22" i="4"/>
  <c r="O6" i="4"/>
  <c r="O9" i="4"/>
  <c r="O15" i="4"/>
  <c r="O30" i="4"/>
  <c r="O3" i="4"/>
  <c r="O10" i="4"/>
  <c r="O27" i="4"/>
  <c r="O16" i="4"/>
  <c r="O14" i="4"/>
  <c r="O13" i="4"/>
  <c r="O11" i="4"/>
  <c r="O25" i="4"/>
  <c r="O18" i="4"/>
  <c r="O23" i="4"/>
  <c r="O7" i="4"/>
  <c r="O17" i="4"/>
  <c r="O29" i="4"/>
  <c r="O21" i="4"/>
  <c r="P18" i="4" l="1"/>
  <c r="S18" i="4" s="1"/>
  <c r="X18" i="4" s="1"/>
  <c r="AO28" i="4"/>
  <c r="AO19" i="4"/>
  <c r="AO5" i="4"/>
  <c r="P22" i="4"/>
  <c r="S22" i="4" s="1"/>
  <c r="X22" i="4" s="1"/>
  <c r="AO21" i="4"/>
  <c r="AO8" i="4"/>
  <c r="AO3" i="4"/>
  <c r="P9" i="4"/>
  <c r="S9" i="4" s="1"/>
  <c r="X9" i="4" s="1"/>
  <c r="AO25" i="4"/>
  <c r="C7" i="17"/>
  <c r="D7" i="17" s="1"/>
  <c r="C9" i="17"/>
  <c r="D9" i="17" s="1"/>
  <c r="AP4" i="4"/>
  <c r="AO4" i="4"/>
  <c r="AO30" i="4"/>
  <c r="P17" i="4"/>
  <c r="S17" i="4" s="1"/>
  <c r="X17" i="4" s="1"/>
  <c r="AO17" i="4"/>
  <c r="AO23" i="4"/>
  <c r="AO9" i="4"/>
  <c r="AO26" i="4"/>
  <c r="AO14" i="4"/>
  <c r="AO27" i="4"/>
  <c r="AO29" i="4"/>
  <c r="AO24" i="4"/>
  <c r="AO13" i="4"/>
  <c r="AO10" i="4"/>
  <c r="AO16" i="4"/>
  <c r="AO15" i="4"/>
  <c r="AO18" i="4"/>
  <c r="AO12" i="4"/>
  <c r="AO22" i="4"/>
  <c r="AO11" i="4"/>
  <c r="C11" i="17"/>
  <c r="D11" i="17" s="1"/>
  <c r="C5" i="17"/>
  <c r="D5" i="17" s="1"/>
  <c r="C8" i="17"/>
  <c r="D8" i="17" s="1"/>
  <c r="L31" i="4"/>
  <c r="P29" i="4"/>
  <c r="S29" i="4" s="1"/>
  <c r="X29" i="4" s="1"/>
  <c r="P4" i="4"/>
  <c r="S4" i="4" s="1"/>
  <c r="X4" i="4" s="1"/>
  <c r="P5" i="4"/>
  <c r="P25" i="4"/>
  <c r="S25" i="4" s="1"/>
  <c r="X25" i="4" s="1"/>
  <c r="P10" i="4"/>
  <c r="P20" i="4"/>
  <c r="S20" i="4" s="1"/>
  <c r="X20" i="4" s="1"/>
  <c r="P16" i="4"/>
  <c r="S16" i="4" s="1"/>
  <c r="X16" i="4" s="1"/>
  <c r="AP18" i="4"/>
  <c r="P13" i="4"/>
  <c r="S13" i="4" s="1"/>
  <c r="X13" i="4" s="1"/>
  <c r="P8" i="4"/>
  <c r="S8" i="4" s="1"/>
  <c r="X8" i="4" s="1"/>
  <c r="P12" i="4"/>
  <c r="S12" i="4" s="1"/>
  <c r="X12" i="4" s="1"/>
  <c r="P27" i="4"/>
  <c r="S27" i="4" s="1"/>
  <c r="X27" i="4" s="1"/>
  <c r="P26" i="4"/>
  <c r="S26" i="4" s="1"/>
  <c r="X26" i="4" s="1"/>
  <c r="P28" i="4"/>
  <c r="S28" i="4" s="1"/>
  <c r="X28" i="4" s="1"/>
  <c r="P3" i="4"/>
  <c r="S3" i="4" s="1"/>
  <c r="X3" i="4" s="1"/>
  <c r="P14" i="4"/>
  <c r="S14" i="4" s="1"/>
  <c r="X14" i="4" s="1"/>
  <c r="P30" i="4"/>
  <c r="S30" i="4" s="1"/>
  <c r="X30" i="4" s="1"/>
  <c r="P11" i="4"/>
  <c r="S11" i="4" s="1"/>
  <c r="X11" i="4" s="1"/>
  <c r="P15" i="4"/>
  <c r="Q15" i="4" s="1"/>
  <c r="R15" i="4" s="1"/>
  <c r="P23" i="4"/>
  <c r="S23" i="4" s="1"/>
  <c r="X23" i="4" s="1"/>
  <c r="AI4" i="4"/>
  <c r="AI5" i="4" s="1"/>
  <c r="AP7" i="4"/>
  <c r="AP10" i="4"/>
  <c r="AP28" i="4"/>
  <c r="AP11" i="4"/>
  <c r="AP23" i="4"/>
  <c r="AP26" i="4"/>
  <c r="AP3" i="4"/>
  <c r="AP13" i="4"/>
  <c r="AP27" i="4"/>
  <c r="AP9" i="4"/>
  <c r="AP25" i="4"/>
  <c r="AP12" i="4"/>
  <c r="AP20" i="4"/>
  <c r="AP17" i="4"/>
  <c r="AP14" i="4"/>
  <c r="AP19" i="4"/>
  <c r="AP16" i="4"/>
  <c r="AP15" i="4"/>
  <c r="AP30" i="4"/>
  <c r="AP22" i="4"/>
  <c r="Z3" i="4" l="1"/>
  <c r="Z13" i="4"/>
  <c r="Z9" i="4"/>
  <c r="Z23" i="4"/>
  <c r="Z28" i="4"/>
  <c r="Z4" i="4"/>
  <c r="Z26" i="4"/>
  <c r="Z16" i="4"/>
  <c r="Z29" i="4"/>
  <c r="Z11" i="4"/>
  <c r="Z27" i="4"/>
  <c r="Z20" i="4"/>
  <c r="Z18" i="4"/>
  <c r="Z30" i="4"/>
  <c r="Z12" i="4"/>
  <c r="Z14" i="4"/>
  <c r="Z8" i="4"/>
  <c r="Z25" i="4"/>
  <c r="Z17" i="4"/>
  <c r="Z22" i="4"/>
  <c r="Q17" i="4"/>
  <c r="R17" i="4" s="1"/>
  <c r="Q4" i="4"/>
  <c r="R4" i="4" s="1"/>
  <c r="Q29" i="4"/>
  <c r="R29" i="4" s="1"/>
  <c r="T27" i="4"/>
  <c r="U27" i="4" s="1"/>
  <c r="T11" i="4"/>
  <c r="U11" i="4" s="1"/>
  <c r="T17" i="4"/>
  <c r="U17" i="4" s="1"/>
  <c r="T22" i="4"/>
  <c r="U22" i="4" s="1"/>
  <c r="T9" i="4"/>
  <c r="U9" i="4" s="1"/>
  <c r="T12" i="4"/>
  <c r="U12" i="4" s="1"/>
  <c r="T8" i="4"/>
  <c r="U8" i="4" s="1"/>
  <c r="T13" i="4"/>
  <c r="U13" i="4" s="1"/>
  <c r="T23" i="4"/>
  <c r="U23" i="4" s="1"/>
  <c r="T28" i="4"/>
  <c r="U28" i="4" s="1"/>
  <c r="T4" i="4"/>
  <c r="U4" i="4" s="1"/>
  <c r="T30" i="4"/>
  <c r="U30" i="4" s="1"/>
  <c r="T14" i="4"/>
  <c r="U14" i="4" s="1"/>
  <c r="T25" i="4"/>
  <c r="U25" i="4" s="1"/>
  <c r="T3" i="4"/>
  <c r="U3" i="4" s="1"/>
  <c r="T26" i="4"/>
  <c r="U26" i="4" s="1"/>
  <c r="T16" i="4"/>
  <c r="U16" i="4" s="1"/>
  <c r="T29" i="4"/>
  <c r="U29" i="4" s="1"/>
  <c r="T20" i="4"/>
  <c r="U20" i="4" s="1"/>
  <c r="T18" i="4"/>
  <c r="U18" i="4" s="1"/>
  <c r="Q9" i="4"/>
  <c r="R9" i="4" s="1"/>
  <c r="Q28" i="4"/>
  <c r="R28" i="4" s="1"/>
  <c r="Q27" i="4"/>
  <c r="R27" i="4" s="1"/>
  <c r="Q10" i="4"/>
  <c r="R10" i="4" s="1"/>
  <c r="AP29" i="4"/>
  <c r="Q23" i="4"/>
  <c r="R23" i="4" s="1"/>
  <c r="Q26" i="4"/>
  <c r="R26" i="4" s="1"/>
  <c r="S15" i="4"/>
  <c r="X15" i="4" s="1"/>
  <c r="Q25" i="4"/>
  <c r="R25" i="4" s="1"/>
  <c r="Q14" i="4"/>
  <c r="R14" i="4" s="1"/>
  <c r="S10" i="4"/>
  <c r="X10" i="4" s="1"/>
  <c r="Q3" i="4"/>
  <c r="R3" i="4" s="1"/>
  <c r="Q13" i="4"/>
  <c r="R13" i="4" s="1"/>
  <c r="Q5" i="4"/>
  <c r="R5" i="4" s="1"/>
  <c r="Q12" i="4"/>
  <c r="R12" i="4" s="1"/>
  <c r="Q8" i="4"/>
  <c r="R8" i="4" s="1"/>
  <c r="C10" i="17"/>
  <c r="D10" i="17" s="1"/>
  <c r="P24" i="4"/>
  <c r="S24" i="4" s="1"/>
  <c r="X24" i="4" s="1"/>
  <c r="AO6" i="4"/>
  <c r="C6" i="17"/>
  <c r="D6" i="17" s="1"/>
  <c r="P6" i="4"/>
  <c r="S6" i="4" s="1"/>
  <c r="X6" i="4" s="1"/>
  <c r="AP6" i="4"/>
  <c r="Q18" i="4"/>
  <c r="R18" i="4" s="1"/>
  <c r="AO7" i="4"/>
  <c r="P7" i="4"/>
  <c r="S7" i="4" s="1"/>
  <c r="X7" i="4" s="1"/>
  <c r="Q30" i="4"/>
  <c r="R30" i="4" s="1"/>
  <c r="Q22" i="4"/>
  <c r="R22" i="4" s="1"/>
  <c r="AP5" i="4"/>
  <c r="P21" i="4"/>
  <c r="S21" i="4" s="1"/>
  <c r="Q20" i="4"/>
  <c r="R20" i="4" s="1"/>
  <c r="S5" i="4"/>
  <c r="X5" i="4" s="1"/>
  <c r="P19" i="4"/>
  <c r="S19" i="4" s="1"/>
  <c r="X19" i="4" s="1"/>
  <c r="AO20" i="4"/>
  <c r="Z5" i="4" l="1"/>
  <c r="Z7" i="4"/>
  <c r="Z24" i="4"/>
  <c r="Z10" i="4"/>
  <c r="Z6" i="4"/>
  <c r="Z19" i="4"/>
  <c r="Z15" i="4"/>
  <c r="T21" i="4"/>
  <c r="X21" i="4"/>
  <c r="T5" i="4"/>
  <c r="U5" i="4" s="1"/>
  <c r="T10" i="4"/>
  <c r="U10" i="4" s="1"/>
  <c r="T19" i="4"/>
  <c r="U19" i="4" s="1"/>
  <c r="T15" i="4"/>
  <c r="U15" i="4" s="1"/>
  <c r="T7" i="4"/>
  <c r="U7" i="4" s="1"/>
  <c r="T24" i="4"/>
  <c r="U24" i="4" s="1"/>
  <c r="T6" i="4"/>
  <c r="U6" i="4" s="1"/>
  <c r="Q6" i="4"/>
  <c r="R6" i="4" s="1"/>
  <c r="Q7" i="4"/>
  <c r="R7" i="4" s="1"/>
  <c r="Q24" i="4"/>
  <c r="R24" i="4" s="1"/>
  <c r="Q21" i="4"/>
  <c r="R21" i="4" s="1"/>
  <c r="Q11" i="4"/>
  <c r="R11" i="4" s="1"/>
  <c r="AP24" i="4"/>
  <c r="Q19" i="4"/>
  <c r="R19" i="4" s="1"/>
  <c r="AP8" i="4"/>
  <c r="Q16" i="4"/>
  <c r="R16" i="4" s="1"/>
  <c r="AP21" i="4"/>
  <c r="Z21" i="4" l="1"/>
  <c r="X31" i="4"/>
  <c r="S31" i="4"/>
  <c r="U21" i="4"/>
  <c r="AA31" i="4" l="1"/>
  <c r="AA9" i="4"/>
  <c r="AA4" i="4"/>
  <c r="AA29" i="4"/>
  <c r="AA20" i="4"/>
  <c r="AA12" i="4"/>
  <c r="AA25" i="4"/>
  <c r="AA3" i="4"/>
  <c r="AA23" i="4"/>
  <c r="AA26" i="4"/>
  <c r="AA11" i="4"/>
  <c r="AA18" i="4"/>
  <c r="AA14" i="4"/>
  <c r="AA17" i="4"/>
  <c r="AA13" i="4"/>
  <c r="AA28" i="4"/>
  <c r="AA16" i="4"/>
  <c r="AA27" i="4"/>
  <c r="AA30" i="4"/>
  <c r="AA8" i="4"/>
  <c r="AA22" i="4"/>
  <c r="AA24" i="4"/>
  <c r="AA19" i="4"/>
  <c r="AA5" i="4"/>
  <c r="AA10" i="4"/>
  <c r="AA15" i="4"/>
  <c r="AA7" i="4"/>
  <c r="AA6" i="4"/>
  <c r="AA21" i="4"/>
  <c r="Z31" i="4"/>
  <c r="U31" i="4"/>
  <c r="AB21" i="4" l="1"/>
  <c r="AB18" i="4"/>
  <c r="AB7" i="4"/>
  <c r="AB15" i="4"/>
  <c r="AB29" i="4"/>
  <c r="AB9" i="4"/>
  <c r="AB16" i="4"/>
  <c r="AB13" i="4"/>
  <c r="AB8" i="4"/>
  <c r="AB5" i="4"/>
  <c r="AB23" i="4"/>
  <c r="AB17" i="4"/>
  <c r="AB24" i="4"/>
  <c r="AB10" i="4"/>
  <c r="AB30" i="4"/>
  <c r="AB11" i="4"/>
  <c r="AB3" i="4"/>
  <c r="AB28" i="4"/>
  <c r="AB22" i="4"/>
  <c r="AB6" i="4"/>
  <c r="AB19" i="4"/>
  <c r="AB12" i="4"/>
  <c r="AB20" i="4"/>
  <c r="AB14" i="4"/>
  <c r="AB27" i="4"/>
  <c r="AB26" i="4"/>
  <c r="AB25" i="4"/>
  <c r="AB4" i="4"/>
  <c r="V17" i="4"/>
  <c r="AD17" i="4" s="1"/>
  <c r="V13" i="4"/>
  <c r="AD13" i="4" s="1"/>
  <c r="V27" i="4"/>
  <c r="AD27" i="4" s="1"/>
  <c r="V4" i="4"/>
  <c r="AD4" i="4" s="1"/>
  <c r="V18" i="4"/>
  <c r="AD18" i="4" s="1"/>
  <c r="V3" i="4"/>
  <c r="AD3" i="4" s="1"/>
  <c r="V26" i="4"/>
  <c r="AD26" i="4" s="1"/>
  <c r="V11" i="4"/>
  <c r="AD11" i="4" s="1"/>
  <c r="V29" i="4"/>
  <c r="AD29" i="4" s="1"/>
  <c r="V9" i="4"/>
  <c r="AD9" i="4" s="1"/>
  <c r="V14" i="4"/>
  <c r="AD14" i="4" s="1"/>
  <c r="V16" i="4"/>
  <c r="AD16" i="4" s="1"/>
  <c r="V28" i="4"/>
  <c r="AD28" i="4" s="1"/>
  <c r="V23" i="4"/>
  <c r="AD23" i="4" s="1"/>
  <c r="V30" i="4"/>
  <c r="AD30" i="4" s="1"/>
  <c r="V22" i="4"/>
  <c r="AD22" i="4" s="1"/>
  <c r="V20" i="4"/>
  <c r="AD20" i="4" s="1"/>
  <c r="V12" i="4"/>
  <c r="AD12" i="4" s="1"/>
  <c r="V8" i="4"/>
  <c r="AD8" i="4" s="1"/>
  <c r="V25" i="4"/>
  <c r="AD25" i="4" s="1"/>
  <c r="V10" i="4"/>
  <c r="AD10" i="4" s="1"/>
  <c r="V7" i="4"/>
  <c r="AD7" i="4" s="1"/>
  <c r="V15" i="4"/>
  <c r="AD15" i="4" s="1"/>
  <c r="V19" i="4"/>
  <c r="AD19" i="4" s="1"/>
  <c r="V5" i="4"/>
  <c r="AD5" i="4" s="1"/>
  <c r="V24" i="4"/>
  <c r="AD24" i="4" s="1"/>
  <c r="V6" i="4"/>
  <c r="AD6" i="4" s="1"/>
  <c r="V21" i="4"/>
  <c r="V31" i="4" l="1"/>
  <c r="AD21" i="4"/>
  <c r="AC14" i="4"/>
  <c r="AE7" i="4"/>
  <c r="AE12" i="4"/>
  <c r="AE8" i="4"/>
  <c r="AC30" i="4"/>
  <c r="AE13" i="4"/>
  <c r="AC17" i="4"/>
  <c r="AE5" i="4"/>
  <c r="AE26" i="4"/>
  <c r="AE3" i="4"/>
  <c r="AE11" i="4"/>
  <c r="AE29" i="4"/>
  <c r="AC22" i="4"/>
  <c r="AE10" i="4"/>
  <c r="AE25" i="4"/>
  <c r="AC23" i="4"/>
  <c r="AC24" i="4"/>
  <c r="AC20" i="4"/>
  <c r="AC19" i="4"/>
  <c r="AC6" i="4"/>
  <c r="AC9" i="4"/>
  <c r="AC16" i="4"/>
  <c r="AE18" i="4"/>
  <c r="AE15" i="4"/>
  <c r="AC5" i="4"/>
  <c r="AC27" i="4"/>
  <c r="AC18" i="4"/>
  <c r="AE21" i="4"/>
  <c r="AC21" i="4"/>
  <c r="AE9" i="4"/>
  <c r="AE4" i="4"/>
  <c r="AC4" i="4"/>
  <c r="AC13" i="4"/>
  <c r="AQ20" i="4" l="1"/>
  <c r="AR20" i="4" s="1"/>
  <c r="AQ23" i="4"/>
  <c r="AR23" i="4" s="1"/>
  <c r="AQ6" i="4"/>
  <c r="AR6" i="4" s="1"/>
  <c r="AQ22" i="4"/>
  <c r="AR22" i="4" s="1"/>
  <c r="AQ17" i="4"/>
  <c r="AR17" i="4" s="1"/>
  <c r="AQ27" i="4"/>
  <c r="AR27" i="4" s="1"/>
  <c r="AC3" i="4"/>
  <c r="AE24" i="4"/>
  <c r="AC11" i="4"/>
  <c r="AQ14" i="4"/>
  <c r="AR14" i="4" s="1"/>
  <c r="AQ21" i="4"/>
  <c r="AR21" i="4" s="1"/>
  <c r="AQ13" i="4"/>
  <c r="AR13" i="4" s="1"/>
  <c r="AQ9" i="4"/>
  <c r="AR9" i="4" s="1"/>
  <c r="AE22" i="4"/>
  <c r="AB31" i="4"/>
  <c r="AE17" i="4"/>
  <c r="AC25" i="4"/>
  <c r="AE6" i="4"/>
  <c r="AC26" i="4"/>
  <c r="AE14" i="4"/>
  <c r="AC7" i="4"/>
  <c r="AE16" i="4"/>
  <c r="AE19" i="4"/>
  <c r="AC28" i="4"/>
  <c r="AE20" i="4"/>
  <c r="AE30" i="4"/>
  <c r="AE28" i="4"/>
  <c r="AC12" i="4"/>
  <c r="AC8" i="4"/>
  <c r="AE27" i="4"/>
  <c r="AE23" i="4"/>
  <c r="AC29" i="4"/>
  <c r="AC10" i="4"/>
  <c r="AC15" i="4"/>
  <c r="AQ10" i="4" l="1"/>
  <c r="AR10" i="4" s="1"/>
  <c r="AQ29" i="4"/>
  <c r="AR29" i="4" s="1"/>
  <c r="AQ7" i="4"/>
  <c r="AR7" i="4" s="1"/>
  <c r="AQ15" i="4"/>
  <c r="AR15" i="4" s="1"/>
  <c r="AQ26" i="4"/>
  <c r="AR26" i="4" s="1"/>
  <c r="AQ24" i="4"/>
  <c r="AR24" i="4" s="1"/>
  <c r="AQ8" i="4"/>
  <c r="AR8" i="4" s="1"/>
  <c r="AQ18" i="4"/>
  <c r="AR18" i="4" s="1"/>
  <c r="AQ28" i="4"/>
  <c r="AR28" i="4" s="1"/>
  <c r="AQ3" i="4"/>
  <c r="AR3" i="4" s="1"/>
  <c r="AQ12" i="4"/>
  <c r="AR12" i="4" s="1"/>
  <c r="AQ16" i="4"/>
  <c r="AR16" i="4" s="1"/>
  <c r="AQ5" i="4"/>
  <c r="AR5" i="4" s="1"/>
  <c r="AQ30" i="4"/>
  <c r="AR30" i="4" s="1"/>
  <c r="AQ4" i="4"/>
  <c r="AR4" i="4" s="1"/>
  <c r="AQ11" i="4"/>
  <c r="AR11" i="4" s="1"/>
  <c r="AQ25" i="4"/>
  <c r="AR25" i="4" s="1"/>
  <c r="AQ19" i="4"/>
  <c r="AR19" i="4" s="1"/>
  <c r="AC31" i="4"/>
</calcChain>
</file>

<file path=xl/comments1.xml><?xml version="1.0" encoding="utf-8"?>
<comments xmlns="http://schemas.openxmlformats.org/spreadsheetml/2006/main">
  <authors>
    <author>Brown, Christopher</author>
  </authors>
  <commentList>
    <comment ref="D38" authorId="0" shapeId="0">
      <text>
        <r>
          <rPr>
            <b/>
            <sz val="9"/>
            <color indexed="81"/>
            <rFont val="Tahoma"/>
            <family val="2"/>
          </rPr>
          <t>Brown, Christopher:</t>
        </r>
        <r>
          <rPr>
            <sz val="9"/>
            <color indexed="81"/>
            <rFont val="Tahoma"/>
            <family val="2"/>
          </rPr>
          <t xml:space="preserve">
Includes New Funds.  See columns AE and AF on "Outputs Results" tab</t>
        </r>
      </text>
    </comment>
  </commentList>
</comments>
</file>

<file path=xl/sharedStrings.xml><?xml version="1.0" encoding="utf-8"?>
<sst xmlns="http://schemas.openxmlformats.org/spreadsheetml/2006/main" count="340" uniqueCount="161">
  <si>
    <t>TIER</t>
  </si>
  <si>
    <t>COLLEGE</t>
  </si>
  <si>
    <t>Delta</t>
  </si>
  <si>
    <t>% Delta</t>
  </si>
  <si>
    <t>Total Difference</t>
  </si>
  <si>
    <t>Amount of Total Deficit</t>
  </si>
  <si>
    <t>North Florida College</t>
  </si>
  <si>
    <t>The College of the Florida Keys</t>
  </si>
  <si>
    <t>Chipola College</t>
  </si>
  <si>
    <t>Florida Gateway College</t>
  </si>
  <si>
    <t>South Florida State College</t>
  </si>
  <si>
    <t>Gulf Coast State College</t>
  </si>
  <si>
    <t>Lake-Sumter State College</t>
  </si>
  <si>
    <t>Northwest Florida State College</t>
  </si>
  <si>
    <t>St. Johns River State College</t>
  </si>
  <si>
    <t>College of Central Florida</t>
  </si>
  <si>
    <t>Polk State College</t>
  </si>
  <si>
    <t>Pensacola State College</t>
  </si>
  <si>
    <t>State College of Florida, Manatee-Sarasota</t>
  </si>
  <si>
    <t>Pasco-Hernando State College</t>
  </si>
  <si>
    <t>Tallahassee Community College</t>
  </si>
  <si>
    <t>Santa Fe College</t>
  </si>
  <si>
    <t>Florida SouthWestern State College</t>
  </si>
  <si>
    <t>Daytona State College</t>
  </si>
  <si>
    <t>Eastern Florida State College</t>
  </si>
  <si>
    <t>Indian River State College</t>
  </si>
  <si>
    <t>Seminole State College of Florida</t>
  </si>
  <si>
    <t>Florida State College at Jacksonville</t>
  </si>
  <si>
    <t>St. Petersburg College</t>
  </si>
  <si>
    <t>Hillsborough Community College</t>
  </si>
  <si>
    <t>Palm Beach State College</t>
  </si>
  <si>
    <t>Broward College</t>
  </si>
  <si>
    <t>Valencia College</t>
  </si>
  <si>
    <t>Miami Dade College</t>
  </si>
  <si>
    <t>Tier</t>
  </si>
  <si>
    <t>Graduates</t>
  </si>
  <si>
    <t>Average Funds per Graduate</t>
  </si>
  <si>
    <t>Recurring Per Graduate</t>
  </si>
  <si>
    <t>This is a restructuring of the tier model by average number of graduates and per graduate average recurring funding.</t>
  </si>
  <si>
    <t>Proportional Share of New Funds by Deficit</t>
  </si>
  <si>
    <t>To Equity</t>
  </si>
  <si>
    <t>Total New Funds</t>
  </si>
  <si>
    <t>New Funding Per Graduate Equity Only</t>
  </si>
  <si>
    <t>Total New $</t>
  </si>
  <si>
    <t>Change only within these cells.</t>
  </si>
  <si>
    <t>This model compares per graduate recurring funds to total graduate using averages for schools of similar size to generate the curve.</t>
  </si>
  <si>
    <t xml:space="preserve">PSAV grads. </t>
  </si>
  <si>
    <t>Postion</t>
  </si>
  <si>
    <t>Average Graduates</t>
  </si>
  <si>
    <t>Average Recurring Funds Per Graduate</t>
  </si>
  <si>
    <t>EXPECTED Per Graduate Funding</t>
  </si>
  <si>
    <t>To Resort By Tier</t>
  </si>
  <si>
    <t>A.A. Grads</t>
  </si>
  <si>
    <t>A.S. Grads</t>
  </si>
  <si>
    <t>Bacc Grads.</t>
  </si>
  <si>
    <t>A</t>
  </si>
  <si>
    <t>B</t>
  </si>
  <si>
    <t>y=A*x^B</t>
  </si>
  <si>
    <t xml:space="preserve">EXPECTED Total Funding </t>
  </si>
  <si>
    <t>Universal Funding</t>
  </si>
  <si>
    <t>New Funding Per Graduate Universal</t>
  </si>
  <si>
    <t>General Revenue</t>
  </si>
  <si>
    <t xml:space="preserve">Lottery </t>
  </si>
  <si>
    <t xml:space="preserve">Incentive Funds </t>
  </si>
  <si>
    <t xml:space="preserve"> Recurring Funds Per Graduate</t>
  </si>
  <si>
    <t>NF</t>
  </si>
  <si>
    <t>FSW</t>
  </si>
  <si>
    <t>CF</t>
  </si>
  <si>
    <t>NWF</t>
  </si>
  <si>
    <t>PSC</t>
  </si>
  <si>
    <t>PHSC</t>
  </si>
  <si>
    <t>FGC</t>
  </si>
  <si>
    <t>LSSC</t>
  </si>
  <si>
    <t>DSC</t>
  </si>
  <si>
    <t>HCC</t>
  </si>
  <si>
    <t>EFSC</t>
  </si>
  <si>
    <t>IRSC</t>
  </si>
  <si>
    <t>MDC</t>
  </si>
  <si>
    <t>SFC</t>
  </si>
  <si>
    <t>SCF</t>
  </si>
  <si>
    <t>TCC</t>
  </si>
  <si>
    <t>SPC</t>
  </si>
  <si>
    <t>BC</t>
  </si>
  <si>
    <t>SSCF</t>
  </si>
  <si>
    <t>FSCJ</t>
  </si>
  <si>
    <t>PBSC</t>
  </si>
  <si>
    <t>VC</t>
  </si>
  <si>
    <t>CFK</t>
  </si>
  <si>
    <t>SFSC</t>
  </si>
  <si>
    <t>GCSC</t>
  </si>
  <si>
    <t>CC</t>
  </si>
  <si>
    <t>SJRSC</t>
  </si>
  <si>
    <t>Recurring Funds + New Funds</t>
  </si>
  <si>
    <t>Recurring per graduate (includes new funds)</t>
  </si>
  <si>
    <t xml:space="preserve"> Recurring Funds Per Graduate Including New Distributions</t>
  </si>
  <si>
    <t>5.4.1.T</t>
  </si>
  <si>
    <t>5.4.4.T</t>
  </si>
  <si>
    <t>5.5.4.T</t>
  </si>
  <si>
    <t>5.4.5.T</t>
  </si>
  <si>
    <t>POLK</t>
  </si>
  <si>
    <t xml:space="preserve"> Graduates</t>
  </si>
  <si>
    <t xml:space="preserve">Total Graduates </t>
  </si>
  <si>
    <t xml:space="preserve">Recurring Per Graduate </t>
  </si>
  <si>
    <t xml:space="preserve">Recurring Funds (2021-2022) </t>
  </si>
  <si>
    <t>recurring funds to total graduate using averages for schools of similar size to generate the curve.</t>
  </si>
  <si>
    <t xml:space="preserve">using averages for schools of similar </t>
  </si>
  <si>
    <t>size to generate the curve.</t>
  </si>
  <si>
    <t>Industry Certifications</t>
  </si>
  <si>
    <t>Adult High School &amp; GED's</t>
  </si>
  <si>
    <t xml:space="preserve">2021-22 Tuition and Fees </t>
  </si>
  <si>
    <t xml:space="preserve">Total Recurring Funds &amp; Tuition/Fees </t>
  </si>
  <si>
    <t>DCD</t>
  </si>
  <si>
    <t>COLA</t>
  </si>
  <si>
    <t xml:space="preserve">Graduates (Completers)        2021-2022 </t>
  </si>
  <si>
    <t>Model Proportional Share of Universal Funds Ratioed to DCD</t>
  </si>
  <si>
    <t>PERSONNEL EXPENSE</t>
  </si>
  <si>
    <t>COLLEGES</t>
  </si>
  <si>
    <t>FULL-TIME</t>
  </si>
  <si>
    <t>PART-TIME</t>
  </si>
  <si>
    <t>TOTAL
PERSONNEL
EXPENSE</t>
  </si>
  <si>
    <t>FTE 3 Year Average</t>
  </si>
  <si>
    <t>% of FTE</t>
  </si>
  <si>
    <t xml:space="preserve">Small College Factor </t>
  </si>
  <si>
    <t xml:space="preserve">Small College Added Funding </t>
  </si>
  <si>
    <t xml:space="preserve">% of Funding </t>
  </si>
  <si>
    <t>EASTERN FLORIDA</t>
  </si>
  <si>
    <t>BROWARD</t>
  </si>
  <si>
    <t>CENTRAL FLORIDA</t>
  </si>
  <si>
    <t>CHIPOLA</t>
  </si>
  <si>
    <t>DAYTONA</t>
  </si>
  <si>
    <t>FL SOUTHWESTERN</t>
  </si>
  <si>
    <t>FSC, JACKSONVILLE</t>
  </si>
  <si>
    <t>FLORIDA KEYS</t>
  </si>
  <si>
    <t>GULF COAST</t>
  </si>
  <si>
    <t>HILLSBOROUGH</t>
  </si>
  <si>
    <t>INDIAN RIVER</t>
  </si>
  <si>
    <t>GATEWAY</t>
  </si>
  <si>
    <t>LAKE-SUMTER</t>
  </si>
  <si>
    <t>SCF, MANATEE-SARASOTA</t>
  </si>
  <si>
    <t>MIAMI DADE</t>
  </si>
  <si>
    <t>NORTH FLORIDA</t>
  </si>
  <si>
    <t>NORTHWEST FLORIDA</t>
  </si>
  <si>
    <t>PALM BEACH</t>
  </si>
  <si>
    <t>PASCO-HERNANDO</t>
  </si>
  <si>
    <t>PENSACOLA</t>
  </si>
  <si>
    <t>SAINT JOHNS RIVER</t>
  </si>
  <si>
    <t>SAINT PETERSBURG</t>
  </si>
  <si>
    <t>SANTA FE</t>
  </si>
  <si>
    <t>SEMINOLE</t>
  </si>
  <si>
    <t>SOUTH FLORIDA</t>
  </si>
  <si>
    <t>TALLAHASSEE</t>
  </si>
  <si>
    <t>VALENCIA</t>
  </si>
  <si>
    <t>TOTAL</t>
  </si>
  <si>
    <t>% OF TOTAL EXPENSES</t>
  </si>
  <si>
    <t>Small College Calculation</t>
  </si>
  <si>
    <t>DCD &amp; Small College Total</t>
  </si>
  <si>
    <t xml:space="preserve">DCD Distribution % </t>
  </si>
  <si>
    <t xml:space="preserve">DCD x COLA x Total Expected Funds </t>
  </si>
  <si>
    <t xml:space="preserve">Completer Weights </t>
  </si>
  <si>
    <t xml:space="preserve">System Completers </t>
  </si>
  <si>
    <t xml:space="preserve">System Completers Weighted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</si>
</sst>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  <numFmt numFmtId="167" formatCode="0.0000"/>
    <numFmt numFmtId="168" formatCode="&quot;$&quot;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sz val="12"/>
      <color rgb="FF000000"/>
      <name val="Trebuchet MS"/>
      <family val="2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2"/>
      <name val="SWISS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theme="1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theme="1"/>
      </bottom>
      <diagonal/>
    </border>
    <border>
      <left style="thin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auto="1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1"/>
      </left>
      <right/>
      <top style="thin">
        <color theme="0" tint="-0.34998626667073579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theme="1"/>
      </left>
      <right/>
      <top/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10" fillId="0" borderId="0"/>
    <xf numFmtId="0" fontId="9" fillId="0" borderId="0"/>
    <xf numFmtId="0" fontId="6" fillId="0" borderId="0"/>
    <xf numFmtId="0" fontId="6" fillId="0" borderId="0"/>
    <xf numFmtId="0" fontId="12" fillId="0" borderId="0"/>
    <xf numFmtId="9" fontId="1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3" fillId="0" borderId="0"/>
    <xf numFmtId="0" fontId="14" fillId="0" borderId="0"/>
    <xf numFmtId="0" fontId="15" fillId="0" borderId="0"/>
    <xf numFmtId="0" fontId="12" fillId="0" borderId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6" fillId="0" borderId="0"/>
    <xf numFmtId="0" fontId="6" fillId="0" borderId="0"/>
    <xf numFmtId="0" fontId="2" fillId="0" borderId="0"/>
    <xf numFmtId="43" fontId="2" fillId="0" borderId="0" applyFont="0" applyFill="0" applyBorder="0" applyAlignment="0" applyProtection="0"/>
    <xf numFmtId="0" fontId="12" fillId="0" borderId="0"/>
    <xf numFmtId="0" fontId="15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" fontId="0" fillId="0" borderId="0" xfId="0" applyNumberFormat="1"/>
    <xf numFmtId="0" fontId="0" fillId="0" borderId="0" xfId="0" applyAlignment="1">
      <alignment wrapText="1"/>
    </xf>
    <xf numFmtId="164" fontId="0" fillId="0" borderId="0" xfId="1" applyNumberFormat="1" applyFont="1" applyFill="1" applyBorder="1"/>
    <xf numFmtId="0" fontId="0" fillId="2" borderId="0" xfId="0" applyFill="1"/>
    <xf numFmtId="44" fontId="0" fillId="0" borderId="0" xfId="1" applyFont="1"/>
    <xf numFmtId="9" fontId="0" fillId="2" borderId="0" xfId="2" applyFont="1" applyFill="1"/>
    <xf numFmtId="0" fontId="0" fillId="0" borderId="0" xfId="0" applyFill="1"/>
    <xf numFmtId="44" fontId="4" fillId="0" borderId="0" xfId="0" applyNumberFormat="1" applyFont="1" applyFill="1" applyAlignment="1">
      <alignment horizontal="center" vertical="center"/>
    </xf>
    <xf numFmtId="164" fontId="0" fillId="0" borderId="0" xfId="0" applyNumberFormat="1" applyFill="1"/>
    <xf numFmtId="165" fontId="0" fillId="0" borderId="0" xfId="2" applyNumberFormat="1" applyFont="1" applyFill="1"/>
    <xf numFmtId="164" fontId="0" fillId="0" borderId="0" xfId="1" applyNumberFormat="1" applyFont="1" applyFill="1"/>
    <xf numFmtId="44" fontId="0" fillId="0" borderId="0" xfId="1" applyFont="1" applyFill="1"/>
    <xf numFmtId="44" fontId="0" fillId="0" borderId="0" xfId="0" applyNumberFormat="1" applyFill="1"/>
    <xf numFmtId="0" fontId="0" fillId="0" borderId="0" xfId="0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1" applyNumberFormat="1" applyFont="1" applyFill="1" applyBorder="1"/>
    <xf numFmtId="0" fontId="8" fillId="2" borderId="7" xfId="0" applyFont="1" applyFill="1" applyBorder="1" applyAlignment="1">
      <alignment horizontal="center"/>
    </xf>
    <xf numFmtId="0" fontId="0" fillId="3" borderId="0" xfId="0" applyFill="1"/>
    <xf numFmtId="9" fontId="0" fillId="3" borderId="0" xfId="2" applyFont="1" applyFill="1"/>
    <xf numFmtId="0" fontId="3" fillId="0" borderId="0" xfId="0" applyFont="1" applyFill="1" applyAlignment="1">
      <alignment vertical="center" wrapText="1"/>
    </xf>
    <xf numFmtId="0" fontId="0" fillId="0" borderId="0" xfId="0"/>
    <xf numFmtId="0" fontId="0" fillId="2" borderId="8" xfId="0" applyFill="1" applyBorder="1"/>
    <xf numFmtId="0" fontId="0" fillId="0" borderId="0" xfId="0" applyFill="1"/>
    <xf numFmtId="0" fontId="0" fillId="0" borderId="0" xfId="0" applyFill="1" applyBorder="1"/>
    <xf numFmtId="0" fontId="8" fillId="0" borderId="0" xfId="0" applyFont="1"/>
    <xf numFmtId="166" fontId="0" fillId="0" borderId="0" xfId="33" applyNumberFormat="1" applyFont="1"/>
    <xf numFmtId="0" fontId="8" fillId="0" borderId="0" xfId="0" applyFont="1" applyBorder="1" applyAlignment="1">
      <alignment horizontal="center"/>
    </xf>
    <xf numFmtId="166" fontId="0" fillId="0" borderId="0" xfId="33" applyNumberFormat="1" applyFont="1" applyBorder="1"/>
    <xf numFmtId="3" fontId="0" fillId="0" borderId="0" xfId="0" applyNumberFormat="1" applyFill="1"/>
    <xf numFmtId="0" fontId="3" fillId="0" borderId="0" xfId="0" applyFont="1" applyFill="1" applyAlignment="1">
      <alignment horizontal="centerContinuous" vertical="center" wrapText="1"/>
    </xf>
    <xf numFmtId="0" fontId="18" fillId="0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horizontal="centerContinuous" wrapText="1"/>
    </xf>
    <xf numFmtId="0" fontId="0" fillId="0" borderId="0" xfId="0" applyAlignment="1"/>
    <xf numFmtId="0" fontId="0" fillId="0" borderId="0" xfId="0" applyAlignment="1">
      <alignment horizontal="centerContinuous"/>
    </xf>
    <xf numFmtId="0" fontId="0" fillId="0" borderId="7" xfId="0" applyFill="1" applyBorder="1" applyAlignment="1">
      <alignment wrapText="1"/>
    </xf>
    <xf numFmtId="3" fontId="4" fillId="2" borderId="20" xfId="0" applyNumberFormat="1" applyFont="1" applyFill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2" xfId="0" applyNumberFormat="1" applyFont="1" applyFill="1" applyBorder="1" applyAlignment="1">
      <alignment horizontal="center" vertical="center"/>
    </xf>
    <xf numFmtId="9" fontId="0" fillId="2" borderId="0" xfId="2" applyFont="1" applyFill="1" applyAlignment="1">
      <alignment horizont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wrapText="1"/>
    </xf>
    <xf numFmtId="167" fontId="0" fillId="4" borderId="0" xfId="0" applyNumberFormat="1" applyFill="1"/>
    <xf numFmtId="164" fontId="0" fillId="4" borderId="0" xfId="0" applyNumberFormat="1" applyFill="1"/>
    <xf numFmtId="10" fontId="0" fillId="4" borderId="0" xfId="2" applyNumberFormat="1" applyFont="1" applyFill="1"/>
    <xf numFmtId="164" fontId="0" fillId="2" borderId="0" xfId="1" applyNumberFormat="1" applyFont="1" applyFill="1"/>
    <xf numFmtId="0" fontId="19" fillId="0" borderId="23" xfId="10" applyFont="1" applyBorder="1" applyAlignment="1">
      <alignment horizontal="center" vertical="center"/>
    </xf>
    <xf numFmtId="0" fontId="19" fillId="0" borderId="24" xfId="10" applyFont="1" applyBorder="1" applyAlignment="1">
      <alignment vertical="center" wrapText="1"/>
    </xf>
    <xf numFmtId="0" fontId="0" fillId="0" borderId="24" xfId="0" applyBorder="1"/>
    <xf numFmtId="0" fontId="0" fillId="0" borderId="25" xfId="0" applyBorder="1"/>
    <xf numFmtId="0" fontId="19" fillId="0" borderId="26" xfId="10" applyFont="1" applyBorder="1" applyAlignment="1">
      <alignment horizontal="center" vertical="center"/>
    </xf>
    <xf numFmtId="0" fontId="19" fillId="0" borderId="27" xfId="10" applyFont="1" applyBorder="1" applyAlignment="1">
      <alignment horizontal="center" vertical="center"/>
    </xf>
    <xf numFmtId="0" fontId="19" fillId="0" borderId="27" xfId="10" applyFont="1" applyBorder="1" applyAlignment="1">
      <alignment vertical="center" wrapText="1"/>
    </xf>
    <xf numFmtId="0" fontId="0" fillId="0" borderId="27" xfId="0" applyBorder="1"/>
    <xf numFmtId="0" fontId="19" fillId="0" borderId="27" xfId="10" applyFont="1" applyFill="1" applyBorder="1" applyAlignment="1">
      <alignment vertical="center" wrapText="1"/>
    </xf>
    <xf numFmtId="0" fontId="8" fillId="0" borderId="28" xfId="0" applyFont="1" applyBorder="1" applyAlignment="1">
      <alignment wrapText="1"/>
    </xf>
    <xf numFmtId="0" fontId="19" fillId="0" borderId="26" xfId="10" applyFont="1" applyBorder="1"/>
    <xf numFmtId="168" fontId="2" fillId="0" borderId="27" xfId="10" applyNumberFormat="1" applyFont="1" applyBorder="1"/>
    <xf numFmtId="1" fontId="2" fillId="0" borderId="27" xfId="10" applyNumberFormat="1" applyFont="1" applyBorder="1"/>
    <xf numFmtId="10" fontId="2" fillId="0" borderId="27" xfId="2" applyNumberFormat="1" applyFont="1" applyBorder="1"/>
    <xf numFmtId="9" fontId="0" fillId="2" borderId="27" xfId="0" applyNumberFormat="1" applyFill="1" applyBorder="1"/>
    <xf numFmtId="164" fontId="0" fillId="0" borderId="27" xfId="1" applyNumberFormat="1" applyFont="1" applyBorder="1"/>
    <xf numFmtId="10" fontId="0" fillId="0" borderId="28" xfId="2" applyNumberFormat="1" applyFont="1" applyBorder="1"/>
    <xf numFmtId="168" fontId="19" fillId="0" borderId="27" xfId="10" applyNumberFormat="1" applyFont="1" applyBorder="1"/>
    <xf numFmtId="1" fontId="19" fillId="0" borderId="27" xfId="10" applyNumberFormat="1" applyFont="1" applyBorder="1"/>
    <xf numFmtId="10" fontId="19" fillId="0" borderId="27" xfId="2" applyNumberFormat="1" applyFont="1" applyBorder="1"/>
    <xf numFmtId="164" fontId="8" fillId="0" borderId="27" xfId="0" applyNumberFormat="1" applyFont="1" applyBorder="1"/>
    <xf numFmtId="10" fontId="8" fillId="0" borderId="28" xfId="0" applyNumberFormat="1" applyFont="1" applyBorder="1"/>
    <xf numFmtId="0" fontId="19" fillId="0" borderId="29" xfId="10" applyFont="1" applyBorder="1"/>
    <xf numFmtId="10" fontId="19" fillId="0" borderId="30" xfId="11" applyNumberFormat="1" applyFont="1" applyBorder="1"/>
    <xf numFmtId="0" fontId="0" fillId="0" borderId="30" xfId="0" applyBorder="1"/>
    <xf numFmtId="0" fontId="0" fillId="0" borderId="31" xfId="0" applyBorder="1"/>
    <xf numFmtId="164" fontId="0" fillId="0" borderId="0" xfId="1" applyNumberFormat="1" applyFont="1"/>
    <xf numFmtId="6" fontId="0" fillId="0" borderId="0" xfId="0" applyNumberFormat="1"/>
    <xf numFmtId="0" fontId="0" fillId="2" borderId="0" xfId="0" applyNumberFormat="1" applyFill="1"/>
    <xf numFmtId="166" fontId="0" fillId="0" borderId="0" xfId="33" applyNumberFormat="1" applyFont="1" applyFill="1" applyBorder="1"/>
    <xf numFmtId="166" fontId="11" fillId="0" borderId="17" xfId="33" applyNumberFormat="1" applyFont="1" applyFill="1" applyBorder="1" applyAlignment="1">
      <alignment horizontal="right"/>
    </xf>
    <xf numFmtId="166" fontId="11" fillId="0" borderId="5" xfId="33" applyNumberFormat="1" applyFont="1" applyFill="1" applyBorder="1" applyAlignment="1">
      <alignment horizontal="right"/>
    </xf>
    <xf numFmtId="166" fontId="11" fillId="0" borderId="1" xfId="33" applyNumberFormat="1" applyFont="1" applyFill="1" applyBorder="1" applyAlignment="1">
      <alignment horizontal="right"/>
    </xf>
    <xf numFmtId="166" fontId="11" fillId="0" borderId="19" xfId="33" applyNumberFormat="1" applyFont="1" applyFill="1" applyBorder="1" applyAlignment="1">
      <alignment horizontal="right"/>
    </xf>
    <xf numFmtId="166" fontId="11" fillId="0" borderId="11" xfId="33" applyNumberFormat="1" applyFont="1" applyFill="1" applyBorder="1" applyAlignment="1">
      <alignment horizontal="right"/>
    </xf>
    <xf numFmtId="166" fontId="11" fillId="0" borderId="14" xfId="33" applyNumberFormat="1" applyFont="1" applyFill="1" applyBorder="1" applyAlignment="1">
      <alignment horizontal="right"/>
    </xf>
    <xf numFmtId="166" fontId="11" fillId="0" borderId="2" xfId="33" applyNumberFormat="1" applyFont="1" applyFill="1" applyBorder="1" applyAlignment="1">
      <alignment horizontal="right"/>
    </xf>
    <xf numFmtId="166" fontId="11" fillId="0" borderId="4" xfId="33" applyNumberFormat="1" applyFont="1" applyFill="1" applyBorder="1" applyAlignment="1">
      <alignment horizontal="right"/>
    </xf>
    <xf numFmtId="166" fontId="11" fillId="0" borderId="9" xfId="33" applyNumberFormat="1" applyFont="1" applyFill="1" applyBorder="1" applyAlignment="1">
      <alignment horizontal="right"/>
    </xf>
    <xf numFmtId="166" fontId="11" fillId="0" borderId="12" xfId="33" applyNumberFormat="1" applyFont="1" applyFill="1" applyBorder="1" applyAlignment="1">
      <alignment horizontal="right"/>
    </xf>
    <xf numFmtId="166" fontId="11" fillId="0" borderId="15" xfId="33" applyNumberFormat="1" applyFont="1" applyFill="1" applyBorder="1" applyAlignment="1">
      <alignment horizontal="right"/>
    </xf>
    <xf numFmtId="166" fontId="0" fillId="0" borderId="9" xfId="33" applyNumberFormat="1" applyFont="1" applyFill="1" applyBorder="1" applyAlignment="1">
      <alignment horizontal="right"/>
    </xf>
    <xf numFmtId="166" fontId="0" fillId="0" borderId="12" xfId="33" applyNumberFormat="1" applyFont="1" applyFill="1" applyBorder="1" applyAlignment="1">
      <alignment horizontal="right"/>
    </xf>
    <xf numFmtId="166" fontId="0" fillId="0" borderId="15" xfId="33" applyNumberFormat="1" applyFont="1" applyFill="1" applyBorder="1" applyAlignment="1">
      <alignment horizontal="right"/>
    </xf>
    <xf numFmtId="166" fontId="11" fillId="0" borderId="0" xfId="33" applyNumberFormat="1" applyFont="1" applyFill="1" applyBorder="1" applyAlignment="1">
      <alignment horizontal="right"/>
    </xf>
    <xf numFmtId="166" fontId="0" fillId="0" borderId="0" xfId="33" applyNumberFormat="1" applyFont="1" applyFill="1" applyBorder="1" applyAlignment="1">
      <alignment horizontal="right"/>
    </xf>
    <xf numFmtId="166" fontId="0" fillId="0" borderId="2" xfId="33" applyNumberFormat="1" applyFont="1" applyFill="1" applyBorder="1" applyAlignment="1">
      <alignment horizontal="right"/>
    </xf>
    <xf numFmtId="166" fontId="11" fillId="0" borderId="18" xfId="33" applyNumberFormat="1" applyFont="1" applyFill="1" applyBorder="1" applyAlignment="1">
      <alignment horizontal="right"/>
    </xf>
    <xf numFmtId="166" fontId="11" fillId="0" borderId="6" xfId="33" applyNumberFormat="1" applyFont="1" applyFill="1" applyBorder="1" applyAlignment="1">
      <alignment horizontal="right"/>
    </xf>
    <xf numFmtId="166" fontId="11" fillId="0" borderId="3" xfId="33" applyNumberFormat="1" applyFont="1" applyFill="1" applyBorder="1" applyAlignment="1">
      <alignment horizontal="right"/>
    </xf>
    <xf numFmtId="166" fontId="11" fillId="0" borderId="10" xfId="33" applyNumberFormat="1" applyFont="1" applyFill="1" applyBorder="1" applyAlignment="1">
      <alignment horizontal="right"/>
    </xf>
    <xf numFmtId="166" fontId="11" fillId="0" borderId="13" xfId="33" applyNumberFormat="1" applyFont="1" applyFill="1" applyBorder="1" applyAlignment="1">
      <alignment horizontal="right"/>
    </xf>
    <xf numFmtId="166" fontId="11" fillId="0" borderId="16" xfId="33" applyNumberFormat="1" applyFont="1" applyFill="1" applyBorder="1" applyAlignment="1">
      <alignment horizontal="right"/>
    </xf>
    <xf numFmtId="0" fontId="19" fillId="0" borderId="24" xfId="1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3" fontId="0" fillId="0" borderId="0" xfId="0" applyNumberFormat="1"/>
  </cellXfs>
  <cellStyles count="34">
    <cellStyle name="Comma" xfId="33" builtinId="3"/>
    <cellStyle name="Comma 2" xfId="4"/>
    <cellStyle name="Comma 3" xfId="25"/>
    <cellStyle name="Comma 4" xfId="28"/>
    <cellStyle name="Comma 5" xfId="12"/>
    <cellStyle name="Comma 5 2" xfId="29"/>
    <cellStyle name="Currency" xfId="1" builtinId="4"/>
    <cellStyle name="Currency 2" xfId="14"/>
    <cellStyle name="Currency 2 2" xfId="31"/>
    <cellStyle name="Normal" xfId="0" builtinId="0"/>
    <cellStyle name="Normal 2" xfId="5"/>
    <cellStyle name="Normal 2 2" xfId="3"/>
    <cellStyle name="Normal 2 2 2" xfId="8"/>
    <cellStyle name="Normal 2 3" xfId="21"/>
    <cellStyle name="Normal 2 4" xfId="6"/>
    <cellStyle name="Normal 3" xfId="7"/>
    <cellStyle name="Normal 3 2" xfId="16"/>
    <cellStyle name="Normal 3 3" xfId="18"/>
    <cellStyle name="Normal 4" xfId="9"/>
    <cellStyle name="Normal 4 2" xfId="10"/>
    <cellStyle name="Normal 4 3" xfId="22"/>
    <cellStyle name="Normal 5" xfId="15"/>
    <cellStyle name="Normal 5 2" xfId="23"/>
    <cellStyle name="Normal 6" xfId="17"/>
    <cellStyle name="Normal 6 2" xfId="24"/>
    <cellStyle name="Normal 7" xfId="26"/>
    <cellStyle name="Normal 8" xfId="27"/>
    <cellStyle name="Percent" xfId="2" builtinId="5"/>
    <cellStyle name="Percent 2" xfId="19"/>
    <cellStyle name="Percent 2 2" xfId="20"/>
    <cellStyle name="Percent 2 3" xfId="32"/>
    <cellStyle name="Percent 3" xfId="11"/>
    <cellStyle name="Percent 4" xfId="13"/>
    <cellStyle name="Percent 4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0337160932358153"/>
          <c:y val="1.91528527344693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'Model Generation'!$D$4</c:f>
              <c:strCache>
                <c:ptCount val="1"/>
                <c:pt idx="0">
                  <c:v>Average Recurring Funds Per Graduate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0.11504087397688451"/>
                  <c:y val="-0.184135224569460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'Model Generation'!$C$5:$C$11</c:f>
              <c:numCache>
                <c:formatCode>0</c:formatCode>
                <c:ptCount val="7"/>
                <c:pt idx="0">
                  <c:v>1041</c:v>
                </c:pt>
                <c:pt idx="1">
                  <c:v>2000.3333333333333</c:v>
                </c:pt>
                <c:pt idx="2">
                  <c:v>2923</c:v>
                </c:pt>
                <c:pt idx="3">
                  <c:v>5404.4</c:v>
                </c:pt>
                <c:pt idx="4">
                  <c:v>8359.5</c:v>
                </c:pt>
                <c:pt idx="5">
                  <c:v>12730.25</c:v>
                </c:pt>
                <c:pt idx="6">
                  <c:v>23816</c:v>
                </c:pt>
              </c:numCache>
            </c:numRef>
          </c:xVal>
          <c:yVal>
            <c:numRef>
              <c:f>'Model Generation'!$D$5:$D$11</c:f>
              <c:numCache>
                <c:formatCode>_("$"* #,##0.00_);_("$"* \(#,##0.00\);_("$"* "-"??_);_(@_)</c:formatCode>
                <c:ptCount val="7"/>
                <c:pt idx="0">
                  <c:v>11611.491517771376</c:v>
                </c:pt>
                <c:pt idx="1">
                  <c:v>12756.988893517746</c:v>
                </c:pt>
                <c:pt idx="2">
                  <c:v>11077.172281046869</c:v>
                </c:pt>
                <c:pt idx="3">
                  <c:v>9906.8886873658521</c:v>
                </c:pt>
                <c:pt idx="4">
                  <c:v>8535.3634649201504</c:v>
                </c:pt>
                <c:pt idx="5">
                  <c:v>9503.2193578287934</c:v>
                </c:pt>
                <c:pt idx="6">
                  <c:v>9368.1217937520996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29-4145-BE20-F0FACE4798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38454742415553983"/>
          <c:y val="1.351351351351351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Models'!$D$4</c:f>
              <c:strCache>
                <c:ptCount val="1"/>
                <c:pt idx="0">
                  <c:v> Recurring Funds Per Graduate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4619A58-F802-488B-806D-6CEF153E404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42EB-4EAA-9A1D-F2DFFD12C2A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5262676-0A32-4CEC-9C7E-C570F29046C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42EB-4EAA-9A1D-F2DFFD12C2A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BA2FEF80-E18F-48C7-AD4E-EE7FF01BC9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42EB-4EAA-9A1D-F2DFFD12C2A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2A34E3A-D456-42EF-B349-541DAC11B81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42EB-4EAA-9A1D-F2DFFD12C2A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0E484FDE-6CD2-4327-A028-03E44A3E3AD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42EB-4EAA-9A1D-F2DFFD12C2A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56CB17E7-725E-4E12-9524-F673D63E815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42EB-4EAA-9A1D-F2DFFD12C2A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CE11FDB5-8041-47D6-9433-98C1AA65CFB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42EB-4EAA-9A1D-F2DFFD12C2A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4FBFF6DD-0ACD-45FC-B831-BD2708D56A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42EB-4EAA-9A1D-F2DFFD12C2A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B1ABF8F1-9BCD-4F9E-9D0B-626AE8E9D85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42EB-4EAA-9A1D-F2DFFD12C2A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3A50F465-E47F-4A21-B55F-C647BE2D63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42EB-4EAA-9A1D-F2DFFD12C2A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6BD3B0CC-2A26-40FF-B787-6DA1D86D841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42EB-4EAA-9A1D-F2DFFD12C2A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6B161086-0509-4DFC-8751-BAA093E3705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42EB-4EAA-9A1D-F2DFFD12C2A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33110ACA-4AD0-48C9-87EF-0D805A71368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42EB-4EAA-9A1D-F2DFFD12C2A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98CD9C56-52F3-4298-9C28-36294C29013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42EB-4EAA-9A1D-F2DFFD12C2A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97F97CE3-298A-4184-839D-757D65DD5D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E-42EB-4EAA-9A1D-F2DFFD12C2A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A302546A-3872-4E8D-B0FA-4A424A81312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42EB-4EAA-9A1D-F2DFFD12C2A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81F79956-25B1-475D-9BF9-D14B21B1FBB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42EB-4EAA-9A1D-F2DFFD12C2A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ED9FBDB5-D742-4A5E-A9B0-8D967B2EF54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42EB-4EAA-9A1D-F2DFFD12C2A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F699E9BA-6876-448F-8E7C-71327C73B1E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42EB-4EAA-9A1D-F2DFFD12C2A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7374CAF6-EA6C-4A48-8474-B7D9D927A0B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42EB-4EAA-9A1D-F2DFFD12C2A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E200AC8F-4DE2-448C-8D33-3BA8FDEB84A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4-42EB-4EAA-9A1D-F2DFFD12C2A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AB0C1E21-B13D-4B58-A066-84CFE62FC94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42EB-4EAA-9A1D-F2DFFD12C2A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0CC41409-C9D3-44A7-8C15-C29C5142306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6-42EB-4EAA-9A1D-F2DFFD12C2A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0C5EAD19-DE77-4349-80F1-DEAC6EF4FE1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42EB-4EAA-9A1D-F2DFFD12C2A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6EA50952-D9CA-40DF-BF23-12E1070A265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8-42EB-4EAA-9A1D-F2DFFD12C2A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EC238F9-8F7E-4E85-B387-1ABF35FC0DF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b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9-42EB-4EAA-9A1D-F2DFFD12C2A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4BD7220B-3152-4DAE-8878-603B81FDEBB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A-42EB-4EAA-9A1D-F2DFFD12C2A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E6376A0C-EB14-4788-A854-46384DD8B82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B-42EB-4EAA-9A1D-F2DFFD12C2A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0" tIns="0" rIns="0" bIns="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Models'!$C$5:$C$32</c:f>
              <c:numCache>
                <c:formatCode>0</c:formatCode>
                <c:ptCount val="28"/>
                <c:pt idx="0">
                  <c:v>770</c:v>
                </c:pt>
                <c:pt idx="1">
                  <c:v>929</c:v>
                </c:pt>
                <c:pt idx="2">
                  <c:v>1424</c:v>
                </c:pt>
                <c:pt idx="3">
                  <c:v>1563</c:v>
                </c:pt>
                <c:pt idx="4">
                  <c:v>1797</c:v>
                </c:pt>
                <c:pt idx="5">
                  <c:v>1920</c:v>
                </c:pt>
                <c:pt idx="6">
                  <c:v>2518</c:v>
                </c:pt>
                <c:pt idx="7">
                  <c:v>2949</c:v>
                </c:pt>
                <c:pt idx="8">
                  <c:v>3181</c:v>
                </c:pt>
                <c:pt idx="9">
                  <c:v>3765</c:v>
                </c:pt>
                <c:pt idx="10">
                  <c:v>4514</c:v>
                </c:pt>
                <c:pt idx="11">
                  <c:v>4850</c:v>
                </c:pt>
                <c:pt idx="12">
                  <c:v>5123</c:v>
                </c:pt>
                <c:pt idx="13">
                  <c:v>5707</c:v>
                </c:pt>
                <c:pt idx="14">
                  <c:v>6828</c:v>
                </c:pt>
                <c:pt idx="15">
                  <c:v>6878</c:v>
                </c:pt>
                <c:pt idx="16">
                  <c:v>7350</c:v>
                </c:pt>
                <c:pt idx="17">
                  <c:v>8187</c:v>
                </c:pt>
                <c:pt idx="18">
                  <c:v>9160</c:v>
                </c:pt>
                <c:pt idx="19">
                  <c:v>9225</c:v>
                </c:pt>
                <c:pt idx="20">
                  <c:v>9357</c:v>
                </c:pt>
                <c:pt idx="21">
                  <c:v>11382</c:v>
                </c:pt>
                <c:pt idx="22">
                  <c:v>11592</c:v>
                </c:pt>
                <c:pt idx="23">
                  <c:v>13700</c:v>
                </c:pt>
                <c:pt idx="24">
                  <c:v>14247</c:v>
                </c:pt>
                <c:pt idx="25">
                  <c:v>18143</c:v>
                </c:pt>
                <c:pt idx="26">
                  <c:v>22971</c:v>
                </c:pt>
                <c:pt idx="27">
                  <c:v>30334</c:v>
                </c:pt>
              </c:numCache>
            </c:numRef>
          </c:xVal>
          <c:yVal>
            <c:numRef>
              <c:f>'28 Point Models'!$D$5:$D$32</c:f>
              <c:numCache>
                <c:formatCode>_("$"* #,##0.00_);_("$"* \(#,##0.00\);_("$"* "-"??_);_(@_)</c:formatCode>
                <c:ptCount val="28"/>
                <c:pt idx="0">
                  <c:v>14090.100844155844</c:v>
                </c:pt>
                <c:pt idx="1">
                  <c:v>10738.068794402583</c:v>
                </c:pt>
                <c:pt idx="2">
                  <c:v>10841.042450842697</c:v>
                </c:pt>
                <c:pt idx="3">
                  <c:v>15745.953032629559</c:v>
                </c:pt>
                <c:pt idx="4">
                  <c:v>12633.122982749026</c:v>
                </c:pt>
                <c:pt idx="5">
                  <c:v>10324.877723958334</c:v>
                </c:pt>
                <c:pt idx="6">
                  <c:v>12756.155889594917</c:v>
                </c:pt>
                <c:pt idx="7">
                  <c:v>10658.142760257715</c:v>
                </c:pt>
                <c:pt idx="8">
                  <c:v>10817.785658597924</c:v>
                </c:pt>
                <c:pt idx="9">
                  <c:v>10881.895652058434</c:v>
                </c:pt>
                <c:pt idx="10">
                  <c:v>11745.974590163934</c:v>
                </c:pt>
                <c:pt idx="11">
                  <c:v>9107.0425154639179</c:v>
                </c:pt>
                <c:pt idx="12">
                  <c:v>10583.473447198907</c:v>
                </c:pt>
                <c:pt idx="13">
                  <c:v>9750.7423812861398</c:v>
                </c:pt>
                <c:pt idx="14">
                  <c:v>8882.0795796719394</c:v>
                </c:pt>
                <c:pt idx="15">
                  <c:v>9248.4519787728987</c:v>
                </c:pt>
                <c:pt idx="16">
                  <c:v>9299.0878068027196</c:v>
                </c:pt>
                <c:pt idx="17">
                  <c:v>9282.4161157933304</c:v>
                </c:pt>
                <c:pt idx="18">
                  <c:v>7476.3334192139746</c:v>
                </c:pt>
                <c:pt idx="19">
                  <c:v>8246.7581073170732</c:v>
                </c:pt>
                <c:pt idx="20">
                  <c:v>8078.9119183498979</c:v>
                </c:pt>
                <c:pt idx="21">
                  <c:v>10850.396472500441</c:v>
                </c:pt>
                <c:pt idx="22">
                  <c:v>9861.752129917184</c:v>
                </c:pt>
                <c:pt idx="23">
                  <c:v>8718.5417211678832</c:v>
                </c:pt>
                <c:pt idx="24">
                  <c:v>8889.7850775601873</c:v>
                </c:pt>
                <c:pt idx="25">
                  <c:v>8906.1272363997123</c:v>
                </c:pt>
                <c:pt idx="26">
                  <c:v>7885.2183392103088</c:v>
                </c:pt>
                <c:pt idx="27">
                  <c:v>10767.401232939936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Models'!$A$5:$A$32</c15:f>
                <c15:dlblRangeCache>
                  <c:ptCount val="28"/>
                  <c:pt idx="0">
                    <c:v>CFK</c:v>
                  </c:pt>
                  <c:pt idx="1">
                    <c:v>NF</c:v>
                  </c:pt>
                  <c:pt idx="2">
                    <c:v>CC</c:v>
                  </c:pt>
                  <c:pt idx="3">
                    <c:v>SFSC</c:v>
                  </c:pt>
                  <c:pt idx="4">
                    <c:v>LSSC</c:v>
                  </c:pt>
                  <c:pt idx="5">
                    <c:v>FGC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SJRSC</c:v>
                  </c:pt>
                  <c:pt idx="9">
                    <c:v>CF</c:v>
                  </c:pt>
                  <c:pt idx="10">
                    <c:v>PHSC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POLK</c:v>
                  </c:pt>
                  <c:pt idx="14">
                    <c:v>TCC</c:v>
                  </c:pt>
                  <c:pt idx="15">
                    <c:v>FSW</c:v>
                  </c:pt>
                  <c:pt idx="16">
                    <c:v>SFC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SSCF</c:v>
                  </c:pt>
                  <c:pt idx="20">
                    <c:v>IRSC</c:v>
                  </c:pt>
                  <c:pt idx="21">
                    <c:v>HCC</c:v>
                  </c:pt>
                  <c:pt idx="22">
                    <c:v>PBSC</c:v>
                  </c:pt>
                  <c:pt idx="23">
                    <c:v>FSCJ</c:v>
                  </c:pt>
                  <c:pt idx="24">
                    <c:v>SPC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898F-4A27-86C5-81CC00820C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315072147141626E-2"/>
          <c:y val="3.8129418162044591E-2"/>
          <c:w val="0.91850935910206266"/>
          <c:h val="0.911412141997747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'28 Point Models'!$D$38</c:f>
              <c:strCache>
                <c:ptCount val="1"/>
                <c:pt idx="0">
                  <c:v> Recurring Funds Per Graduate Including New Distributions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9A7B93A-9EEE-45F2-B043-F294CB1FDB0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B66-4FCB-A54B-C812E501C59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46AFECEB-32A9-4A7F-AA69-73770C60B7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B66-4FCB-A54B-C812E501C59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D51DB4A7-9D21-498C-9218-2798CF2CF39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B66-4FCB-A54B-C812E501C59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9C358600-76B9-4B8D-822D-2D84AA4DC2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B66-4FCB-A54B-C812E501C59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B1BE559F-1A3E-4135-B86E-FF0F28B433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B66-4FCB-A54B-C812E501C596}"/>
                </c:ext>
              </c:extLst>
            </c:dLbl>
            <c:dLbl>
              <c:idx val="5"/>
              <c:layout/>
              <c:tx>
                <c:rich>
                  <a:bodyPr/>
                  <a:lstStyle/>
                  <a:p>
                    <a:fld id="{30BF3BE3-B626-4F83-A0A4-E5F228631D6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FB66-4FCB-A54B-C812E501C596}"/>
                </c:ext>
              </c:extLst>
            </c:dLbl>
            <c:dLbl>
              <c:idx val="6"/>
              <c:layout/>
              <c:tx>
                <c:rich>
                  <a:bodyPr/>
                  <a:lstStyle/>
                  <a:p>
                    <a:fld id="{DEC14CC9-6010-4119-B6F6-503EB58D8D23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FB66-4FCB-A54B-C812E501C596}"/>
                </c:ext>
              </c:extLst>
            </c:dLbl>
            <c:dLbl>
              <c:idx val="7"/>
              <c:layout/>
              <c:tx>
                <c:rich>
                  <a:bodyPr/>
                  <a:lstStyle/>
                  <a:p>
                    <a:fld id="{DFE18A51-D05B-4A7B-8B30-7081D2418E6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FB66-4FCB-A54B-C812E501C596}"/>
                </c:ext>
              </c:extLst>
            </c:dLbl>
            <c:dLbl>
              <c:idx val="8"/>
              <c:layout/>
              <c:tx>
                <c:rich>
                  <a:bodyPr/>
                  <a:lstStyle/>
                  <a:p>
                    <a:fld id="{D658A969-2044-40BB-AA4D-F482A210B13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FB66-4FCB-A54B-C812E501C596}"/>
                </c:ext>
              </c:extLst>
            </c:dLbl>
            <c:dLbl>
              <c:idx val="9"/>
              <c:layout/>
              <c:tx>
                <c:rich>
                  <a:bodyPr/>
                  <a:lstStyle/>
                  <a:p>
                    <a:fld id="{8750CCBE-C737-4C5B-A108-1DC46408E40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FB66-4FCB-A54B-C812E501C596}"/>
                </c:ext>
              </c:extLst>
            </c:dLbl>
            <c:dLbl>
              <c:idx val="10"/>
              <c:layout/>
              <c:tx>
                <c:rich>
                  <a:bodyPr/>
                  <a:lstStyle/>
                  <a:p>
                    <a:fld id="{367A2F99-8E71-4BEA-BE1C-77E6FC60901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FB66-4FCB-A54B-C812E501C596}"/>
                </c:ext>
              </c:extLst>
            </c:dLbl>
            <c:dLbl>
              <c:idx val="11"/>
              <c:layout/>
              <c:tx>
                <c:rich>
                  <a:bodyPr/>
                  <a:lstStyle/>
                  <a:p>
                    <a:fld id="{22052261-C93A-4897-8DF2-8743147422D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FB66-4FCB-A54B-C812E501C596}"/>
                </c:ext>
              </c:extLst>
            </c:dLbl>
            <c:dLbl>
              <c:idx val="12"/>
              <c:layout/>
              <c:tx>
                <c:rich>
                  <a:bodyPr/>
                  <a:lstStyle/>
                  <a:p>
                    <a:fld id="{10BDF1B5-D768-40E3-B377-8D58D3D60AE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FB66-4FCB-A54B-C812E501C596}"/>
                </c:ext>
              </c:extLst>
            </c:dLbl>
            <c:dLbl>
              <c:idx val="13"/>
              <c:layout/>
              <c:tx>
                <c:rich>
                  <a:bodyPr/>
                  <a:lstStyle/>
                  <a:p>
                    <a:fld id="{A24109F2-632D-4B88-BBC0-5226BFC0E381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FB66-4FCB-A54B-C812E501C596}"/>
                </c:ext>
              </c:extLst>
            </c:dLbl>
            <c:dLbl>
              <c:idx val="14"/>
              <c:layout/>
              <c:tx>
                <c:rich>
                  <a:bodyPr/>
                  <a:lstStyle/>
                  <a:p>
                    <a:fld id="{868597C8-6D78-4750-9FC0-290D204CB558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FB66-4FCB-A54B-C812E501C596}"/>
                </c:ext>
              </c:extLst>
            </c:dLbl>
            <c:dLbl>
              <c:idx val="15"/>
              <c:layout/>
              <c:tx>
                <c:rich>
                  <a:bodyPr/>
                  <a:lstStyle/>
                  <a:p>
                    <a:fld id="{D246DEF7-3FDF-49F5-B50C-0281055302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F-FB66-4FCB-A54B-C812E501C596}"/>
                </c:ext>
              </c:extLst>
            </c:dLbl>
            <c:dLbl>
              <c:idx val="16"/>
              <c:layout/>
              <c:tx>
                <c:rich>
                  <a:bodyPr/>
                  <a:lstStyle/>
                  <a:p>
                    <a:fld id="{D838CEA0-409C-4C12-9FA7-2AC4B7AE310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0-FB66-4FCB-A54B-C812E501C596}"/>
                </c:ext>
              </c:extLst>
            </c:dLbl>
            <c:dLbl>
              <c:idx val="17"/>
              <c:layout/>
              <c:tx>
                <c:rich>
                  <a:bodyPr/>
                  <a:lstStyle/>
                  <a:p>
                    <a:fld id="{85073653-0D00-45C3-A665-37C17EF8A17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1-FB66-4FCB-A54B-C812E501C596}"/>
                </c:ext>
              </c:extLst>
            </c:dLbl>
            <c:dLbl>
              <c:idx val="18"/>
              <c:layout/>
              <c:tx>
                <c:rich>
                  <a:bodyPr/>
                  <a:lstStyle/>
                  <a:p>
                    <a:fld id="{67E07A9B-2A5C-4B75-B35C-5E1E17810584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2-FB66-4FCB-A54B-C812E501C596}"/>
                </c:ext>
              </c:extLst>
            </c:dLbl>
            <c:dLbl>
              <c:idx val="19"/>
              <c:layout/>
              <c:tx>
                <c:rich>
                  <a:bodyPr/>
                  <a:lstStyle/>
                  <a:p>
                    <a:fld id="{D72B21BC-33DE-4997-B567-114122F4A7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3-FB66-4FCB-A54B-C812E501C596}"/>
                </c:ext>
              </c:extLst>
            </c:dLbl>
            <c:dLbl>
              <c:idx val="20"/>
              <c:layout/>
              <c:tx>
                <c:rich>
                  <a:bodyPr/>
                  <a:lstStyle/>
                  <a:p>
                    <a:fld id="{8E910DC0-6F67-4360-A02E-EDB35C2DFF2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4-FB66-4FCB-A54B-C812E501C596}"/>
                </c:ext>
              </c:extLst>
            </c:dLbl>
            <c:dLbl>
              <c:idx val="21"/>
              <c:layout/>
              <c:tx>
                <c:rich>
                  <a:bodyPr/>
                  <a:lstStyle/>
                  <a:p>
                    <a:fld id="{92992307-4DEA-4FEF-89DF-BAF8D41F47E7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5-FB66-4FCB-A54B-C812E501C596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fld id="{14992A00-3C88-4840-88F9-AE0F322C703C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6-FB66-4FCB-A54B-C812E501C596}"/>
                </c:ext>
              </c:extLst>
            </c:dLbl>
            <c:dLbl>
              <c:idx val="23"/>
              <c:layout/>
              <c:tx>
                <c:rich>
                  <a:bodyPr/>
                  <a:lstStyle/>
                  <a:p>
                    <a:fld id="{8A7FE4F0-5A4D-450A-8DBF-93498B8E5E9B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7-FB66-4FCB-A54B-C812E501C596}"/>
                </c:ext>
              </c:extLst>
            </c:dLbl>
            <c:dLbl>
              <c:idx val="24"/>
              <c:layout/>
              <c:tx>
                <c:rich>
                  <a:bodyPr/>
                  <a:lstStyle/>
                  <a:p>
                    <a:fld id="{C656682E-16FE-42B9-BACA-6EC95361C680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B66-4FCB-A54B-C812E501C596}"/>
                </c:ext>
              </c:extLst>
            </c:dLbl>
            <c:dLbl>
              <c:idx val="25"/>
              <c:layout/>
              <c:tx>
                <c:rich>
                  <a:bodyPr/>
                  <a:lstStyle/>
                  <a:p>
                    <a:fld id="{9438BC27-B464-4F9D-8744-CB16F962B38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B66-4FCB-A54B-C812E501C596}"/>
                </c:ext>
              </c:extLst>
            </c:dLbl>
            <c:dLbl>
              <c:idx val="26"/>
              <c:layout/>
              <c:tx>
                <c:rich>
                  <a:bodyPr/>
                  <a:lstStyle/>
                  <a:p>
                    <a:fld id="{BEAAAE1F-D789-48E9-93EB-BCE46C197D15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A-FB66-4FCB-A54B-C812E501C596}"/>
                </c:ext>
              </c:extLst>
            </c:dLbl>
            <c:dLbl>
              <c:idx val="27"/>
              <c:layout/>
              <c:tx>
                <c:rich>
                  <a:bodyPr/>
                  <a:lstStyle/>
                  <a:p>
                    <a:fld id="{CA5B2578-1A14-4C6C-B469-2FB32714585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B66-4FCB-A54B-C812E501C5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DataLabelsRange val="1"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9525" cap="rnd">
                <a:solidFill>
                  <a:schemeClr val="accent1"/>
                </a:solidFill>
              </a:ln>
              <a:effectLst/>
            </c:spPr>
            <c:trendlineType val="power"/>
            <c:dispRSqr val="1"/>
            <c:dispEq val="1"/>
            <c:trendlineLbl>
              <c:layout>
                <c:manualLayout>
                  <c:x val="-1.0479002624671917E-3"/>
                  <c:y val="-0.417966326134181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'28 Point Models'!$C$39:$C$66</c:f>
              <c:numCache>
                <c:formatCode>#,##0</c:formatCode>
                <c:ptCount val="28"/>
                <c:pt idx="0">
                  <c:v>770</c:v>
                </c:pt>
                <c:pt idx="1">
                  <c:v>929</c:v>
                </c:pt>
                <c:pt idx="2">
                  <c:v>1424</c:v>
                </c:pt>
                <c:pt idx="3">
                  <c:v>1563</c:v>
                </c:pt>
                <c:pt idx="4">
                  <c:v>1797</c:v>
                </c:pt>
                <c:pt idx="5">
                  <c:v>1920</c:v>
                </c:pt>
                <c:pt idx="6">
                  <c:v>2518</c:v>
                </c:pt>
                <c:pt idx="7">
                  <c:v>2949</c:v>
                </c:pt>
                <c:pt idx="8">
                  <c:v>3181</c:v>
                </c:pt>
                <c:pt idx="9">
                  <c:v>3765</c:v>
                </c:pt>
                <c:pt idx="10">
                  <c:v>4514</c:v>
                </c:pt>
                <c:pt idx="11">
                  <c:v>4850</c:v>
                </c:pt>
                <c:pt idx="12">
                  <c:v>5123</c:v>
                </c:pt>
                <c:pt idx="13">
                  <c:v>5707</c:v>
                </c:pt>
                <c:pt idx="14">
                  <c:v>6828</c:v>
                </c:pt>
                <c:pt idx="15">
                  <c:v>6878</c:v>
                </c:pt>
                <c:pt idx="16">
                  <c:v>7350</c:v>
                </c:pt>
                <c:pt idx="17">
                  <c:v>8187</c:v>
                </c:pt>
                <c:pt idx="18">
                  <c:v>9160</c:v>
                </c:pt>
                <c:pt idx="19">
                  <c:v>9225</c:v>
                </c:pt>
                <c:pt idx="20">
                  <c:v>9357</c:v>
                </c:pt>
                <c:pt idx="21">
                  <c:v>11382</c:v>
                </c:pt>
                <c:pt idx="22">
                  <c:v>11592</c:v>
                </c:pt>
                <c:pt idx="23">
                  <c:v>13700</c:v>
                </c:pt>
                <c:pt idx="24">
                  <c:v>14247</c:v>
                </c:pt>
                <c:pt idx="25">
                  <c:v>18143</c:v>
                </c:pt>
                <c:pt idx="26">
                  <c:v>22971</c:v>
                </c:pt>
                <c:pt idx="27">
                  <c:v>30334</c:v>
                </c:pt>
              </c:numCache>
            </c:numRef>
          </c:xVal>
          <c:yVal>
            <c:numRef>
              <c:f>'28 Point Models'!$D$39:$D$66</c:f>
              <c:numCache>
                <c:formatCode>_("$"* #,##0.00_);_("$"* \(#,##0.00\);_("$"* "-"??_);_(@_)</c:formatCode>
                <c:ptCount val="28"/>
                <c:pt idx="0">
                  <c:v>14278.502681674787</c:v>
                </c:pt>
                <c:pt idx="1">
                  <c:v>11289.640065131194</c:v>
                </c:pt>
                <c:pt idx="2">
                  <c:v>11227.297665816408</c:v>
                </c:pt>
                <c:pt idx="3">
                  <c:v>15906.369139627201</c:v>
                </c:pt>
                <c:pt idx="4">
                  <c:v>12793.673254626661</c:v>
                </c:pt>
                <c:pt idx="5">
                  <c:v>10748.389205649846</c:v>
                </c:pt>
                <c:pt idx="6">
                  <c:v>12909.050648396886</c:v>
                </c:pt>
                <c:pt idx="7">
                  <c:v>10873.576413737339</c:v>
                </c:pt>
                <c:pt idx="8">
                  <c:v>10971.522715181531</c:v>
                </c:pt>
                <c:pt idx="9">
                  <c:v>11026.02006568487</c:v>
                </c:pt>
                <c:pt idx="10">
                  <c:v>11892.127478202377</c:v>
                </c:pt>
                <c:pt idx="11">
                  <c:v>9565.9567491317866</c:v>
                </c:pt>
                <c:pt idx="12">
                  <c:v>10726.785272157374</c:v>
                </c:pt>
                <c:pt idx="13">
                  <c:v>9998.7325242448223</c:v>
                </c:pt>
                <c:pt idx="14">
                  <c:v>9296.8545520922853</c:v>
                </c:pt>
                <c:pt idx="15">
                  <c:v>9578.1259540447609</c:v>
                </c:pt>
                <c:pt idx="16">
                  <c:v>9591.4235107279601</c:v>
                </c:pt>
                <c:pt idx="17">
                  <c:v>9547.9827781272379</c:v>
                </c:pt>
                <c:pt idx="18">
                  <c:v>8165.1135167733764</c:v>
                </c:pt>
                <c:pt idx="19">
                  <c:v>8742.6865827796428</c:v>
                </c:pt>
                <c:pt idx="20">
                  <c:v>8614.097548345766</c:v>
                </c:pt>
                <c:pt idx="21">
                  <c:v>10986.551111493134</c:v>
                </c:pt>
                <c:pt idx="22">
                  <c:v>10002.747452390367</c:v>
                </c:pt>
                <c:pt idx="23">
                  <c:v>8995.476069014896</c:v>
                </c:pt>
                <c:pt idx="24">
                  <c:v>9113.2991287758359</c:v>
                </c:pt>
                <c:pt idx="25">
                  <c:v>9067.4677676968149</c:v>
                </c:pt>
                <c:pt idx="26">
                  <c:v>8241.4146581098012</c:v>
                </c:pt>
                <c:pt idx="27">
                  <c:v>10891.583546483684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'28 Point Models'!$A$39:$A$66</c15:f>
                <c15:dlblRangeCache>
                  <c:ptCount val="28"/>
                  <c:pt idx="0">
                    <c:v>CFK</c:v>
                  </c:pt>
                  <c:pt idx="1">
                    <c:v>NF</c:v>
                  </c:pt>
                  <c:pt idx="2">
                    <c:v>CC</c:v>
                  </c:pt>
                  <c:pt idx="3">
                    <c:v>SFSC</c:v>
                  </c:pt>
                  <c:pt idx="4">
                    <c:v>LSSC</c:v>
                  </c:pt>
                  <c:pt idx="5">
                    <c:v>FGC</c:v>
                  </c:pt>
                  <c:pt idx="6">
                    <c:v>GCSC</c:v>
                  </c:pt>
                  <c:pt idx="7">
                    <c:v>NWF</c:v>
                  </c:pt>
                  <c:pt idx="8">
                    <c:v>SJRSC</c:v>
                  </c:pt>
                  <c:pt idx="9">
                    <c:v>CF</c:v>
                  </c:pt>
                  <c:pt idx="10">
                    <c:v>PHSC</c:v>
                  </c:pt>
                  <c:pt idx="11">
                    <c:v>SCF</c:v>
                  </c:pt>
                  <c:pt idx="12">
                    <c:v>PSC</c:v>
                  </c:pt>
                  <c:pt idx="13">
                    <c:v>POLK</c:v>
                  </c:pt>
                  <c:pt idx="14">
                    <c:v>TCC</c:v>
                  </c:pt>
                  <c:pt idx="15">
                    <c:v>FSW</c:v>
                  </c:pt>
                  <c:pt idx="16">
                    <c:v>SFC</c:v>
                  </c:pt>
                  <c:pt idx="17">
                    <c:v>DSC</c:v>
                  </c:pt>
                  <c:pt idx="18">
                    <c:v>EFSC</c:v>
                  </c:pt>
                  <c:pt idx="19">
                    <c:v>SSCF</c:v>
                  </c:pt>
                  <c:pt idx="20">
                    <c:v>IRSC</c:v>
                  </c:pt>
                  <c:pt idx="21">
                    <c:v>HCC</c:v>
                  </c:pt>
                  <c:pt idx="22">
                    <c:v>PBSC</c:v>
                  </c:pt>
                  <c:pt idx="23">
                    <c:v>FSCJ</c:v>
                  </c:pt>
                  <c:pt idx="24">
                    <c:v>SPC</c:v>
                  </c:pt>
                  <c:pt idx="25">
                    <c:v>BC</c:v>
                  </c:pt>
                  <c:pt idx="26">
                    <c:v>VC</c:v>
                  </c:pt>
                  <c:pt idx="27">
                    <c:v>MDC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C-FB66-4FCB-A54B-C812E501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115801520"/>
        <c:axId val="115806928"/>
      </c:scatterChart>
      <c:valAx>
        <c:axId val="115801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6928"/>
        <c:crosses val="autoZero"/>
        <c:crossBetween val="midCat"/>
      </c:valAx>
      <c:valAx>
        <c:axId val="115806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solidFill>
              <a:schemeClr val="tx2">
                <a:lumMod val="40000"/>
                <a:lumOff val="6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8015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2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2"/>
    <cs:fontRef idx="minor">
      <a:schemeClr val="tx2"/>
    </cs:fontRef>
    <cs:spPr>
      <a:ln w="9525">
        <a:solidFill>
          <a:schemeClr val="phClr"/>
        </a:solidFill>
        <a:round/>
      </a:ln>
    </cs:spPr>
  </cs:dataPointMarker>
  <cs:dataPointMarkerLayout symbol="circle" size="5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spPr>
      <a:ln>
        <a:solidFill>
          <a:schemeClr val="tx2">
            <a:lumMod val="40000"/>
            <a:lumOff val="60000"/>
          </a:schemeClr>
        </a:solidFill>
      </a:ln>
    </cs:spPr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36635</xdr:colOff>
      <xdr:row>1</xdr:row>
      <xdr:rowOff>73268</xdr:rowOff>
    </xdr:from>
    <xdr:to>
      <xdr:col>12</xdr:col>
      <xdr:colOff>9160</xdr:colOff>
      <xdr:row>15</xdr:row>
      <xdr:rowOff>109903</xdr:rowOff>
    </xdr:to>
    <xdr:graphicFrame macro="">
      <xdr:nvGraphicFramePr>
        <xdr:cNvPr id="2" name="Chart 1" descr="Chart showing the Average recurring funds per graduate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295273</xdr:colOff>
      <xdr:row>5</xdr:row>
      <xdr:rowOff>76199</xdr:rowOff>
    </xdr:from>
    <xdr:to>
      <xdr:col>24</xdr:col>
      <xdr:colOff>57150</xdr:colOff>
      <xdr:row>33</xdr:row>
      <xdr:rowOff>104775</xdr:rowOff>
    </xdr:to>
    <xdr:graphicFrame macro="">
      <xdr:nvGraphicFramePr>
        <xdr:cNvPr id="2" name="Chart 1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24</xdr:col>
      <xdr:colOff>371477</xdr:colOff>
      <xdr:row>68</xdr:row>
      <xdr:rowOff>28576</xdr:rowOff>
    </xdr:to>
    <xdr:graphicFrame macro="">
      <xdr:nvGraphicFramePr>
        <xdr:cNvPr id="10" name="Chart 9" descr="Chart showing the Recurring funds per graduate for the 28 colleges.">
          <a:extLst>
            <a:ext uri="{FF2B5EF4-FFF2-40B4-BE49-F238E27FC236}">
              <a16:creationId xmlns:a16="http://schemas.microsoft.com/office/drawing/2014/main" id="{2FE59F56-1D85-DA0D-8C1F-1EEFFD5FFE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S63"/>
  <sheetViews>
    <sheetView tabSelected="1" zoomScale="76" workbookViewId="0">
      <selection activeCell="B1" sqref="B1"/>
    </sheetView>
  </sheetViews>
  <sheetFormatPr defaultRowHeight="14.4"/>
  <cols>
    <col min="1" max="1" width="8.88671875" style="21"/>
    <col min="4" max="4" width="37.6640625" bestFit="1" customWidth="1"/>
    <col min="5" max="5" width="18.44140625" customWidth="1"/>
    <col min="6" max="8" width="18.44140625" style="21" customWidth="1"/>
    <col min="9" max="9" width="18.44140625" customWidth="1"/>
    <col min="10" max="11" width="18.44140625" style="21" customWidth="1"/>
    <col min="12" max="12" width="17.33203125" customWidth="1"/>
    <col min="13" max="14" width="17.33203125" style="21" customWidth="1"/>
    <col min="15" max="15" width="16.33203125" customWidth="1"/>
    <col min="16" max="16" width="9.6640625" customWidth="1"/>
    <col min="17" max="17" width="11.6640625" customWidth="1"/>
    <col min="18" max="18" width="8.88671875" customWidth="1"/>
    <col min="19" max="19" width="16.5546875" bestFit="1" customWidth="1"/>
    <col min="20" max="20" width="15.33203125" customWidth="1"/>
    <col min="21" max="21" width="16.5546875" customWidth="1"/>
    <col min="22" max="22" width="17.44140625" bestFit="1" customWidth="1"/>
    <col min="23" max="23" width="12.109375" style="21" customWidth="1"/>
    <col min="24" max="24" width="17.44140625" style="21" customWidth="1"/>
    <col min="25" max="26" width="17.44140625" style="21" hidden="1" customWidth="1"/>
    <col min="27" max="27" width="12.33203125" style="21" customWidth="1"/>
    <col min="28" max="28" width="15.6640625" bestFit="1" customWidth="1"/>
    <col min="29" max="29" width="15.33203125" customWidth="1"/>
    <col min="30" max="30" width="12.5546875" customWidth="1"/>
    <col min="31" max="31" width="12.88671875" customWidth="1"/>
    <col min="32" max="32" width="10.6640625" bestFit="1" customWidth="1"/>
    <col min="33" max="33" width="17.33203125" bestFit="1" customWidth="1"/>
    <col min="34" max="34" width="16.88671875" customWidth="1"/>
    <col min="35" max="35" width="16.44140625" bestFit="1" customWidth="1"/>
    <col min="37" max="37" width="6.5546875" style="21" customWidth="1"/>
    <col min="38" max="39" width="5.5546875" style="21" customWidth="1"/>
    <col min="40" max="40" width="40.44140625" customWidth="1"/>
    <col min="41" max="41" width="13.88671875" style="21" customWidth="1"/>
    <col min="42" max="42" width="18.33203125" style="21" customWidth="1"/>
    <col min="43" max="43" width="18.33203125" customWidth="1"/>
    <col min="44" max="44" width="21.44140625" customWidth="1"/>
  </cols>
  <sheetData>
    <row r="1" spans="1:45" s="21" customFormat="1" ht="36.75" customHeight="1">
      <c r="E1" s="21" t="s">
        <v>158</v>
      </c>
      <c r="F1" s="74">
        <v>2</v>
      </c>
      <c r="G1" s="74">
        <v>3</v>
      </c>
      <c r="H1" s="74">
        <v>3</v>
      </c>
      <c r="I1" s="74">
        <v>1</v>
      </c>
      <c r="J1" s="74">
        <v>2</v>
      </c>
      <c r="K1" s="74">
        <v>1</v>
      </c>
    </row>
    <row r="2" spans="1:45" s="7" customFormat="1" ht="107.25" customHeight="1" thickBot="1">
      <c r="A2" s="15" t="s">
        <v>51</v>
      </c>
      <c r="B2" s="23" t="s">
        <v>0</v>
      </c>
      <c r="C2" s="23" t="s">
        <v>47</v>
      </c>
      <c r="D2" s="23" t="s">
        <v>1</v>
      </c>
      <c r="E2" s="15" t="s">
        <v>113</v>
      </c>
      <c r="F2" s="14" t="s">
        <v>52</v>
      </c>
      <c r="G2" s="35" t="s">
        <v>53</v>
      </c>
      <c r="H2" s="35" t="s">
        <v>54</v>
      </c>
      <c r="I2" s="35" t="s">
        <v>46</v>
      </c>
      <c r="J2" s="14" t="s">
        <v>107</v>
      </c>
      <c r="K2" s="14" t="s">
        <v>108</v>
      </c>
      <c r="L2" s="15" t="s">
        <v>103</v>
      </c>
      <c r="M2" s="15" t="s">
        <v>109</v>
      </c>
      <c r="N2" s="15" t="s">
        <v>110</v>
      </c>
      <c r="O2" s="14" t="s">
        <v>37</v>
      </c>
      <c r="P2" s="14" t="s">
        <v>50</v>
      </c>
      <c r="Q2" s="14" t="s">
        <v>2</v>
      </c>
      <c r="R2" s="14" t="s">
        <v>3</v>
      </c>
      <c r="S2" s="14" t="s">
        <v>58</v>
      </c>
      <c r="T2" s="14" t="s">
        <v>4</v>
      </c>
      <c r="U2" s="14" t="s">
        <v>5</v>
      </c>
      <c r="V2" s="14" t="s">
        <v>39</v>
      </c>
      <c r="W2" s="41" t="s">
        <v>111</v>
      </c>
      <c r="X2" s="41" t="s">
        <v>157</v>
      </c>
      <c r="Y2" s="41" t="s">
        <v>154</v>
      </c>
      <c r="Z2" s="41" t="s">
        <v>155</v>
      </c>
      <c r="AA2" s="41" t="s">
        <v>156</v>
      </c>
      <c r="AB2" s="14" t="s">
        <v>114</v>
      </c>
      <c r="AC2" s="14" t="s">
        <v>41</v>
      </c>
      <c r="AD2" s="14" t="s">
        <v>42</v>
      </c>
      <c r="AE2" s="14" t="s">
        <v>60</v>
      </c>
      <c r="AG2" s="32" t="s">
        <v>44</v>
      </c>
      <c r="AH2" s="32"/>
      <c r="AI2" s="18"/>
      <c r="AK2" s="27"/>
      <c r="AL2" s="27"/>
      <c r="AM2" s="27"/>
      <c r="AO2" s="14" t="s">
        <v>101</v>
      </c>
      <c r="AP2" s="14" t="s">
        <v>102</v>
      </c>
      <c r="AQ2" s="14" t="s">
        <v>92</v>
      </c>
      <c r="AR2" s="14" t="s">
        <v>93</v>
      </c>
    </row>
    <row r="3" spans="1:45" s="7" customFormat="1" ht="14.7" customHeight="1">
      <c r="A3" s="4">
        <v>1</v>
      </c>
      <c r="B3" s="23">
        <v>1</v>
      </c>
      <c r="C3" s="23">
        <v>16</v>
      </c>
      <c r="D3" s="23" t="s">
        <v>6</v>
      </c>
      <c r="E3" s="36">
        <f>SUM(F3*$F$1+G3*$G$1+H3*$H$1+I3*$I$1+J3*$J$1+K3*$K$1)</f>
        <v>929</v>
      </c>
      <c r="F3" s="76">
        <v>156</v>
      </c>
      <c r="G3" s="77">
        <v>67</v>
      </c>
      <c r="H3" s="78">
        <v>45</v>
      </c>
      <c r="I3" s="79">
        <v>83</v>
      </c>
      <c r="J3" s="80">
        <v>99</v>
      </c>
      <c r="K3" s="81">
        <v>0</v>
      </c>
      <c r="L3" s="16">
        <v>8181615</v>
      </c>
      <c r="M3" s="16">
        <v>1794050.91</v>
      </c>
      <c r="N3" s="16">
        <f t="shared" ref="N3:N30" si="0">L3+M3</f>
        <v>9975665.9100000001</v>
      </c>
      <c r="O3" s="8">
        <f t="shared" ref="O3:O30" si="1">N3/E3</f>
        <v>10738.068794402583</v>
      </c>
      <c r="P3" s="3">
        <f>'Model Generation'!$M$5*'Outputs Results'!E3^'Model Generation'!$N$5</f>
        <v>12295.678870338379</v>
      </c>
      <c r="Q3" s="9">
        <f t="shared" ref="Q3:Q30" si="2">O3-P3</f>
        <v>-1557.610075935796</v>
      </c>
      <c r="R3" s="10">
        <f t="shared" ref="R3:R30" si="3">Q3/P3</f>
        <v>-0.1266794694592516</v>
      </c>
      <c r="S3" s="11">
        <f t="shared" ref="S3:S30" si="4">P3*E3</f>
        <v>11422685.670544354</v>
      </c>
      <c r="T3" s="9">
        <f t="shared" ref="T3:T30" si="5">S3-N3</f>
        <v>1447019.7605443541</v>
      </c>
      <c r="U3" s="9">
        <f t="shared" ref="U3:U30" si="6">IF(T3&gt;0,T3,"")</f>
        <v>1447019.7605443541</v>
      </c>
      <c r="V3" s="9">
        <f t="shared" ref="V3:V30" si="7">IFERROR((U3/$U$31)*$AH$5,"0")</f>
        <v>360462.57055832737</v>
      </c>
      <c r="W3" s="42">
        <v>0.93005295507476293</v>
      </c>
      <c r="X3" s="43">
        <f t="shared" ref="X3:X30" si="8">S3*$W$33*W3</f>
        <v>318711.07688339782</v>
      </c>
      <c r="Y3" s="43">
        <f>'Small College Data'!K21</f>
        <v>511545.43580000004</v>
      </c>
      <c r="Z3" s="43">
        <f t="shared" ref="Z3:Z30" si="9">X3+Y3</f>
        <v>830256.51268339786</v>
      </c>
      <c r="AA3" s="44">
        <f>X3/$X$31</f>
        <v>5.0649046649516982E-3</v>
      </c>
      <c r="AB3" s="9">
        <f t="shared" ref="AB3:AB30" si="10">$AI$5 * AA3</f>
        <v>151947.13994855093</v>
      </c>
      <c r="AC3" s="9">
        <f t="shared" ref="AC3:AC30" si="11">V3+AB3</f>
        <v>512409.71050687833</v>
      </c>
      <c r="AD3" s="9">
        <f t="shared" ref="AD3:AD30" si="12">V3/E3</f>
        <v>388.01137842661717</v>
      </c>
      <c r="AE3" s="13">
        <f t="shared" ref="AE3:AE30" si="13">AB3/E3</f>
        <v>163.55989230199239</v>
      </c>
      <c r="AG3" s="15" t="s">
        <v>43</v>
      </c>
      <c r="AH3" s="4" t="s">
        <v>40</v>
      </c>
      <c r="AI3" s="18" t="s">
        <v>59</v>
      </c>
      <c r="AK3" s="23">
        <v>1</v>
      </c>
      <c r="AL3" s="26">
        <v>16</v>
      </c>
      <c r="AM3" s="21" t="s">
        <v>65</v>
      </c>
      <c r="AN3" s="23" t="s">
        <v>6</v>
      </c>
      <c r="AO3" s="29">
        <f t="shared" ref="AO3:AO30" si="14">E3</f>
        <v>929</v>
      </c>
      <c r="AP3" s="13">
        <f t="shared" ref="AP3:AP30" si="15">O3</f>
        <v>10738.068794402583</v>
      </c>
      <c r="AQ3" s="9">
        <f>N3+AC3</f>
        <v>10488075.620506879</v>
      </c>
      <c r="AR3" s="13">
        <f t="shared" ref="AR3:AR30" si="16">AQ3/E3</f>
        <v>11289.640065131194</v>
      </c>
    </row>
    <row r="4" spans="1:45" s="7" customFormat="1" ht="14.7" customHeight="1">
      <c r="A4" s="4">
        <v>2</v>
      </c>
      <c r="B4" s="23">
        <v>1</v>
      </c>
      <c r="C4" s="23">
        <v>8</v>
      </c>
      <c r="D4" s="23" t="s">
        <v>7</v>
      </c>
      <c r="E4" s="37">
        <f t="shared" ref="E4:E30" si="17">SUM(F4*$F$1+G4*$G$1+H4*$H$1+I4*$I$1+J4*$J$1+K4*$K$1)</f>
        <v>770</v>
      </c>
      <c r="F4" s="82">
        <v>73</v>
      </c>
      <c r="G4" s="83">
        <v>104</v>
      </c>
      <c r="H4" s="82">
        <v>27</v>
      </c>
      <c r="I4" s="84">
        <v>57</v>
      </c>
      <c r="J4" s="85">
        <v>87</v>
      </c>
      <c r="K4" s="86">
        <v>0</v>
      </c>
      <c r="L4" s="16">
        <v>8474857</v>
      </c>
      <c r="M4" s="16">
        <v>2374520.65</v>
      </c>
      <c r="N4" s="16">
        <f t="shared" si="0"/>
        <v>10849377.65</v>
      </c>
      <c r="O4" s="8">
        <f t="shared" si="1"/>
        <v>14090.100844155844</v>
      </c>
      <c r="P4" s="3">
        <f>'Model Generation'!$M$5*'Outputs Results'!E4^'Model Generation'!$N$5</f>
        <v>12538.082145987431</v>
      </c>
      <c r="Q4" s="9">
        <f t="shared" si="2"/>
        <v>1552.0186981684128</v>
      </c>
      <c r="R4" s="10">
        <f t="shared" si="3"/>
        <v>0.12378437787354153</v>
      </c>
      <c r="S4" s="11">
        <f t="shared" si="4"/>
        <v>9654323.2524103224</v>
      </c>
      <c r="T4" s="9">
        <f t="shared" si="5"/>
        <v>-1195054.3975896779</v>
      </c>
      <c r="U4" s="9" t="str">
        <f t="shared" si="6"/>
        <v/>
      </c>
      <c r="V4" s="9" t="str">
        <f t="shared" si="7"/>
        <v>0</v>
      </c>
      <c r="W4" s="42">
        <v>1.0506</v>
      </c>
      <c r="X4" s="43">
        <f t="shared" si="8"/>
        <v>304284.96026946849</v>
      </c>
      <c r="Y4" s="43">
        <f>'Small College Data'!K13</f>
        <v>556959.78983713093</v>
      </c>
      <c r="Z4" s="43">
        <f t="shared" si="9"/>
        <v>861244.75010659941</v>
      </c>
      <c r="AA4" s="44">
        <f t="shared" ref="AA4:AA31" si="18">X4/$X$31</f>
        <v>4.8356471629861803E-3</v>
      </c>
      <c r="AB4" s="9">
        <f t="shared" si="10"/>
        <v>145069.4148895854</v>
      </c>
      <c r="AC4" s="9">
        <f t="shared" si="11"/>
        <v>145069.4148895854</v>
      </c>
      <c r="AD4" s="9">
        <f t="shared" si="12"/>
        <v>0</v>
      </c>
      <c r="AE4" s="13">
        <f t="shared" si="13"/>
        <v>188.40183751894207</v>
      </c>
      <c r="AG4" s="45">
        <v>60000000</v>
      </c>
      <c r="AH4" s="6">
        <v>0.5</v>
      </c>
      <c r="AI4" s="19">
        <f>1-AH4</f>
        <v>0.5</v>
      </c>
      <c r="AK4" s="23">
        <v>2</v>
      </c>
      <c r="AL4" s="26">
        <v>8</v>
      </c>
      <c r="AM4" s="21" t="s">
        <v>87</v>
      </c>
      <c r="AN4" s="23" t="s">
        <v>7</v>
      </c>
      <c r="AO4" s="29">
        <f t="shared" si="14"/>
        <v>770</v>
      </c>
      <c r="AP4" s="13">
        <f t="shared" si="15"/>
        <v>14090.100844155844</v>
      </c>
      <c r="AQ4" s="9">
        <f t="shared" ref="AQ4:AQ30" si="19">N4+AC4</f>
        <v>10994447.064889586</v>
      </c>
      <c r="AR4" s="13">
        <f t="shared" si="16"/>
        <v>14278.502681674787</v>
      </c>
      <c r="AS4" s="21"/>
    </row>
    <row r="5" spans="1:45" s="7" customFormat="1" ht="14.7" customHeight="1">
      <c r="A5" s="4">
        <v>3</v>
      </c>
      <c r="B5" s="23">
        <v>1</v>
      </c>
      <c r="C5" s="23">
        <v>4</v>
      </c>
      <c r="D5" s="23" t="s">
        <v>8</v>
      </c>
      <c r="E5" s="37">
        <f t="shared" si="17"/>
        <v>1424</v>
      </c>
      <c r="F5" s="82">
        <v>221</v>
      </c>
      <c r="G5" s="83">
        <v>68</v>
      </c>
      <c r="H5" s="82">
        <v>87</v>
      </c>
      <c r="I5" s="84">
        <v>113</v>
      </c>
      <c r="J5" s="85">
        <v>202</v>
      </c>
      <c r="K5" s="86">
        <v>0</v>
      </c>
      <c r="L5" s="16">
        <v>12553081</v>
      </c>
      <c r="M5" s="16">
        <v>2884563.45</v>
      </c>
      <c r="N5" s="16">
        <f t="shared" si="0"/>
        <v>15437644.449999999</v>
      </c>
      <c r="O5" s="8">
        <f t="shared" si="1"/>
        <v>10841.042450842697</v>
      </c>
      <c r="P5" s="3">
        <f>'Model Generation'!$M$5*'Outputs Results'!E5^'Model Generation'!$N$5</f>
        <v>11761.456520332864</v>
      </c>
      <c r="Q5" s="9">
        <f t="shared" si="2"/>
        <v>-920.41406949016709</v>
      </c>
      <c r="R5" s="10">
        <f t="shared" si="3"/>
        <v>-7.8256810106722918E-2</v>
      </c>
      <c r="S5" s="11">
        <f t="shared" si="4"/>
        <v>16748314.084953997</v>
      </c>
      <c r="T5" s="9">
        <f t="shared" si="5"/>
        <v>1310669.634953998</v>
      </c>
      <c r="U5" s="9">
        <f t="shared" si="6"/>
        <v>1310669.634953998</v>
      </c>
      <c r="V5" s="9">
        <f t="shared" si="7"/>
        <v>326496.81687175634</v>
      </c>
      <c r="W5" s="42">
        <v>0.93314531126941291</v>
      </c>
      <c r="X5" s="43">
        <f t="shared" si="8"/>
        <v>468858.32280126872</v>
      </c>
      <c r="Y5" s="43">
        <f>'Small College Data'!K9</f>
        <v>823358.86430000013</v>
      </c>
      <c r="Z5" s="43">
        <f t="shared" si="9"/>
        <v>1292217.1871012689</v>
      </c>
      <c r="AA5" s="44">
        <f t="shared" si="18"/>
        <v>7.4510203083602896E-3</v>
      </c>
      <c r="AB5" s="9">
        <f t="shared" si="10"/>
        <v>223530.60925080869</v>
      </c>
      <c r="AC5" s="9">
        <f t="shared" si="11"/>
        <v>550027.42612256506</v>
      </c>
      <c r="AD5" s="9">
        <f t="shared" si="12"/>
        <v>229.28147252230079</v>
      </c>
      <c r="AE5" s="13">
        <f t="shared" si="13"/>
        <v>156.9737424514106</v>
      </c>
      <c r="AH5" s="9">
        <f>AG4*AH4</f>
        <v>30000000</v>
      </c>
      <c r="AI5" s="9">
        <f>AG4*AI4</f>
        <v>30000000</v>
      </c>
      <c r="AK5" s="26">
        <v>3</v>
      </c>
      <c r="AL5" s="28">
        <v>4</v>
      </c>
      <c r="AM5" s="21" t="s">
        <v>90</v>
      </c>
      <c r="AN5" s="23" t="s">
        <v>8</v>
      </c>
      <c r="AO5" s="29">
        <f t="shared" si="14"/>
        <v>1424</v>
      </c>
      <c r="AP5" s="13">
        <f t="shared" si="15"/>
        <v>10841.042450842697</v>
      </c>
      <c r="AQ5" s="9">
        <f t="shared" si="19"/>
        <v>15987671.876122564</v>
      </c>
      <c r="AR5" s="13">
        <f t="shared" si="16"/>
        <v>11227.297665816408</v>
      </c>
    </row>
    <row r="6" spans="1:45" s="7" customFormat="1" ht="14.7" customHeight="1">
      <c r="A6" s="4">
        <v>4</v>
      </c>
      <c r="B6" s="23">
        <v>2</v>
      </c>
      <c r="C6" s="23">
        <v>12</v>
      </c>
      <c r="D6" s="23" t="s">
        <v>9</v>
      </c>
      <c r="E6" s="37">
        <f t="shared" si="17"/>
        <v>1920</v>
      </c>
      <c r="F6" s="82">
        <v>308</v>
      </c>
      <c r="G6" s="83">
        <v>161</v>
      </c>
      <c r="H6" s="82">
        <v>62</v>
      </c>
      <c r="I6" s="84">
        <v>253</v>
      </c>
      <c r="J6" s="85">
        <v>191</v>
      </c>
      <c r="K6" s="86">
        <v>0</v>
      </c>
      <c r="L6" s="16">
        <v>14740433</v>
      </c>
      <c r="M6" s="16">
        <v>5083332.2300000004</v>
      </c>
      <c r="N6" s="16">
        <f t="shared" si="0"/>
        <v>19823765.23</v>
      </c>
      <c r="O6" s="8">
        <f t="shared" si="1"/>
        <v>10324.877723958334</v>
      </c>
      <c r="P6" s="3">
        <f>'Model Generation'!$M$5*'Outputs Results'!E6^'Model Generation'!$N$5</f>
        <v>11401.521709409075</v>
      </c>
      <c r="Q6" s="9">
        <f t="shared" si="2"/>
        <v>-1076.6439854507407</v>
      </c>
      <c r="R6" s="10">
        <f t="shared" si="3"/>
        <v>-9.4429850057843004E-2</v>
      </c>
      <c r="S6" s="11">
        <f t="shared" si="4"/>
        <v>21890921.682065424</v>
      </c>
      <c r="T6" s="9">
        <f t="shared" si="5"/>
        <v>2067156.4520654231</v>
      </c>
      <c r="U6" s="9">
        <f t="shared" si="6"/>
        <v>2067156.4520654231</v>
      </c>
      <c r="V6" s="9">
        <f t="shared" si="7"/>
        <v>514942.88383278396</v>
      </c>
      <c r="W6" s="42">
        <v>0.95241393955638953</v>
      </c>
      <c r="X6" s="43">
        <f t="shared" si="8"/>
        <v>625476.56879208947</v>
      </c>
      <c r="Y6" s="43">
        <f>'Small College Data'!K17</f>
        <v>1152654.7620000001</v>
      </c>
      <c r="Z6" s="43">
        <f t="shared" si="9"/>
        <v>1778131.3307920895</v>
      </c>
      <c r="AA6" s="44">
        <f t="shared" si="18"/>
        <v>9.9399720338306848E-3</v>
      </c>
      <c r="AB6" s="9">
        <f t="shared" si="10"/>
        <v>298199.16101492057</v>
      </c>
      <c r="AC6" s="9">
        <f t="shared" si="11"/>
        <v>813142.04484770447</v>
      </c>
      <c r="AD6" s="9">
        <f t="shared" si="12"/>
        <v>268.19941866290833</v>
      </c>
      <c r="AE6" s="13">
        <f t="shared" si="13"/>
        <v>155.31206302860446</v>
      </c>
      <c r="AG6" s="23"/>
      <c r="AH6" s="9"/>
      <c r="AI6" s="9"/>
      <c r="AJ6" s="20"/>
      <c r="AK6" s="23">
        <v>4</v>
      </c>
      <c r="AL6" s="26">
        <v>12</v>
      </c>
      <c r="AM6" s="21" t="s">
        <v>71</v>
      </c>
      <c r="AN6" s="23" t="s">
        <v>9</v>
      </c>
      <c r="AO6" s="29">
        <f t="shared" si="14"/>
        <v>1920</v>
      </c>
      <c r="AP6" s="13">
        <f t="shared" si="15"/>
        <v>10324.877723958334</v>
      </c>
      <c r="AQ6" s="9">
        <f t="shared" si="19"/>
        <v>20636907.274847705</v>
      </c>
      <c r="AR6" s="13">
        <f t="shared" si="16"/>
        <v>10748.389205649846</v>
      </c>
    </row>
    <row r="7" spans="1:45" s="7" customFormat="1" ht="14.7" customHeight="1">
      <c r="A7" s="4">
        <v>5</v>
      </c>
      <c r="B7" s="23">
        <v>2</v>
      </c>
      <c r="C7" s="23">
        <v>26</v>
      </c>
      <c r="D7" s="23" t="s">
        <v>10</v>
      </c>
      <c r="E7" s="37">
        <f t="shared" si="17"/>
        <v>1563</v>
      </c>
      <c r="F7" s="82">
        <v>224</v>
      </c>
      <c r="G7" s="83">
        <v>111</v>
      </c>
      <c r="H7" s="82">
        <v>65</v>
      </c>
      <c r="I7" s="84">
        <v>132</v>
      </c>
      <c r="J7" s="85">
        <v>173</v>
      </c>
      <c r="K7" s="86">
        <v>109</v>
      </c>
      <c r="L7" s="16">
        <v>20236789</v>
      </c>
      <c r="M7" s="16">
        <v>4374135.59</v>
      </c>
      <c r="N7" s="16">
        <f t="shared" si="0"/>
        <v>24610924.59</v>
      </c>
      <c r="O7" s="8">
        <f t="shared" si="1"/>
        <v>15745.953032629559</v>
      </c>
      <c r="P7" s="3">
        <f>'Model Generation'!$M$5*'Outputs Results'!E7^'Model Generation'!$N$5</f>
        <v>11648.081819542882</v>
      </c>
      <c r="Q7" s="9">
        <f t="shared" si="2"/>
        <v>4097.871213086677</v>
      </c>
      <c r="R7" s="10">
        <f t="shared" si="3"/>
        <v>0.35180652716667593</v>
      </c>
      <c r="S7" s="11">
        <f t="shared" si="4"/>
        <v>18205951.883945525</v>
      </c>
      <c r="T7" s="9">
        <f t="shared" si="5"/>
        <v>-6404972.7060544752</v>
      </c>
      <c r="U7" s="9" t="str">
        <f t="shared" si="6"/>
        <v/>
      </c>
      <c r="V7" s="9" t="str">
        <f t="shared" si="7"/>
        <v>0</v>
      </c>
      <c r="W7" s="42">
        <v>0.96289056920645733</v>
      </c>
      <c r="X7" s="43">
        <f t="shared" si="8"/>
        <v>525910.18117433041</v>
      </c>
      <c r="Y7" s="43">
        <f>'Small College Data'!K31</f>
        <v>1163468.0976800001</v>
      </c>
      <c r="Z7" s="43">
        <f t="shared" si="9"/>
        <v>1689378.2788543305</v>
      </c>
      <c r="AA7" s="44">
        <f t="shared" si="18"/>
        <v>8.3576791745772379E-3</v>
      </c>
      <c r="AB7" s="9">
        <f t="shared" si="10"/>
        <v>250730.37523731714</v>
      </c>
      <c r="AC7" s="9">
        <f t="shared" si="11"/>
        <v>250730.37523731714</v>
      </c>
      <c r="AD7" s="9">
        <f t="shared" si="12"/>
        <v>0</v>
      </c>
      <c r="AE7" s="13">
        <f t="shared" si="13"/>
        <v>160.41610699764374</v>
      </c>
      <c r="AG7" s="23"/>
      <c r="AH7" s="9"/>
      <c r="AI7" s="9"/>
      <c r="AJ7" s="20"/>
      <c r="AK7" s="21">
        <v>5</v>
      </c>
      <c r="AL7" s="23">
        <v>26</v>
      </c>
      <c r="AM7" s="21" t="s">
        <v>88</v>
      </c>
      <c r="AN7" s="23" t="s">
        <v>10</v>
      </c>
      <c r="AO7" s="29">
        <f t="shared" si="14"/>
        <v>1563</v>
      </c>
      <c r="AP7" s="13">
        <f t="shared" si="15"/>
        <v>15745.953032629559</v>
      </c>
      <c r="AQ7" s="9">
        <f t="shared" si="19"/>
        <v>24861654.965237316</v>
      </c>
      <c r="AR7" s="13">
        <f t="shared" si="16"/>
        <v>15906.369139627201</v>
      </c>
    </row>
    <row r="8" spans="1:45" s="7" customFormat="1" ht="14.7" customHeight="1">
      <c r="A8" s="4">
        <v>6</v>
      </c>
      <c r="B8" s="23">
        <v>2</v>
      </c>
      <c r="C8" s="23">
        <v>9</v>
      </c>
      <c r="D8" s="23" t="s">
        <v>11</v>
      </c>
      <c r="E8" s="37">
        <f t="shared" si="17"/>
        <v>2518</v>
      </c>
      <c r="F8" s="82">
        <v>383</v>
      </c>
      <c r="G8" s="83">
        <v>254</v>
      </c>
      <c r="H8" s="82">
        <v>79</v>
      </c>
      <c r="I8" s="84">
        <v>99</v>
      </c>
      <c r="J8" s="85">
        <v>327</v>
      </c>
      <c r="K8" s="86">
        <v>0</v>
      </c>
      <c r="L8" s="16">
        <v>24515548</v>
      </c>
      <c r="M8" s="16">
        <v>7604452.5300000003</v>
      </c>
      <c r="N8" s="16">
        <f t="shared" si="0"/>
        <v>32120000.530000001</v>
      </c>
      <c r="O8" s="8">
        <f t="shared" si="1"/>
        <v>12756.155889594917</v>
      </c>
      <c r="P8" s="3">
        <f>'Model Generation'!$M$5*'Outputs Results'!E8^'Model Generation'!$N$5</f>
        <v>11084.506204721312</v>
      </c>
      <c r="Q8" s="9">
        <f t="shared" si="2"/>
        <v>1671.6496848736042</v>
      </c>
      <c r="R8" s="10">
        <f t="shared" si="3"/>
        <v>0.15080957635817688</v>
      </c>
      <c r="S8" s="11">
        <f t="shared" si="4"/>
        <v>27910786.623488266</v>
      </c>
      <c r="T8" s="9">
        <f t="shared" si="5"/>
        <v>-4209213.9065117352</v>
      </c>
      <c r="U8" s="9" t="str">
        <f t="shared" si="6"/>
        <v/>
      </c>
      <c r="V8" s="9" t="str">
        <f t="shared" si="7"/>
        <v>0</v>
      </c>
      <c r="W8" s="42">
        <v>0.96440537110040403</v>
      </c>
      <c r="X8" s="43">
        <f t="shared" si="8"/>
        <v>807519.37593988178</v>
      </c>
      <c r="Y8" s="43">
        <f>'Small College Data'!K14</f>
        <v>1678428.6400000001</v>
      </c>
      <c r="Z8" s="43">
        <f t="shared" si="9"/>
        <v>2485948.015939882</v>
      </c>
      <c r="AA8" s="44">
        <f t="shared" si="18"/>
        <v>1.2832966755445223E-2</v>
      </c>
      <c r="AB8" s="9">
        <f t="shared" si="10"/>
        <v>384989.00266335672</v>
      </c>
      <c r="AC8" s="9">
        <f t="shared" si="11"/>
        <v>384989.00266335672</v>
      </c>
      <c r="AD8" s="9">
        <f t="shared" si="12"/>
        <v>0</v>
      </c>
      <c r="AE8" s="13">
        <f t="shared" si="13"/>
        <v>152.89475880196852</v>
      </c>
      <c r="AG8" s="31" t="s">
        <v>45</v>
      </c>
      <c r="AH8" s="31"/>
      <c r="AI8" s="31"/>
      <c r="AJ8" s="20"/>
      <c r="AK8" s="23">
        <v>6</v>
      </c>
      <c r="AL8" s="23">
        <v>9</v>
      </c>
      <c r="AM8" s="21" t="s">
        <v>89</v>
      </c>
      <c r="AN8" s="23" t="s">
        <v>11</v>
      </c>
      <c r="AO8" s="29">
        <f t="shared" si="14"/>
        <v>2518</v>
      </c>
      <c r="AP8" s="13">
        <f t="shared" si="15"/>
        <v>12756.155889594917</v>
      </c>
      <c r="AQ8" s="9">
        <f t="shared" si="19"/>
        <v>32504989.532663357</v>
      </c>
      <c r="AR8" s="13">
        <f t="shared" si="16"/>
        <v>12909.050648396886</v>
      </c>
    </row>
    <row r="9" spans="1:45" s="7" customFormat="1" ht="14.7" customHeight="1">
      <c r="A9" s="4">
        <v>7</v>
      </c>
      <c r="B9" s="23">
        <v>3</v>
      </c>
      <c r="C9" s="23">
        <v>13</v>
      </c>
      <c r="D9" s="23" t="s">
        <v>12</v>
      </c>
      <c r="E9" s="37">
        <f t="shared" si="17"/>
        <v>1797</v>
      </c>
      <c r="F9" s="82">
        <v>612</v>
      </c>
      <c r="G9" s="83">
        <v>93</v>
      </c>
      <c r="H9" s="82">
        <v>70</v>
      </c>
      <c r="I9" s="87">
        <v>0</v>
      </c>
      <c r="J9" s="88">
        <v>42</v>
      </c>
      <c r="K9" s="89">
        <v>0</v>
      </c>
      <c r="L9" s="16">
        <v>15389255</v>
      </c>
      <c r="M9" s="16">
        <v>7312467</v>
      </c>
      <c r="N9" s="16">
        <f t="shared" si="0"/>
        <v>22701722</v>
      </c>
      <c r="O9" s="8">
        <f t="shared" si="1"/>
        <v>12633.122982749026</v>
      </c>
      <c r="P9" s="3">
        <f>'Model Generation'!$M$5*'Outputs Results'!E9^'Model Generation'!$N$5</f>
        <v>11480.297600117819</v>
      </c>
      <c r="Q9" s="9">
        <f t="shared" si="2"/>
        <v>1152.8253826312066</v>
      </c>
      <c r="R9" s="10">
        <f t="shared" si="3"/>
        <v>0.10041772633310267</v>
      </c>
      <c r="S9" s="11">
        <f t="shared" si="4"/>
        <v>20630094.787411723</v>
      </c>
      <c r="T9" s="9">
        <f t="shared" si="5"/>
        <v>-2071627.2125882767</v>
      </c>
      <c r="U9" s="9" t="str">
        <f t="shared" si="6"/>
        <v/>
      </c>
      <c r="V9" s="9" t="str">
        <f t="shared" si="7"/>
        <v>0</v>
      </c>
      <c r="W9" s="42">
        <v>0.97778027565055581</v>
      </c>
      <c r="X9" s="43">
        <f t="shared" si="8"/>
        <v>605150.99303797586</v>
      </c>
      <c r="Y9" s="43">
        <f>'Small College Data'!K18</f>
        <v>1368380.3539</v>
      </c>
      <c r="Z9" s="43">
        <f t="shared" si="9"/>
        <v>1973531.3469379758</v>
      </c>
      <c r="AA9" s="44">
        <f t="shared" si="18"/>
        <v>9.6169612854703351E-3</v>
      </c>
      <c r="AB9" s="9">
        <f t="shared" si="10"/>
        <v>288508.83856411005</v>
      </c>
      <c r="AC9" s="9">
        <f t="shared" si="11"/>
        <v>288508.83856411005</v>
      </c>
      <c r="AD9" s="9">
        <f t="shared" si="12"/>
        <v>0</v>
      </c>
      <c r="AE9" s="13">
        <f t="shared" si="13"/>
        <v>160.55027187763497</v>
      </c>
      <c r="AG9" s="31" t="s">
        <v>104</v>
      </c>
      <c r="AH9" s="31"/>
      <c r="AI9" s="31"/>
      <c r="AJ9" s="20"/>
      <c r="AK9" s="23">
        <v>7</v>
      </c>
      <c r="AL9" s="23">
        <v>13</v>
      </c>
      <c r="AM9" s="21" t="s">
        <v>72</v>
      </c>
      <c r="AN9" s="23" t="s">
        <v>12</v>
      </c>
      <c r="AO9" s="29">
        <f t="shared" si="14"/>
        <v>1797</v>
      </c>
      <c r="AP9" s="13">
        <f t="shared" si="15"/>
        <v>12633.122982749026</v>
      </c>
      <c r="AQ9" s="9">
        <f t="shared" si="19"/>
        <v>22990230.838564109</v>
      </c>
      <c r="AR9" s="13">
        <f t="shared" si="16"/>
        <v>12793.673254626661</v>
      </c>
      <c r="AS9" s="21"/>
    </row>
    <row r="10" spans="1:45" s="7" customFormat="1" ht="14.7" customHeight="1">
      <c r="A10" s="4">
        <v>8</v>
      </c>
      <c r="B10" s="23">
        <v>3</v>
      </c>
      <c r="C10" s="23">
        <v>17</v>
      </c>
      <c r="D10" s="23" t="s">
        <v>13</v>
      </c>
      <c r="E10" s="37">
        <f t="shared" si="17"/>
        <v>2949</v>
      </c>
      <c r="F10" s="82">
        <v>718</v>
      </c>
      <c r="G10" s="83">
        <v>167</v>
      </c>
      <c r="H10" s="82">
        <v>130</v>
      </c>
      <c r="I10" s="84">
        <v>108</v>
      </c>
      <c r="J10" s="85">
        <v>257</v>
      </c>
      <c r="K10" s="86">
        <v>0</v>
      </c>
      <c r="L10" s="16">
        <v>20525089</v>
      </c>
      <c r="M10" s="16">
        <v>10905774</v>
      </c>
      <c r="N10" s="16">
        <f t="shared" si="0"/>
        <v>31430863</v>
      </c>
      <c r="O10" s="8">
        <f t="shared" si="1"/>
        <v>10658.142760257715</v>
      </c>
      <c r="P10" s="3">
        <f>'Model Generation'!$M$5*'Outputs Results'!E10^'Model Generation'!$N$5</f>
        <v>10903.852548659434</v>
      </c>
      <c r="Q10" s="9">
        <f t="shared" si="2"/>
        <v>-245.70978840171847</v>
      </c>
      <c r="R10" s="10">
        <f t="shared" si="3"/>
        <v>-2.2534217819363954E-2</v>
      </c>
      <c r="S10" s="11">
        <f t="shared" si="4"/>
        <v>32155461.165996671</v>
      </c>
      <c r="T10" s="9">
        <f t="shared" si="5"/>
        <v>724598.16599667072</v>
      </c>
      <c r="U10" s="9">
        <f t="shared" si="6"/>
        <v>724598.16599667072</v>
      </c>
      <c r="V10" s="9">
        <f t="shared" si="7"/>
        <v>180502.3847350587</v>
      </c>
      <c r="W10" s="42">
        <v>0.98891742465094712</v>
      </c>
      <c r="X10" s="43">
        <f t="shared" si="8"/>
        <v>953972.87534222903</v>
      </c>
      <c r="Y10" s="43">
        <f>'Small College Data'!K22</f>
        <v>1527619.4500000002</v>
      </c>
      <c r="Z10" s="43">
        <f t="shared" si="9"/>
        <v>2481592.3253422291</v>
      </c>
      <c r="AA10" s="44">
        <f t="shared" si="18"/>
        <v>1.5160381979211766E-2</v>
      </c>
      <c r="AB10" s="9">
        <f t="shared" si="10"/>
        <v>454811.45937635296</v>
      </c>
      <c r="AC10" s="9">
        <f t="shared" si="11"/>
        <v>635313.8441114116</v>
      </c>
      <c r="AD10" s="9">
        <f t="shared" si="12"/>
        <v>61.207997536472938</v>
      </c>
      <c r="AE10" s="13">
        <f t="shared" si="13"/>
        <v>154.22565594315122</v>
      </c>
      <c r="AG10" s="31" t="s">
        <v>105</v>
      </c>
      <c r="AH10" s="31"/>
      <c r="AI10" s="31"/>
      <c r="AJ10" s="20"/>
      <c r="AK10" s="23">
        <v>8</v>
      </c>
      <c r="AL10" s="23">
        <v>17</v>
      </c>
      <c r="AM10" s="21" t="s">
        <v>68</v>
      </c>
      <c r="AN10" s="23" t="s">
        <v>13</v>
      </c>
      <c r="AO10" s="29">
        <f t="shared" si="14"/>
        <v>2949</v>
      </c>
      <c r="AP10" s="13">
        <f t="shared" si="15"/>
        <v>10658.142760257715</v>
      </c>
      <c r="AQ10" s="9">
        <f t="shared" si="19"/>
        <v>32066176.844111413</v>
      </c>
      <c r="AR10" s="13">
        <f t="shared" si="16"/>
        <v>10873.576413737339</v>
      </c>
    </row>
    <row r="11" spans="1:45" s="7" customFormat="1" ht="14.7" customHeight="1">
      <c r="A11" s="4">
        <v>9</v>
      </c>
      <c r="B11" s="23">
        <v>3</v>
      </c>
      <c r="C11" s="23">
        <v>22</v>
      </c>
      <c r="D11" s="23" t="s">
        <v>14</v>
      </c>
      <c r="E11" s="37">
        <f t="shared" si="17"/>
        <v>3181</v>
      </c>
      <c r="F11" s="82">
        <v>769</v>
      </c>
      <c r="G11" s="83">
        <v>206</v>
      </c>
      <c r="H11" s="82">
        <v>136</v>
      </c>
      <c r="I11" s="84">
        <v>116</v>
      </c>
      <c r="J11" s="85">
        <v>229</v>
      </c>
      <c r="K11" s="86">
        <v>43</v>
      </c>
      <c r="L11" s="16">
        <v>25013520</v>
      </c>
      <c r="M11" s="16">
        <v>9397856.1799999997</v>
      </c>
      <c r="N11" s="16">
        <f t="shared" si="0"/>
        <v>34411376.18</v>
      </c>
      <c r="O11" s="8">
        <f t="shared" si="1"/>
        <v>10817.785658597924</v>
      </c>
      <c r="P11" s="3">
        <f>'Model Generation'!$M$5*'Outputs Results'!E11^'Model Generation'!$N$5</f>
        <v>10818.312557575873</v>
      </c>
      <c r="Q11" s="9">
        <f t="shared" si="2"/>
        <v>-0.5268989779488038</v>
      </c>
      <c r="R11" s="10">
        <f t="shared" si="3"/>
        <v>-4.8704358941804265E-5</v>
      </c>
      <c r="S11" s="11">
        <f t="shared" si="4"/>
        <v>34413052.245648853</v>
      </c>
      <c r="T11" s="9">
        <f t="shared" si="5"/>
        <v>1676.0656488537788</v>
      </c>
      <c r="U11" s="9">
        <f t="shared" si="6"/>
        <v>1676.0656488537788</v>
      </c>
      <c r="V11" s="9">
        <f t="shared" si="7"/>
        <v>417.51947601811986</v>
      </c>
      <c r="W11" s="42">
        <v>0.99273073938337641</v>
      </c>
      <c r="X11" s="43">
        <f t="shared" si="8"/>
        <v>1024886.8440078525</v>
      </c>
      <c r="Y11" s="43">
        <f>'Small College Data'!K27</f>
        <v>1853028.8385000001</v>
      </c>
      <c r="Z11" s="43">
        <f t="shared" si="9"/>
        <v>2877915.6825078526</v>
      </c>
      <c r="AA11" s="44">
        <f t="shared" si="18"/>
        <v>1.6287335250547735E-2</v>
      </c>
      <c r="AB11" s="9">
        <f t="shared" si="10"/>
        <v>488620.05751643208</v>
      </c>
      <c r="AC11" s="9">
        <f t="shared" si="11"/>
        <v>489037.57699245022</v>
      </c>
      <c r="AD11" s="9">
        <f t="shared" si="12"/>
        <v>0.13125415781770508</v>
      </c>
      <c r="AE11" s="13">
        <f t="shared" si="13"/>
        <v>153.60580242578814</v>
      </c>
      <c r="AG11" s="31" t="s">
        <v>106</v>
      </c>
      <c r="AH11" s="31"/>
      <c r="AI11" s="31"/>
      <c r="AJ11" s="20"/>
      <c r="AK11" s="21">
        <v>9</v>
      </c>
      <c r="AL11" s="23">
        <v>22</v>
      </c>
      <c r="AM11" s="21" t="s">
        <v>91</v>
      </c>
      <c r="AN11" s="23" t="s">
        <v>14</v>
      </c>
      <c r="AO11" s="29">
        <f t="shared" si="14"/>
        <v>3181</v>
      </c>
      <c r="AP11" s="13">
        <f t="shared" si="15"/>
        <v>10817.785658597924</v>
      </c>
      <c r="AQ11" s="9">
        <f t="shared" si="19"/>
        <v>34900413.756992452</v>
      </c>
      <c r="AR11" s="13">
        <f t="shared" si="16"/>
        <v>10971.522715181531</v>
      </c>
    </row>
    <row r="12" spans="1:45" s="7" customFormat="1" ht="14.7" customHeight="1">
      <c r="A12" s="4">
        <v>10</v>
      </c>
      <c r="B12" s="23">
        <v>3</v>
      </c>
      <c r="C12" s="23">
        <v>3</v>
      </c>
      <c r="D12" s="23" t="s">
        <v>15</v>
      </c>
      <c r="E12" s="37">
        <f t="shared" si="17"/>
        <v>3765</v>
      </c>
      <c r="F12" s="82">
        <v>730</v>
      </c>
      <c r="G12" s="83">
        <v>289</v>
      </c>
      <c r="H12" s="90">
        <v>187</v>
      </c>
      <c r="I12" s="84">
        <v>107</v>
      </c>
      <c r="J12" s="85">
        <v>364</v>
      </c>
      <c r="K12" s="86">
        <v>42</v>
      </c>
      <c r="L12" s="16">
        <v>29284984</v>
      </c>
      <c r="M12" s="16">
        <v>11685353.130000001</v>
      </c>
      <c r="N12" s="16">
        <f t="shared" si="0"/>
        <v>40970337.130000003</v>
      </c>
      <c r="O12" s="8">
        <f t="shared" si="1"/>
        <v>10881.895652058434</v>
      </c>
      <c r="P12" s="3">
        <f>'Model Generation'!$M$5*'Outputs Results'!E12^'Model Generation'!$N$5</f>
        <v>10630.326124876543</v>
      </c>
      <c r="Q12" s="9">
        <f t="shared" si="2"/>
        <v>251.56952718189132</v>
      </c>
      <c r="R12" s="10">
        <f t="shared" si="3"/>
        <v>2.3665268988613739E-2</v>
      </c>
      <c r="S12" s="11">
        <f t="shared" si="4"/>
        <v>40023177.860160187</v>
      </c>
      <c r="T12" s="9">
        <f t="shared" si="5"/>
        <v>-947159.2698398158</v>
      </c>
      <c r="U12" s="9" t="str">
        <f t="shared" si="6"/>
        <v/>
      </c>
      <c r="V12" s="9" t="str">
        <f t="shared" si="7"/>
        <v>0</v>
      </c>
      <c r="W12" s="42">
        <v>0.94792578777603176</v>
      </c>
      <c r="X12" s="43">
        <f t="shared" si="8"/>
        <v>1138170.0720717774</v>
      </c>
      <c r="Y12" s="43">
        <f>'Small College Data'!K8</f>
        <v>2028761.4662000004</v>
      </c>
      <c r="Z12" s="43">
        <f t="shared" si="9"/>
        <v>3166931.5382717778</v>
      </c>
      <c r="AA12" s="44">
        <f t="shared" si="18"/>
        <v>1.8087613910117754E-2</v>
      </c>
      <c r="AB12" s="9">
        <f t="shared" si="10"/>
        <v>542628.41730353259</v>
      </c>
      <c r="AC12" s="9">
        <f t="shared" si="11"/>
        <v>542628.41730353259</v>
      </c>
      <c r="AD12" s="9">
        <f t="shared" si="12"/>
        <v>0</v>
      </c>
      <c r="AE12" s="13">
        <f t="shared" si="13"/>
        <v>144.12441362643628</v>
      </c>
      <c r="AG12" s="30"/>
      <c r="AH12" s="30"/>
      <c r="AI12" s="30"/>
      <c r="AJ12" s="20"/>
      <c r="AK12" s="28">
        <v>10</v>
      </c>
      <c r="AL12" s="23">
        <v>3</v>
      </c>
      <c r="AM12" s="21" t="s">
        <v>67</v>
      </c>
      <c r="AN12" s="23" t="s">
        <v>15</v>
      </c>
      <c r="AO12" s="29">
        <f t="shared" si="14"/>
        <v>3765</v>
      </c>
      <c r="AP12" s="13">
        <f t="shared" si="15"/>
        <v>10881.895652058434</v>
      </c>
      <c r="AQ12" s="9">
        <f t="shared" si="19"/>
        <v>41512965.547303535</v>
      </c>
      <c r="AR12" s="13">
        <f t="shared" si="16"/>
        <v>11026.02006568487</v>
      </c>
      <c r="AS12" s="21"/>
    </row>
    <row r="13" spans="1:45" s="7" customFormat="1" ht="14.7" customHeight="1">
      <c r="A13" s="4">
        <v>11</v>
      </c>
      <c r="B13" s="23">
        <v>4</v>
      </c>
      <c r="C13" s="23">
        <v>21</v>
      </c>
      <c r="D13" s="23" t="s">
        <v>16</v>
      </c>
      <c r="E13" s="37">
        <f t="shared" si="17"/>
        <v>5707</v>
      </c>
      <c r="F13" s="82">
        <v>1212</v>
      </c>
      <c r="G13" s="83">
        <v>396</v>
      </c>
      <c r="H13" s="82">
        <v>439</v>
      </c>
      <c r="I13" s="84">
        <v>192</v>
      </c>
      <c r="J13" s="85">
        <v>293</v>
      </c>
      <c r="K13" s="86">
        <v>0</v>
      </c>
      <c r="L13" s="16">
        <v>38667092</v>
      </c>
      <c r="M13" s="16">
        <v>16980394.77</v>
      </c>
      <c r="N13" s="16">
        <f t="shared" si="0"/>
        <v>55647486.769999996</v>
      </c>
      <c r="O13" s="8">
        <f t="shared" si="1"/>
        <v>9750.7423812861398</v>
      </c>
      <c r="P13" s="3">
        <f>'Model Generation'!$M$5*'Outputs Results'!E13^'Model Generation'!$N$5</f>
        <v>10180.280105310767</v>
      </c>
      <c r="Q13" s="9">
        <f t="shared" si="2"/>
        <v>-429.5377240246271</v>
      </c>
      <c r="R13" s="10">
        <f t="shared" si="3"/>
        <v>-4.2193114490096328E-2</v>
      </c>
      <c r="S13" s="11">
        <f t="shared" si="4"/>
        <v>58098858.56100855</v>
      </c>
      <c r="T13" s="9">
        <f t="shared" si="5"/>
        <v>2451371.7910085544</v>
      </c>
      <c r="U13" s="9">
        <f t="shared" si="6"/>
        <v>2451371.7910085544</v>
      </c>
      <c r="V13" s="9">
        <f t="shared" si="7"/>
        <v>610653.56622960186</v>
      </c>
      <c r="W13" s="42">
        <v>0.96830000000000005</v>
      </c>
      <c r="X13" s="43">
        <f t="shared" si="8"/>
        <v>1687713.7423387375</v>
      </c>
      <c r="Y13" s="43" t="b">
        <f>'Small College Data'!K26</f>
        <v>0</v>
      </c>
      <c r="Z13" s="43">
        <f t="shared" si="9"/>
        <v>1687713.7423387375</v>
      </c>
      <c r="AA13" s="44">
        <f t="shared" si="18"/>
        <v>2.6820872654520041E-2</v>
      </c>
      <c r="AB13" s="9">
        <f t="shared" si="10"/>
        <v>804626.17963560123</v>
      </c>
      <c r="AC13" s="9">
        <f t="shared" si="11"/>
        <v>1415279.745865203</v>
      </c>
      <c r="AD13" s="9">
        <f t="shared" si="12"/>
        <v>107.00080011032098</v>
      </c>
      <c r="AE13" s="13">
        <f t="shared" si="13"/>
        <v>140.98934284836187</v>
      </c>
      <c r="AG13" s="30"/>
      <c r="AH13" s="30"/>
      <c r="AI13" s="30"/>
      <c r="AJ13" s="20"/>
      <c r="AK13" s="21">
        <v>11</v>
      </c>
      <c r="AL13" s="23">
        <v>21</v>
      </c>
      <c r="AM13" s="21" t="s">
        <v>99</v>
      </c>
      <c r="AN13" s="23" t="s">
        <v>16</v>
      </c>
      <c r="AO13" s="29">
        <f t="shared" si="14"/>
        <v>5707</v>
      </c>
      <c r="AP13" s="13">
        <f t="shared" si="15"/>
        <v>9750.7423812861398</v>
      </c>
      <c r="AQ13" s="9">
        <f t="shared" si="19"/>
        <v>57062766.515865199</v>
      </c>
      <c r="AR13" s="13">
        <f t="shared" si="16"/>
        <v>9998.7325242448223</v>
      </c>
    </row>
    <row r="14" spans="1:45" s="7" customFormat="1" ht="14.7" customHeight="1">
      <c r="A14" s="4">
        <v>12</v>
      </c>
      <c r="B14" s="23">
        <v>4</v>
      </c>
      <c r="C14" s="23">
        <v>20</v>
      </c>
      <c r="D14" s="23" t="s">
        <v>17</v>
      </c>
      <c r="E14" s="37">
        <f t="shared" si="17"/>
        <v>5123</v>
      </c>
      <c r="F14" s="82">
        <v>1036</v>
      </c>
      <c r="G14" s="83">
        <v>454</v>
      </c>
      <c r="H14" s="82">
        <v>249</v>
      </c>
      <c r="I14" s="84">
        <v>262</v>
      </c>
      <c r="J14" s="85">
        <v>286</v>
      </c>
      <c r="K14" s="86">
        <v>108</v>
      </c>
      <c r="L14" s="16">
        <v>38209127</v>
      </c>
      <c r="M14" s="16">
        <v>16010007.470000001</v>
      </c>
      <c r="N14" s="16">
        <f t="shared" si="0"/>
        <v>54219134.469999999</v>
      </c>
      <c r="O14" s="8">
        <f t="shared" si="1"/>
        <v>10583.473447198907</v>
      </c>
      <c r="P14" s="3">
        <f>'Model Generation'!$M$5*'Outputs Results'!E14^'Model Generation'!$N$5</f>
        <v>10295.219567169628</v>
      </c>
      <c r="Q14" s="9">
        <f t="shared" si="2"/>
        <v>288.25388002927866</v>
      </c>
      <c r="R14" s="10">
        <f t="shared" si="3"/>
        <v>2.799880839341105E-2</v>
      </c>
      <c r="S14" s="11">
        <f t="shared" si="4"/>
        <v>52742409.842610002</v>
      </c>
      <c r="T14" s="9">
        <f t="shared" si="5"/>
        <v>-1476724.6273899972</v>
      </c>
      <c r="U14" s="9" t="str">
        <f t="shared" si="6"/>
        <v/>
      </c>
      <c r="V14" s="9" t="str">
        <f t="shared" si="7"/>
        <v>0</v>
      </c>
      <c r="W14" s="42">
        <v>0.97326204284145634</v>
      </c>
      <c r="X14" s="43">
        <f t="shared" si="8"/>
        <v>1539965.5664339983</v>
      </c>
      <c r="Y14" s="43" t="b">
        <f>'Small College Data'!K25</f>
        <v>0</v>
      </c>
      <c r="Z14" s="43">
        <f t="shared" si="9"/>
        <v>1539965.5664339983</v>
      </c>
      <c r="AA14" s="44">
        <f t="shared" si="18"/>
        <v>2.4472882642074385E-2</v>
      </c>
      <c r="AB14" s="9">
        <f t="shared" si="10"/>
        <v>734186.4792622315</v>
      </c>
      <c r="AC14" s="9">
        <f t="shared" si="11"/>
        <v>734186.4792622315</v>
      </c>
      <c r="AD14" s="9">
        <f t="shared" si="12"/>
        <v>0</v>
      </c>
      <c r="AE14" s="13">
        <f t="shared" si="13"/>
        <v>143.31182495846798</v>
      </c>
      <c r="AG14" s="30"/>
      <c r="AH14" s="30"/>
      <c r="AI14" s="30"/>
      <c r="AK14" s="23">
        <v>12</v>
      </c>
      <c r="AL14" s="23">
        <v>20</v>
      </c>
      <c r="AM14" s="21" t="s">
        <v>69</v>
      </c>
      <c r="AN14" s="23" t="s">
        <v>17</v>
      </c>
      <c r="AO14" s="29">
        <f t="shared" si="14"/>
        <v>5123</v>
      </c>
      <c r="AP14" s="13">
        <f t="shared" si="15"/>
        <v>10583.473447198907</v>
      </c>
      <c r="AQ14" s="9">
        <f t="shared" si="19"/>
        <v>54953320.949262232</v>
      </c>
      <c r="AR14" s="13">
        <f t="shared" si="16"/>
        <v>10726.785272157374</v>
      </c>
    </row>
    <row r="15" spans="1:45" s="7" customFormat="1" ht="14.7" customHeight="1">
      <c r="A15" s="4">
        <v>13</v>
      </c>
      <c r="B15" s="23">
        <v>4</v>
      </c>
      <c r="C15" s="23">
        <v>14</v>
      </c>
      <c r="D15" s="23" t="s">
        <v>18</v>
      </c>
      <c r="E15" s="37">
        <f t="shared" si="17"/>
        <v>4850</v>
      </c>
      <c r="F15" s="82">
        <v>1237</v>
      </c>
      <c r="G15" s="83">
        <v>395</v>
      </c>
      <c r="H15" s="82">
        <v>279</v>
      </c>
      <c r="I15" s="91">
        <v>0</v>
      </c>
      <c r="J15" s="88">
        <v>177</v>
      </c>
      <c r="K15" s="89">
        <v>0</v>
      </c>
      <c r="L15" s="16">
        <v>26014659</v>
      </c>
      <c r="M15" s="16">
        <v>18154497.199999999</v>
      </c>
      <c r="N15" s="16">
        <f t="shared" si="0"/>
        <v>44169156.200000003</v>
      </c>
      <c r="O15" s="8">
        <f t="shared" si="1"/>
        <v>9107.0425154639179</v>
      </c>
      <c r="P15" s="3">
        <f>'Model Generation'!$M$5*'Outputs Results'!E15^'Model Generation'!$N$5</f>
        <v>10354.02014194082</v>
      </c>
      <c r="Q15" s="9">
        <f t="shared" si="2"/>
        <v>-1246.9776264769025</v>
      </c>
      <c r="R15" s="10">
        <f t="shared" si="3"/>
        <v>-0.12043415112027794</v>
      </c>
      <c r="S15" s="11">
        <f t="shared" si="4"/>
        <v>50216997.688412979</v>
      </c>
      <c r="T15" s="9">
        <f t="shared" si="5"/>
        <v>6047841.4884129763</v>
      </c>
      <c r="U15" s="9">
        <f t="shared" si="6"/>
        <v>6047841.4884129763</v>
      </c>
      <c r="V15" s="9">
        <f t="shared" si="7"/>
        <v>1506558.893447689</v>
      </c>
      <c r="W15" s="42">
        <v>1.0013070996590896</v>
      </c>
      <c r="X15" s="43">
        <f t="shared" si="8"/>
        <v>1508479.0892691601</v>
      </c>
      <c r="Y15" s="43" t="b">
        <f>'Small College Data'!K19</f>
        <v>0</v>
      </c>
      <c r="Z15" s="43">
        <f t="shared" si="9"/>
        <v>1508479.0892691601</v>
      </c>
      <c r="AA15" s="44">
        <f t="shared" si="18"/>
        <v>2.3972504661382395E-2</v>
      </c>
      <c r="AB15" s="9">
        <f t="shared" si="10"/>
        <v>719175.13984147192</v>
      </c>
      <c r="AC15" s="9">
        <f t="shared" si="11"/>
        <v>2225734.033289161</v>
      </c>
      <c r="AD15" s="9">
        <f t="shared" si="12"/>
        <v>310.6306996799359</v>
      </c>
      <c r="AE15" s="13">
        <f t="shared" si="13"/>
        <v>148.28353398793234</v>
      </c>
      <c r="AG15" s="30"/>
      <c r="AH15" s="30"/>
      <c r="AI15" s="30"/>
      <c r="AK15" s="23">
        <v>13</v>
      </c>
      <c r="AL15" s="23">
        <v>14</v>
      </c>
      <c r="AM15" s="21" t="s">
        <v>79</v>
      </c>
      <c r="AN15" s="23" t="s">
        <v>18</v>
      </c>
      <c r="AO15" s="29">
        <f t="shared" si="14"/>
        <v>4850</v>
      </c>
      <c r="AP15" s="13">
        <f t="shared" si="15"/>
        <v>9107.0425154639179</v>
      </c>
      <c r="AQ15" s="9">
        <f t="shared" si="19"/>
        <v>46394890.233289167</v>
      </c>
      <c r="AR15" s="13">
        <f t="shared" si="16"/>
        <v>9565.9567491317866</v>
      </c>
    </row>
    <row r="16" spans="1:45" s="7" customFormat="1" ht="14.7" customHeight="1">
      <c r="A16" s="4">
        <v>14</v>
      </c>
      <c r="B16" s="23">
        <v>4</v>
      </c>
      <c r="C16" s="23">
        <v>19</v>
      </c>
      <c r="D16" s="23" t="s">
        <v>19</v>
      </c>
      <c r="E16" s="37">
        <f t="shared" si="17"/>
        <v>4514</v>
      </c>
      <c r="F16" s="82">
        <v>1144</v>
      </c>
      <c r="G16" s="83">
        <v>249</v>
      </c>
      <c r="H16" s="82">
        <v>186</v>
      </c>
      <c r="I16" s="90">
        <v>227</v>
      </c>
      <c r="J16" s="85">
        <v>347</v>
      </c>
      <c r="K16" s="86">
        <v>0</v>
      </c>
      <c r="L16" s="16">
        <v>37173371</v>
      </c>
      <c r="M16" s="16">
        <v>15847958.300000001</v>
      </c>
      <c r="N16" s="16">
        <f t="shared" si="0"/>
        <v>53021329.299999997</v>
      </c>
      <c r="O16" s="8">
        <f t="shared" si="1"/>
        <v>11745.974590163934</v>
      </c>
      <c r="P16" s="3">
        <f>'Model Generation'!$M$5*'Outputs Results'!E16^'Model Generation'!$N$5</f>
        <v>10431.619670656932</v>
      </c>
      <c r="Q16" s="9">
        <f t="shared" si="2"/>
        <v>1314.3549195070027</v>
      </c>
      <c r="R16" s="10">
        <f t="shared" si="3"/>
        <v>0.12599720474895643</v>
      </c>
      <c r="S16" s="11">
        <f t="shared" si="4"/>
        <v>47088331.19334539</v>
      </c>
      <c r="T16" s="9">
        <f t="shared" si="5"/>
        <v>-5932998.1066546068</v>
      </c>
      <c r="U16" s="9" t="str">
        <f t="shared" si="6"/>
        <v/>
      </c>
      <c r="V16" s="9" t="str">
        <f t="shared" si="7"/>
        <v>0</v>
      </c>
      <c r="W16" s="42">
        <v>0.97957801628883356</v>
      </c>
      <c r="X16" s="43">
        <f t="shared" si="8"/>
        <v>1383800.8218218663</v>
      </c>
      <c r="Y16" s="43" t="b">
        <f>'Small College Data'!K24</f>
        <v>0</v>
      </c>
      <c r="Z16" s="43">
        <f t="shared" si="9"/>
        <v>1383800.8218218663</v>
      </c>
      <c r="AA16" s="44">
        <f t="shared" si="18"/>
        <v>2.1991137886850975E-2</v>
      </c>
      <c r="AB16" s="9">
        <f t="shared" si="10"/>
        <v>659734.13660552923</v>
      </c>
      <c r="AC16" s="9">
        <f t="shared" si="11"/>
        <v>659734.13660552923</v>
      </c>
      <c r="AD16" s="9">
        <f t="shared" si="12"/>
        <v>0</v>
      </c>
      <c r="AE16" s="13">
        <f t="shared" si="13"/>
        <v>146.15288803844246</v>
      </c>
      <c r="AG16" s="20"/>
      <c r="AH16" s="20"/>
      <c r="AI16" s="20"/>
      <c r="AK16" s="23">
        <v>14</v>
      </c>
      <c r="AL16" s="23">
        <v>19</v>
      </c>
      <c r="AM16" s="21" t="s">
        <v>70</v>
      </c>
      <c r="AN16" s="23" t="s">
        <v>19</v>
      </c>
      <c r="AO16" s="29">
        <f t="shared" si="14"/>
        <v>4514</v>
      </c>
      <c r="AP16" s="13">
        <f t="shared" si="15"/>
        <v>11745.974590163934</v>
      </c>
      <c r="AQ16" s="9">
        <f t="shared" si="19"/>
        <v>53681063.436605528</v>
      </c>
      <c r="AR16" s="13">
        <f t="shared" si="16"/>
        <v>11892.127478202377</v>
      </c>
    </row>
    <row r="17" spans="1:45" s="7" customFormat="1" ht="14.7" customHeight="1">
      <c r="A17" s="4">
        <v>15</v>
      </c>
      <c r="B17" s="23">
        <v>4</v>
      </c>
      <c r="C17" s="23">
        <v>27</v>
      </c>
      <c r="D17" s="23" t="s">
        <v>20</v>
      </c>
      <c r="E17" s="37">
        <f t="shared" si="17"/>
        <v>6828</v>
      </c>
      <c r="F17" s="82">
        <v>2182</v>
      </c>
      <c r="G17" s="83">
        <v>352</v>
      </c>
      <c r="H17" s="82">
        <v>24</v>
      </c>
      <c r="I17" s="84">
        <v>323</v>
      </c>
      <c r="J17" s="85">
        <v>486</v>
      </c>
      <c r="K17" s="86">
        <v>41</v>
      </c>
      <c r="L17" s="16">
        <v>34795994</v>
      </c>
      <c r="M17" s="16">
        <v>25850845.370000001</v>
      </c>
      <c r="N17" s="16">
        <f t="shared" si="0"/>
        <v>60646839.370000005</v>
      </c>
      <c r="O17" s="8">
        <f t="shared" si="1"/>
        <v>8882.0795796719394</v>
      </c>
      <c r="P17" s="3">
        <f>'Model Generation'!$M$5*'Outputs Results'!E17^'Model Generation'!$N$5</f>
        <v>9992.165554680314</v>
      </c>
      <c r="Q17" s="9">
        <f t="shared" si="2"/>
        <v>-1110.0859750083746</v>
      </c>
      <c r="R17" s="10">
        <f t="shared" si="3"/>
        <v>-0.11109563476842237</v>
      </c>
      <c r="S17" s="11">
        <f t="shared" si="4"/>
        <v>68226506.407357186</v>
      </c>
      <c r="T17" s="9">
        <f t="shared" si="5"/>
        <v>7579667.0373571813</v>
      </c>
      <c r="U17" s="9">
        <f t="shared" si="6"/>
        <v>7579667.0373571813</v>
      </c>
      <c r="V17" s="9">
        <f t="shared" si="7"/>
        <v>1888147.1689330423</v>
      </c>
      <c r="W17" s="42">
        <v>0.9673261915010225</v>
      </c>
      <c r="X17" s="43">
        <f t="shared" si="8"/>
        <v>1979918.5980734681</v>
      </c>
      <c r="Y17" s="43" t="b">
        <f>'Small College Data'!K32</f>
        <v>0</v>
      </c>
      <c r="Z17" s="43">
        <f t="shared" si="9"/>
        <v>1979918.5980734681</v>
      </c>
      <c r="AA17" s="44">
        <f t="shared" si="18"/>
        <v>3.146454475843577E-2</v>
      </c>
      <c r="AB17" s="9">
        <f t="shared" si="10"/>
        <v>943936.34275307308</v>
      </c>
      <c r="AC17" s="9">
        <f t="shared" si="11"/>
        <v>2832083.5116861155</v>
      </c>
      <c r="AD17" s="9">
        <f t="shared" si="12"/>
        <v>276.53004817414211</v>
      </c>
      <c r="AE17" s="13">
        <f t="shared" si="13"/>
        <v>138.24492424620286</v>
      </c>
      <c r="AK17" s="21">
        <v>15</v>
      </c>
      <c r="AL17" s="23">
        <v>27</v>
      </c>
      <c r="AM17" s="21" t="s">
        <v>80</v>
      </c>
      <c r="AN17" s="23" t="s">
        <v>20</v>
      </c>
      <c r="AO17" s="29">
        <f t="shared" si="14"/>
        <v>6828</v>
      </c>
      <c r="AP17" s="13">
        <f t="shared" si="15"/>
        <v>8882.0795796719394</v>
      </c>
      <c r="AQ17" s="9">
        <f t="shared" si="19"/>
        <v>63478922.881686121</v>
      </c>
      <c r="AR17" s="13">
        <f t="shared" si="16"/>
        <v>9296.8545520922853</v>
      </c>
      <c r="AS17" s="21"/>
    </row>
    <row r="18" spans="1:45" s="7" customFormat="1" ht="14.7" customHeight="1">
      <c r="A18" s="4">
        <v>16</v>
      </c>
      <c r="B18" s="23">
        <v>5</v>
      </c>
      <c r="C18" s="23">
        <v>24</v>
      </c>
      <c r="D18" s="23" t="s">
        <v>21</v>
      </c>
      <c r="E18" s="37">
        <f t="shared" si="17"/>
        <v>7350</v>
      </c>
      <c r="F18" s="82">
        <v>2041</v>
      </c>
      <c r="G18" s="83">
        <v>475</v>
      </c>
      <c r="H18" s="82">
        <v>213</v>
      </c>
      <c r="I18" s="84">
        <v>201</v>
      </c>
      <c r="J18" s="85">
        <v>470</v>
      </c>
      <c r="K18" s="86">
        <v>63</v>
      </c>
      <c r="L18" s="16">
        <v>44452602</v>
      </c>
      <c r="M18" s="16">
        <v>23895693.379999999</v>
      </c>
      <c r="N18" s="16">
        <f t="shared" si="0"/>
        <v>68348295.379999995</v>
      </c>
      <c r="O18" s="8">
        <f t="shared" si="1"/>
        <v>9299.0878068027196</v>
      </c>
      <c r="P18" s="3">
        <f>'Model Generation'!$M$5*'Outputs Results'!E18^'Model Generation'!$N$5</f>
        <v>9915.9028472131195</v>
      </c>
      <c r="Q18" s="9">
        <f t="shared" si="2"/>
        <v>-616.81504041039989</v>
      </c>
      <c r="R18" s="10">
        <f t="shared" si="3"/>
        <v>-6.2204627245188951E-2</v>
      </c>
      <c r="S18" s="11">
        <f t="shared" si="4"/>
        <v>72881885.927016422</v>
      </c>
      <c r="T18" s="9">
        <f t="shared" si="5"/>
        <v>4533590.5470164269</v>
      </c>
      <c r="U18" s="9">
        <f t="shared" si="6"/>
        <v>4533590.5470164269</v>
      </c>
      <c r="V18" s="9">
        <f t="shared" si="7"/>
        <v>1129348.5735272262</v>
      </c>
      <c r="W18" s="42">
        <v>0.97785357241123361</v>
      </c>
      <c r="X18" s="43">
        <f t="shared" si="8"/>
        <v>2138034.3755340301</v>
      </c>
      <c r="Y18" s="43" t="b">
        <f>'Small College Data'!K29</f>
        <v>0</v>
      </c>
      <c r="Z18" s="43">
        <f t="shared" si="9"/>
        <v>2138034.3755340301</v>
      </c>
      <c r="AA18" s="44">
        <f t="shared" si="18"/>
        <v>3.3977295010776253E-2</v>
      </c>
      <c r="AB18" s="9">
        <f t="shared" si="10"/>
        <v>1019318.8503232875</v>
      </c>
      <c r="AC18" s="9">
        <f t="shared" si="11"/>
        <v>2148667.423850514</v>
      </c>
      <c r="AD18" s="9">
        <f t="shared" si="12"/>
        <v>153.65286714656139</v>
      </c>
      <c r="AE18" s="13">
        <f t="shared" si="13"/>
        <v>138.68283677867856</v>
      </c>
      <c r="AK18" s="21">
        <v>16</v>
      </c>
      <c r="AL18" s="23">
        <v>24</v>
      </c>
      <c r="AM18" s="21" t="s">
        <v>78</v>
      </c>
      <c r="AN18" s="23" t="s">
        <v>21</v>
      </c>
      <c r="AO18" s="29">
        <f t="shared" si="14"/>
        <v>7350</v>
      </c>
      <c r="AP18" s="13">
        <f t="shared" si="15"/>
        <v>9299.0878068027196</v>
      </c>
      <c r="AQ18" s="9">
        <f t="shared" si="19"/>
        <v>70496962.803850502</v>
      </c>
      <c r="AR18" s="13">
        <f t="shared" si="16"/>
        <v>9591.4235107279601</v>
      </c>
    </row>
    <row r="19" spans="1:45" s="7" customFormat="1" ht="14.7" customHeight="1">
      <c r="A19" s="4">
        <v>17</v>
      </c>
      <c r="B19" s="23">
        <v>5</v>
      </c>
      <c r="C19" s="23">
        <v>6</v>
      </c>
      <c r="D19" s="23" t="s">
        <v>22</v>
      </c>
      <c r="E19" s="37">
        <f t="shared" si="17"/>
        <v>6878</v>
      </c>
      <c r="F19" s="82">
        <v>1658</v>
      </c>
      <c r="G19" s="83">
        <v>583</v>
      </c>
      <c r="H19" s="82">
        <v>371</v>
      </c>
      <c r="I19" s="84">
        <v>74</v>
      </c>
      <c r="J19" s="85">
        <v>313</v>
      </c>
      <c r="K19" s="86">
        <v>0</v>
      </c>
      <c r="L19" s="16">
        <v>36921478</v>
      </c>
      <c r="M19" s="16">
        <v>26689374.710000001</v>
      </c>
      <c r="N19" s="16">
        <f t="shared" si="0"/>
        <v>63610852.710000001</v>
      </c>
      <c r="O19" s="8">
        <f t="shared" si="1"/>
        <v>9248.4519787728987</v>
      </c>
      <c r="P19" s="3">
        <f>'Model Generation'!$M$5*'Outputs Results'!E19^'Model Generation'!$N$5</f>
        <v>9984.5864239257498</v>
      </c>
      <c r="Q19" s="9">
        <f t="shared" si="2"/>
        <v>-736.13444515285119</v>
      </c>
      <c r="R19" s="10">
        <f t="shared" si="3"/>
        <v>-7.3727084317571273E-2</v>
      </c>
      <c r="S19" s="11">
        <f t="shared" si="4"/>
        <v>68673985.423761308</v>
      </c>
      <c r="T19" s="9">
        <f t="shared" si="5"/>
        <v>5063132.7137613073</v>
      </c>
      <c r="U19" s="9">
        <f t="shared" si="6"/>
        <v>5063132.7137613073</v>
      </c>
      <c r="V19" s="9">
        <f t="shared" si="7"/>
        <v>1261261.1678459651</v>
      </c>
      <c r="W19" s="42">
        <v>1.0244509263407358</v>
      </c>
      <c r="X19" s="43">
        <f t="shared" si="8"/>
        <v>2110593.8394864737</v>
      </c>
      <c r="Y19" s="43" t="b">
        <f>'Small College Data'!K11</f>
        <v>0</v>
      </c>
      <c r="Z19" s="43">
        <f t="shared" si="9"/>
        <v>2110593.8394864737</v>
      </c>
      <c r="AA19" s="44">
        <f t="shared" si="18"/>
        <v>3.3541214469129776E-2</v>
      </c>
      <c r="AB19" s="9">
        <f t="shared" si="10"/>
        <v>1006236.4340738932</v>
      </c>
      <c r="AC19" s="9">
        <f t="shared" si="11"/>
        <v>2267497.6019198583</v>
      </c>
      <c r="AD19" s="9">
        <f t="shared" si="12"/>
        <v>183.37615118435085</v>
      </c>
      <c r="AE19" s="13">
        <f t="shared" si="13"/>
        <v>146.29782408750992</v>
      </c>
      <c r="AK19" s="23">
        <v>17</v>
      </c>
      <c r="AL19" s="23">
        <v>6</v>
      </c>
      <c r="AM19" s="21" t="s">
        <v>66</v>
      </c>
      <c r="AN19" s="23" t="s">
        <v>22</v>
      </c>
      <c r="AO19" s="29">
        <f t="shared" si="14"/>
        <v>6878</v>
      </c>
      <c r="AP19" s="13">
        <f t="shared" si="15"/>
        <v>9248.4519787728987</v>
      </c>
      <c r="AQ19" s="9">
        <f t="shared" si="19"/>
        <v>65878350.311919861</v>
      </c>
      <c r="AR19" s="13">
        <f t="shared" si="16"/>
        <v>9578.1259540447609</v>
      </c>
    </row>
    <row r="20" spans="1:45" s="7" customFormat="1" ht="14.7" customHeight="1">
      <c r="A20" s="4">
        <v>18</v>
      </c>
      <c r="B20" s="23">
        <v>5</v>
      </c>
      <c r="C20" s="23">
        <v>5</v>
      </c>
      <c r="D20" s="23" t="s">
        <v>23</v>
      </c>
      <c r="E20" s="37">
        <f t="shared" si="17"/>
        <v>8187</v>
      </c>
      <c r="F20" s="82">
        <v>1463</v>
      </c>
      <c r="G20" s="83">
        <v>612</v>
      </c>
      <c r="H20" s="82">
        <v>523</v>
      </c>
      <c r="I20" s="84">
        <v>554</v>
      </c>
      <c r="J20" s="85">
        <v>581</v>
      </c>
      <c r="K20" s="86">
        <v>140</v>
      </c>
      <c r="L20" s="16">
        <v>52201275</v>
      </c>
      <c r="M20" s="16">
        <v>23793865.739999998</v>
      </c>
      <c r="N20" s="16">
        <f t="shared" si="0"/>
        <v>75995140.739999995</v>
      </c>
      <c r="O20" s="8">
        <f t="shared" si="1"/>
        <v>9282.4161157933304</v>
      </c>
      <c r="P20" s="3">
        <f>'Model Generation'!$M$5*'Outputs Results'!E20^'Model Generation'!$N$5</f>
        <v>9805.3063748821187</v>
      </c>
      <c r="Q20" s="9">
        <f t="shared" si="2"/>
        <v>-522.8902590887883</v>
      </c>
      <c r="R20" s="10">
        <f t="shared" si="3"/>
        <v>-5.3327273936922201E-2</v>
      </c>
      <c r="S20" s="11">
        <f t="shared" si="4"/>
        <v>80276043.291159913</v>
      </c>
      <c r="T20" s="9">
        <f t="shared" si="5"/>
        <v>4280902.5511599183</v>
      </c>
      <c r="U20" s="9">
        <f t="shared" si="6"/>
        <v>4280902.5511599183</v>
      </c>
      <c r="V20" s="9">
        <f t="shared" si="7"/>
        <v>1066402.25653885</v>
      </c>
      <c r="W20" s="42">
        <v>0.96484076044625344</v>
      </c>
      <c r="X20" s="43">
        <f t="shared" si="8"/>
        <v>2323607.9596397728</v>
      </c>
      <c r="Y20" s="43" t="b">
        <f>'Small College Data'!K10</f>
        <v>0</v>
      </c>
      <c r="Z20" s="43">
        <f t="shared" si="9"/>
        <v>2323607.9596397728</v>
      </c>
      <c r="AA20" s="44">
        <f t="shared" si="18"/>
        <v>3.6926400266295359E-2</v>
      </c>
      <c r="AB20" s="9">
        <f t="shared" si="10"/>
        <v>1107792.0079888608</v>
      </c>
      <c r="AC20" s="9">
        <f t="shared" si="11"/>
        <v>2174194.2645277111</v>
      </c>
      <c r="AD20" s="9">
        <f t="shared" si="12"/>
        <v>130.25555838999023</v>
      </c>
      <c r="AE20" s="13">
        <f t="shared" si="13"/>
        <v>135.31110394391851</v>
      </c>
      <c r="AK20" s="23">
        <v>18</v>
      </c>
      <c r="AL20" s="23">
        <v>5</v>
      </c>
      <c r="AM20" s="21" t="s">
        <v>73</v>
      </c>
      <c r="AN20" s="23" t="s">
        <v>23</v>
      </c>
      <c r="AO20" s="29">
        <f t="shared" si="14"/>
        <v>8187</v>
      </c>
      <c r="AP20" s="13">
        <f t="shared" si="15"/>
        <v>9282.4161157933304</v>
      </c>
      <c r="AQ20" s="9">
        <f t="shared" si="19"/>
        <v>78169335.004527703</v>
      </c>
      <c r="AR20" s="13">
        <f t="shared" si="16"/>
        <v>9547.9827781272379</v>
      </c>
      <c r="AS20" s="21"/>
    </row>
    <row r="21" spans="1:45" s="7" customFormat="1" ht="14.7" customHeight="1">
      <c r="A21" s="4">
        <v>19</v>
      </c>
      <c r="B21" s="23">
        <v>5</v>
      </c>
      <c r="C21" s="23">
        <v>1</v>
      </c>
      <c r="D21" s="23" t="s">
        <v>24</v>
      </c>
      <c r="E21" s="37">
        <f t="shared" si="17"/>
        <v>9160</v>
      </c>
      <c r="F21" s="82">
        <v>1996</v>
      </c>
      <c r="G21" s="83">
        <v>639</v>
      </c>
      <c r="H21" s="82">
        <v>660</v>
      </c>
      <c r="I21" s="84">
        <v>481</v>
      </c>
      <c r="J21" s="85">
        <v>395</v>
      </c>
      <c r="K21" s="86">
        <v>0</v>
      </c>
      <c r="L21" s="16">
        <v>45392574</v>
      </c>
      <c r="M21" s="16">
        <v>23090640.120000001</v>
      </c>
      <c r="N21" s="16">
        <f t="shared" si="0"/>
        <v>68483214.120000005</v>
      </c>
      <c r="O21" s="8">
        <f t="shared" si="1"/>
        <v>7476.3334192139746</v>
      </c>
      <c r="P21" s="3">
        <f>'Model Generation'!$M$5*'Outputs Results'!E21^'Model Generation'!$N$5</f>
        <v>9691.4557473012774</v>
      </c>
      <c r="Q21" s="9">
        <f t="shared" si="2"/>
        <v>-2215.1223280873028</v>
      </c>
      <c r="R21" s="10">
        <f t="shared" si="3"/>
        <v>-0.2285644577909913</v>
      </c>
      <c r="S21" s="11">
        <f t="shared" si="4"/>
        <v>88773734.645279706</v>
      </c>
      <c r="T21" s="9">
        <f t="shared" si="5"/>
        <v>20290520.525279701</v>
      </c>
      <c r="U21" s="9">
        <f t="shared" si="6"/>
        <v>20290520.525279701</v>
      </c>
      <c r="V21" s="9">
        <f t="shared" si="7"/>
        <v>5054508.1594168292</v>
      </c>
      <c r="W21" s="42">
        <v>0.98819999999999997</v>
      </c>
      <c r="X21" s="43">
        <f t="shared" si="8"/>
        <v>2631786.1372939618</v>
      </c>
      <c r="Y21" s="43" t="b">
        <f>'Small College Data'!K6</f>
        <v>0</v>
      </c>
      <c r="Z21" s="43">
        <f t="shared" si="9"/>
        <v>2631786.1372939618</v>
      </c>
      <c r="AA21" s="44">
        <f t="shared" si="18"/>
        <v>4.1823917807576411E-2</v>
      </c>
      <c r="AB21" s="9">
        <f t="shared" si="10"/>
        <v>1254717.5342272923</v>
      </c>
      <c r="AC21" s="9">
        <f t="shared" si="11"/>
        <v>6309225.6936441213</v>
      </c>
      <c r="AD21" s="9">
        <f t="shared" si="12"/>
        <v>551.80220080969752</v>
      </c>
      <c r="AE21" s="13">
        <f t="shared" si="13"/>
        <v>136.9778967497044</v>
      </c>
      <c r="AK21" s="26">
        <v>19</v>
      </c>
      <c r="AL21" s="23">
        <v>1</v>
      </c>
      <c r="AM21" s="21" t="s">
        <v>75</v>
      </c>
      <c r="AN21" s="23" t="s">
        <v>24</v>
      </c>
      <c r="AO21" s="29">
        <f t="shared" si="14"/>
        <v>9160</v>
      </c>
      <c r="AP21" s="13">
        <f t="shared" si="15"/>
        <v>7476.3334192139746</v>
      </c>
      <c r="AQ21" s="9">
        <f t="shared" si="19"/>
        <v>74792439.813644126</v>
      </c>
      <c r="AR21" s="13">
        <f t="shared" si="16"/>
        <v>8165.1135167733764</v>
      </c>
    </row>
    <row r="22" spans="1:45" s="7" customFormat="1">
      <c r="A22" s="4">
        <v>20</v>
      </c>
      <c r="B22" s="23">
        <v>5</v>
      </c>
      <c r="C22" s="23">
        <v>11</v>
      </c>
      <c r="D22" s="23" t="s">
        <v>25</v>
      </c>
      <c r="E22" s="37">
        <f t="shared" si="17"/>
        <v>9357</v>
      </c>
      <c r="F22" s="82">
        <v>1761</v>
      </c>
      <c r="G22" s="83">
        <v>518</v>
      </c>
      <c r="H22" s="82">
        <v>712</v>
      </c>
      <c r="I22" s="84">
        <v>651</v>
      </c>
      <c r="J22" s="85">
        <v>705</v>
      </c>
      <c r="K22" s="86">
        <v>84</v>
      </c>
      <c r="L22" s="16">
        <v>51422971</v>
      </c>
      <c r="M22" s="16">
        <v>24171407.82</v>
      </c>
      <c r="N22" s="16">
        <f t="shared" si="0"/>
        <v>75594378.819999993</v>
      </c>
      <c r="O22" s="8">
        <f t="shared" si="1"/>
        <v>8078.9119183498979</v>
      </c>
      <c r="P22" s="3">
        <f>'Model Generation'!$M$5*'Outputs Results'!E22^'Model Generation'!$N$5</f>
        <v>9670.032569796711</v>
      </c>
      <c r="Q22" s="9">
        <f t="shared" si="2"/>
        <v>-1591.1206514468131</v>
      </c>
      <c r="R22" s="10">
        <f t="shared" si="3"/>
        <v>-0.16454139528097397</v>
      </c>
      <c r="S22" s="11">
        <f t="shared" si="4"/>
        <v>90482494.755587831</v>
      </c>
      <c r="T22" s="9">
        <f t="shared" si="5"/>
        <v>14888115.935587838</v>
      </c>
      <c r="U22" s="9">
        <f t="shared" si="6"/>
        <v>14888115.935587838</v>
      </c>
      <c r="V22" s="9">
        <f t="shared" si="7"/>
        <v>3708732.0347951059</v>
      </c>
      <c r="W22" s="42">
        <v>1.0037554726464113</v>
      </c>
      <c r="X22" s="43">
        <f t="shared" si="8"/>
        <v>2724668.9786886452</v>
      </c>
      <c r="Y22" s="43" t="b">
        <f>'Small College Data'!K16</f>
        <v>0</v>
      </c>
      <c r="Z22" s="43">
        <f t="shared" si="9"/>
        <v>2724668.9786886452</v>
      </c>
      <c r="AA22" s="44">
        <f t="shared" si="18"/>
        <v>4.329999683587455E-2</v>
      </c>
      <c r="AB22" s="9">
        <f t="shared" si="10"/>
        <v>1298999.9050762365</v>
      </c>
      <c r="AC22" s="9">
        <f t="shared" si="11"/>
        <v>5007731.9398713429</v>
      </c>
      <c r="AD22" s="9">
        <f t="shared" si="12"/>
        <v>396.35909317036504</v>
      </c>
      <c r="AE22" s="13">
        <f t="shared" si="13"/>
        <v>138.82653682550352</v>
      </c>
      <c r="AK22" s="23">
        <v>20</v>
      </c>
      <c r="AL22" s="23">
        <v>11</v>
      </c>
      <c r="AM22" s="21" t="s">
        <v>76</v>
      </c>
      <c r="AN22" s="23" t="s">
        <v>25</v>
      </c>
      <c r="AO22" s="29">
        <f t="shared" si="14"/>
        <v>9357</v>
      </c>
      <c r="AP22" s="13">
        <f t="shared" si="15"/>
        <v>8078.9119183498979</v>
      </c>
      <c r="AQ22" s="9">
        <f t="shared" si="19"/>
        <v>80602110.759871334</v>
      </c>
      <c r="AR22" s="13">
        <f t="shared" si="16"/>
        <v>8614.097548345766</v>
      </c>
    </row>
    <row r="23" spans="1:45">
      <c r="A23" s="4">
        <v>21</v>
      </c>
      <c r="B23" s="23">
        <v>5</v>
      </c>
      <c r="C23" s="23">
        <v>25</v>
      </c>
      <c r="D23" s="23" t="s">
        <v>26</v>
      </c>
      <c r="E23" s="37">
        <f t="shared" si="17"/>
        <v>9225</v>
      </c>
      <c r="F23" s="82">
        <v>1948</v>
      </c>
      <c r="G23" s="83">
        <v>675</v>
      </c>
      <c r="H23" s="82">
        <v>553</v>
      </c>
      <c r="I23" s="84">
        <v>303</v>
      </c>
      <c r="J23" s="85">
        <v>577</v>
      </c>
      <c r="K23" s="86">
        <v>188</v>
      </c>
      <c r="L23" s="16">
        <v>46570934</v>
      </c>
      <c r="M23" s="16">
        <v>29505409.539999999</v>
      </c>
      <c r="N23" s="16">
        <f t="shared" si="0"/>
        <v>76076343.539999992</v>
      </c>
      <c r="O23" s="8">
        <f t="shared" si="1"/>
        <v>8246.7581073170732</v>
      </c>
      <c r="P23" s="3">
        <f>'Model Generation'!$M$5*'Outputs Results'!E23^'Model Generation'!$N$5</f>
        <v>9684.33141436398</v>
      </c>
      <c r="Q23" s="9">
        <f t="shared" si="2"/>
        <v>-1437.5733070469068</v>
      </c>
      <c r="R23" s="10">
        <f t="shared" si="3"/>
        <v>-0.1484432167319957</v>
      </c>
      <c r="S23" s="11">
        <f t="shared" si="4"/>
        <v>89337957.297507718</v>
      </c>
      <c r="T23" s="9">
        <f t="shared" si="5"/>
        <v>13261613.757507727</v>
      </c>
      <c r="U23" s="9">
        <f t="shared" si="6"/>
        <v>13261613.757507727</v>
      </c>
      <c r="V23" s="9">
        <f t="shared" si="7"/>
        <v>3303559.160093714</v>
      </c>
      <c r="W23" s="42">
        <v>0.995</v>
      </c>
      <c r="X23" s="43">
        <f t="shared" si="8"/>
        <v>2666738.0253306055</v>
      </c>
      <c r="Y23" s="43" t="b">
        <f>'Small College Data'!K30</f>
        <v>0</v>
      </c>
      <c r="Z23" s="43">
        <f t="shared" si="9"/>
        <v>2666738.0253306055</v>
      </c>
      <c r="AA23" s="44">
        <f t="shared" si="18"/>
        <v>4.2379367534949496E-2</v>
      </c>
      <c r="AB23" s="9">
        <f t="shared" si="10"/>
        <v>1271381.026048485</v>
      </c>
      <c r="AC23" s="9">
        <f t="shared" si="11"/>
        <v>4574940.1861421987</v>
      </c>
      <c r="AD23" s="9">
        <f t="shared" si="12"/>
        <v>358.10939404809909</v>
      </c>
      <c r="AE23" s="13">
        <f t="shared" si="13"/>
        <v>137.81908141446991</v>
      </c>
      <c r="AG23" s="7"/>
      <c r="AH23" s="7"/>
      <c r="AI23" s="7"/>
      <c r="AK23" s="21">
        <v>21</v>
      </c>
      <c r="AL23" s="21">
        <v>25</v>
      </c>
      <c r="AM23" s="21" t="s">
        <v>83</v>
      </c>
      <c r="AN23" s="23" t="s">
        <v>26</v>
      </c>
      <c r="AO23" s="29">
        <f t="shared" si="14"/>
        <v>9225</v>
      </c>
      <c r="AP23" s="13">
        <f t="shared" si="15"/>
        <v>8246.7581073170732</v>
      </c>
      <c r="AQ23" s="9">
        <f t="shared" si="19"/>
        <v>80651283.726142198</v>
      </c>
      <c r="AR23" s="13">
        <f t="shared" si="16"/>
        <v>8742.6865827796428</v>
      </c>
      <c r="AS23" s="23"/>
    </row>
    <row r="24" spans="1:45">
      <c r="A24" s="4">
        <v>22</v>
      </c>
      <c r="B24" s="23">
        <v>6</v>
      </c>
      <c r="C24" s="23">
        <v>7</v>
      </c>
      <c r="D24" s="23" t="s">
        <v>27</v>
      </c>
      <c r="E24" s="37">
        <f t="shared" si="17"/>
        <v>13700</v>
      </c>
      <c r="F24" s="82">
        <v>2141</v>
      </c>
      <c r="G24" s="83">
        <v>1071</v>
      </c>
      <c r="H24" s="82">
        <v>1112</v>
      </c>
      <c r="I24" s="84">
        <v>1400</v>
      </c>
      <c r="J24" s="85">
        <v>701</v>
      </c>
      <c r="K24" s="86">
        <v>67</v>
      </c>
      <c r="L24" s="16">
        <v>78876686</v>
      </c>
      <c r="M24" s="16">
        <v>40567335.579999998</v>
      </c>
      <c r="N24" s="16">
        <f t="shared" si="0"/>
        <v>119444021.58</v>
      </c>
      <c r="O24" s="8">
        <f t="shared" si="1"/>
        <v>8718.5417211678832</v>
      </c>
      <c r="P24" s="3">
        <f>'Model Generation'!$M$5*'Outputs Results'!E24^'Model Generation'!$N$5</f>
        <v>9294.0971399499085</v>
      </c>
      <c r="Q24" s="9">
        <f t="shared" si="2"/>
        <v>-575.5554187820253</v>
      </c>
      <c r="R24" s="10">
        <f t="shared" si="3"/>
        <v>-6.192698549577752E-2</v>
      </c>
      <c r="S24" s="11">
        <f t="shared" si="4"/>
        <v>127329130.81731375</v>
      </c>
      <c r="T24" s="9">
        <f t="shared" si="5"/>
        <v>7885109.2373137474</v>
      </c>
      <c r="U24" s="9">
        <f t="shared" si="6"/>
        <v>7885109.2373137474</v>
      </c>
      <c r="V24" s="9">
        <f t="shared" si="7"/>
        <v>1964234.9208459228</v>
      </c>
      <c r="W24" s="42">
        <v>1.0047339278135843</v>
      </c>
      <c r="X24" s="43">
        <f t="shared" si="8"/>
        <v>3837956.9319350799</v>
      </c>
      <c r="Y24" s="43" t="b">
        <f>'Small College Data'!K12</f>
        <v>0</v>
      </c>
      <c r="Z24" s="43">
        <f t="shared" si="9"/>
        <v>3837956.9319350799</v>
      </c>
      <c r="AA24" s="44">
        <f t="shared" si="18"/>
        <v>6.0992188155272409E-2</v>
      </c>
      <c r="AB24" s="9">
        <f t="shared" si="10"/>
        <v>1829765.6446581723</v>
      </c>
      <c r="AC24" s="9">
        <f t="shared" si="11"/>
        <v>3794000.5655040951</v>
      </c>
      <c r="AD24" s="9">
        <f t="shared" si="12"/>
        <v>143.37481174057831</v>
      </c>
      <c r="AE24" s="13">
        <f t="shared" si="13"/>
        <v>133.55953610643593</v>
      </c>
      <c r="AG24" s="7"/>
      <c r="AH24" s="7"/>
      <c r="AI24" s="7"/>
      <c r="AK24" s="23">
        <v>22</v>
      </c>
      <c r="AL24" s="21">
        <v>7</v>
      </c>
      <c r="AM24" s="21" t="s">
        <v>84</v>
      </c>
      <c r="AN24" s="23" t="s">
        <v>27</v>
      </c>
      <c r="AO24" s="29">
        <f t="shared" si="14"/>
        <v>13700</v>
      </c>
      <c r="AP24" s="13">
        <f t="shared" si="15"/>
        <v>8718.5417211678832</v>
      </c>
      <c r="AQ24" s="9">
        <f t="shared" si="19"/>
        <v>123238022.14550409</v>
      </c>
      <c r="AR24" s="13">
        <f t="shared" si="16"/>
        <v>8995.476069014896</v>
      </c>
      <c r="AS24" s="23"/>
    </row>
    <row r="25" spans="1:45">
      <c r="A25" s="4">
        <v>23</v>
      </c>
      <c r="B25" s="23">
        <v>6</v>
      </c>
      <c r="C25" s="23">
        <v>23</v>
      </c>
      <c r="D25" s="23" t="s">
        <v>28</v>
      </c>
      <c r="E25" s="37">
        <f t="shared" si="17"/>
        <v>14247</v>
      </c>
      <c r="F25" s="82">
        <v>2935</v>
      </c>
      <c r="G25" s="83">
        <v>1052</v>
      </c>
      <c r="H25" s="82">
        <v>1178</v>
      </c>
      <c r="I25" s="84">
        <v>229</v>
      </c>
      <c r="J25" s="85">
        <v>729</v>
      </c>
      <c r="K25" s="86">
        <v>0</v>
      </c>
      <c r="L25" s="16">
        <v>78136883</v>
      </c>
      <c r="M25" s="16">
        <v>48515885</v>
      </c>
      <c r="N25" s="16">
        <f t="shared" si="0"/>
        <v>126652768</v>
      </c>
      <c r="O25" s="8">
        <f t="shared" si="1"/>
        <v>8889.7850775601873</v>
      </c>
      <c r="P25" s="3">
        <f>'Model Generation'!$M$5*'Outputs Results'!E25^'Model Generation'!$N$5</f>
        <v>9256.3317222328205</v>
      </c>
      <c r="Q25" s="9">
        <f t="shared" si="2"/>
        <v>-366.54664467263319</v>
      </c>
      <c r="R25" s="10">
        <f t="shared" si="3"/>
        <v>-3.9599557975242325E-2</v>
      </c>
      <c r="S25" s="11">
        <f t="shared" si="4"/>
        <v>131874958.04665099</v>
      </c>
      <c r="T25" s="9">
        <f t="shared" si="5"/>
        <v>5222190.0466509908</v>
      </c>
      <c r="U25" s="9">
        <f t="shared" si="6"/>
        <v>5222190.0466509908</v>
      </c>
      <c r="V25" s="9">
        <f t="shared" si="7"/>
        <v>1300883.4429819994</v>
      </c>
      <c r="W25" s="42">
        <v>0.99860000000000004</v>
      </c>
      <c r="X25" s="43">
        <f t="shared" si="8"/>
        <v>3950709.9931615703</v>
      </c>
      <c r="Y25" s="43" t="b">
        <f>'Small College Data'!K28</f>
        <v>0</v>
      </c>
      <c r="Z25" s="43">
        <f t="shared" si="9"/>
        <v>3950709.9931615703</v>
      </c>
      <c r="AA25" s="44">
        <f t="shared" si="18"/>
        <v>6.2784041489577988E-2</v>
      </c>
      <c r="AB25" s="9">
        <f t="shared" si="10"/>
        <v>1883521.2446873398</v>
      </c>
      <c r="AC25" s="9">
        <f t="shared" si="11"/>
        <v>3184404.6876693391</v>
      </c>
      <c r="AD25" s="9">
        <f t="shared" si="12"/>
        <v>91.309289182424322</v>
      </c>
      <c r="AE25" s="13">
        <f t="shared" si="13"/>
        <v>132.20476203322383</v>
      </c>
      <c r="AK25" s="21">
        <v>23</v>
      </c>
      <c r="AL25" s="21">
        <v>23</v>
      </c>
      <c r="AM25" s="21" t="s">
        <v>81</v>
      </c>
      <c r="AN25" s="23" t="s">
        <v>28</v>
      </c>
      <c r="AO25" s="29">
        <f t="shared" si="14"/>
        <v>14247</v>
      </c>
      <c r="AP25" s="13">
        <f t="shared" si="15"/>
        <v>8889.7850775601873</v>
      </c>
      <c r="AQ25" s="9">
        <f t="shared" si="19"/>
        <v>129837172.68766934</v>
      </c>
      <c r="AR25" s="13">
        <f t="shared" si="16"/>
        <v>9113.2991287758359</v>
      </c>
    </row>
    <row r="26" spans="1:45">
      <c r="A26" s="4">
        <v>24</v>
      </c>
      <c r="B26" s="23">
        <v>6</v>
      </c>
      <c r="C26" s="23">
        <v>10</v>
      </c>
      <c r="D26" s="23" t="s">
        <v>29</v>
      </c>
      <c r="E26" s="37">
        <f t="shared" si="17"/>
        <v>11382</v>
      </c>
      <c r="F26" s="82">
        <v>3266</v>
      </c>
      <c r="G26" s="83">
        <v>823</v>
      </c>
      <c r="H26" s="92">
        <v>0</v>
      </c>
      <c r="I26" s="84">
        <v>579</v>
      </c>
      <c r="J26" s="85">
        <v>901</v>
      </c>
      <c r="K26" s="86">
        <v>0</v>
      </c>
      <c r="L26" s="16">
        <v>71428565</v>
      </c>
      <c r="M26" s="16">
        <v>52070647.649999999</v>
      </c>
      <c r="N26" s="16">
        <f t="shared" si="0"/>
        <v>123499212.65000001</v>
      </c>
      <c r="O26" s="8">
        <f t="shared" si="1"/>
        <v>10850.396472500441</v>
      </c>
      <c r="P26" s="3">
        <f>'Model Generation'!$M$5*'Outputs Results'!E26^'Model Generation'!$N$5</f>
        <v>9475.0042589629356</v>
      </c>
      <c r="Q26" s="9">
        <f t="shared" si="2"/>
        <v>1375.3922135375051</v>
      </c>
      <c r="R26" s="10">
        <f t="shared" si="3"/>
        <v>0.14516006282914806</v>
      </c>
      <c r="S26" s="11">
        <f t="shared" si="4"/>
        <v>107844498.47551614</v>
      </c>
      <c r="T26" s="9">
        <f t="shared" si="5"/>
        <v>-15654714.174483865</v>
      </c>
      <c r="U26" s="9" t="str">
        <f t="shared" si="6"/>
        <v/>
      </c>
      <c r="V26" s="9" t="str">
        <f t="shared" si="7"/>
        <v>0</v>
      </c>
      <c r="W26" s="42">
        <v>1.0046999999999999</v>
      </c>
      <c r="X26" s="43">
        <f t="shared" si="8"/>
        <v>3250541.0285505317</v>
      </c>
      <c r="Y26" s="43" t="b">
        <f>'Small College Data'!K15</f>
        <v>0</v>
      </c>
      <c r="Z26" s="43">
        <f t="shared" si="9"/>
        <v>3250541.0285505317</v>
      </c>
      <c r="AA26" s="44">
        <f t="shared" si="18"/>
        <v>5.1657070033828176E-2</v>
      </c>
      <c r="AB26" s="9">
        <f t="shared" si="10"/>
        <v>1549712.1010148453</v>
      </c>
      <c r="AC26" s="9">
        <f t="shared" si="11"/>
        <v>1549712.1010148453</v>
      </c>
      <c r="AD26" s="9">
        <f t="shared" si="12"/>
        <v>0</v>
      </c>
      <c r="AE26" s="13">
        <f t="shared" si="13"/>
        <v>136.1546389926942</v>
      </c>
      <c r="AK26" s="23">
        <v>24</v>
      </c>
      <c r="AL26" s="21">
        <v>10</v>
      </c>
      <c r="AM26" s="21" t="s">
        <v>74</v>
      </c>
      <c r="AN26" s="23" t="s">
        <v>29</v>
      </c>
      <c r="AO26" s="29">
        <f t="shared" si="14"/>
        <v>11382</v>
      </c>
      <c r="AP26" s="13">
        <f t="shared" si="15"/>
        <v>10850.396472500441</v>
      </c>
      <c r="AQ26" s="9">
        <f t="shared" si="19"/>
        <v>125048924.75101486</v>
      </c>
      <c r="AR26" s="13">
        <f t="shared" si="16"/>
        <v>10986.551111493134</v>
      </c>
      <c r="AS26" s="23"/>
    </row>
    <row r="27" spans="1:45">
      <c r="A27" s="4">
        <v>25</v>
      </c>
      <c r="B27" s="23">
        <v>6</v>
      </c>
      <c r="C27" s="23">
        <v>18</v>
      </c>
      <c r="D27" s="23" t="s">
        <v>30</v>
      </c>
      <c r="E27" s="37">
        <f t="shared" si="17"/>
        <v>11592</v>
      </c>
      <c r="F27" s="82">
        <v>3535</v>
      </c>
      <c r="G27" s="83">
        <v>591</v>
      </c>
      <c r="H27" s="82">
        <v>413</v>
      </c>
      <c r="I27" s="84">
        <v>808</v>
      </c>
      <c r="J27" s="85">
        <v>351</v>
      </c>
      <c r="K27" s="86">
        <v>0</v>
      </c>
      <c r="L27" s="16">
        <v>67966511</v>
      </c>
      <c r="M27" s="16">
        <v>46350919.689999998</v>
      </c>
      <c r="N27" s="16">
        <f t="shared" si="0"/>
        <v>114317430.69</v>
      </c>
      <c r="O27" s="8">
        <f t="shared" si="1"/>
        <v>9861.752129917184</v>
      </c>
      <c r="P27" s="3">
        <f>'Model Generation'!$M$5*'Outputs Results'!E27^'Model Generation'!$N$5</f>
        <v>9457.0062394156284</v>
      </c>
      <c r="Q27" s="9">
        <f t="shared" si="2"/>
        <v>404.74589050155555</v>
      </c>
      <c r="R27" s="10">
        <f t="shared" si="3"/>
        <v>4.2798522096202593E-2</v>
      </c>
      <c r="S27" s="11">
        <f t="shared" si="4"/>
        <v>109625616.32730596</v>
      </c>
      <c r="T27" s="9">
        <f t="shared" si="5"/>
        <v>-4691814.3626940399</v>
      </c>
      <c r="U27" s="9" t="str">
        <f t="shared" si="6"/>
        <v/>
      </c>
      <c r="V27" s="9" t="str">
        <f t="shared" si="7"/>
        <v>0</v>
      </c>
      <c r="W27" s="42">
        <v>1.0424</v>
      </c>
      <c r="X27" s="43">
        <f t="shared" si="8"/>
        <v>3428212.273787512</v>
      </c>
      <c r="Y27" s="43" t="b">
        <f>'Small College Data'!K23</f>
        <v>0</v>
      </c>
      <c r="Z27" s="43">
        <f t="shared" si="9"/>
        <v>3428212.273787512</v>
      </c>
      <c r="AA27" s="44">
        <f t="shared" si="18"/>
        <v>5.4480592603637655E-2</v>
      </c>
      <c r="AB27" s="9">
        <f t="shared" si="10"/>
        <v>1634417.7781091298</v>
      </c>
      <c r="AC27" s="9">
        <f t="shared" si="11"/>
        <v>1634417.7781091298</v>
      </c>
      <c r="AD27" s="9">
        <f t="shared" si="12"/>
        <v>0</v>
      </c>
      <c r="AE27" s="13">
        <f t="shared" si="13"/>
        <v>140.99532247318234</v>
      </c>
      <c r="AK27" s="23">
        <v>25</v>
      </c>
      <c r="AL27" s="21">
        <v>18</v>
      </c>
      <c r="AM27" s="21" t="s">
        <v>85</v>
      </c>
      <c r="AN27" s="23" t="s">
        <v>30</v>
      </c>
      <c r="AO27" s="29">
        <f t="shared" si="14"/>
        <v>11592</v>
      </c>
      <c r="AP27" s="13">
        <f t="shared" si="15"/>
        <v>9861.752129917184</v>
      </c>
      <c r="AQ27" s="9">
        <f t="shared" si="19"/>
        <v>115951848.46810913</v>
      </c>
      <c r="AR27" s="13">
        <f t="shared" si="16"/>
        <v>10002.747452390367</v>
      </c>
    </row>
    <row r="28" spans="1:45">
      <c r="A28" s="4">
        <v>26</v>
      </c>
      <c r="B28" s="23">
        <v>7</v>
      </c>
      <c r="C28" s="23">
        <v>2</v>
      </c>
      <c r="D28" s="23" t="s">
        <v>31</v>
      </c>
      <c r="E28" s="37">
        <f t="shared" si="17"/>
        <v>18143</v>
      </c>
      <c r="F28" s="82">
        <v>4861</v>
      </c>
      <c r="G28" s="83">
        <v>1363</v>
      </c>
      <c r="H28" s="82">
        <v>670</v>
      </c>
      <c r="I28" s="84">
        <v>106</v>
      </c>
      <c r="J28" s="85">
        <v>1108</v>
      </c>
      <c r="K28" s="86">
        <v>0</v>
      </c>
      <c r="L28" s="16">
        <v>92145520</v>
      </c>
      <c r="M28" s="16">
        <v>69438346.450000003</v>
      </c>
      <c r="N28" s="16">
        <f t="shared" si="0"/>
        <v>161583866.44999999</v>
      </c>
      <c r="O28" s="8">
        <f t="shared" si="1"/>
        <v>8906.1272363997123</v>
      </c>
      <c r="P28" s="3">
        <f>'Model Generation'!$M$5*'Outputs Results'!E28^'Model Generation'!$N$5</f>
        <v>9026.5210619455647</v>
      </c>
      <c r="Q28" s="9">
        <f t="shared" si="2"/>
        <v>-120.39382554585245</v>
      </c>
      <c r="R28" s="10">
        <f t="shared" si="3"/>
        <v>-1.3337788137825816E-2</v>
      </c>
      <c r="S28" s="11">
        <f t="shared" si="4"/>
        <v>163768171.62687838</v>
      </c>
      <c r="T28" s="9">
        <f t="shared" si="5"/>
        <v>2184305.1768783927</v>
      </c>
      <c r="U28" s="9">
        <f t="shared" si="6"/>
        <v>2184305.1768783927</v>
      </c>
      <c r="V28" s="9">
        <f t="shared" si="7"/>
        <v>544125.43657679588</v>
      </c>
      <c r="W28" s="42">
        <v>1.0174000000000001</v>
      </c>
      <c r="X28" s="43">
        <f t="shared" si="8"/>
        <v>4998532.1343955826</v>
      </c>
      <c r="Y28" s="43" t="b">
        <f>'Small College Data'!K7</f>
        <v>0</v>
      </c>
      <c r="Z28" s="43">
        <f t="shared" si="9"/>
        <v>4998532.1343955826</v>
      </c>
      <c r="AA28" s="44">
        <f t="shared" si="18"/>
        <v>7.9435860758217541E-2</v>
      </c>
      <c r="AB28" s="9">
        <f t="shared" si="10"/>
        <v>2383075.8227465264</v>
      </c>
      <c r="AC28" s="9">
        <f t="shared" si="11"/>
        <v>2927201.2593233222</v>
      </c>
      <c r="AD28" s="9">
        <f t="shared" si="12"/>
        <v>29.990929646519092</v>
      </c>
      <c r="AE28" s="13">
        <f t="shared" si="13"/>
        <v>131.34960165058294</v>
      </c>
      <c r="AK28" s="26">
        <v>26</v>
      </c>
      <c r="AL28" s="21">
        <v>2</v>
      </c>
      <c r="AM28" s="21" t="s">
        <v>82</v>
      </c>
      <c r="AN28" s="23" t="s">
        <v>31</v>
      </c>
      <c r="AO28" s="29">
        <f t="shared" si="14"/>
        <v>18143</v>
      </c>
      <c r="AP28" s="13">
        <f t="shared" si="15"/>
        <v>8906.1272363997123</v>
      </c>
      <c r="AQ28" s="9">
        <f t="shared" si="19"/>
        <v>164511067.70932332</v>
      </c>
      <c r="AR28" s="13">
        <f t="shared" si="16"/>
        <v>9067.4677676968149</v>
      </c>
      <c r="AS28" s="23"/>
    </row>
    <row r="29" spans="1:45">
      <c r="A29" s="4">
        <v>27</v>
      </c>
      <c r="B29" s="23">
        <v>7</v>
      </c>
      <c r="C29" s="23">
        <v>28</v>
      </c>
      <c r="D29" s="23" t="s">
        <v>32</v>
      </c>
      <c r="E29" s="37">
        <f t="shared" si="17"/>
        <v>22971</v>
      </c>
      <c r="F29" s="82">
        <v>7351</v>
      </c>
      <c r="G29" s="83">
        <v>1480</v>
      </c>
      <c r="H29" s="82">
        <v>764</v>
      </c>
      <c r="I29" s="84">
        <v>267</v>
      </c>
      <c r="J29" s="85">
        <v>635</v>
      </c>
      <c r="K29" s="86">
        <v>0</v>
      </c>
      <c r="L29" s="16">
        <v>95201363</v>
      </c>
      <c r="M29" s="16">
        <v>85929987.469999999</v>
      </c>
      <c r="N29" s="16">
        <f t="shared" si="0"/>
        <v>181131350.47</v>
      </c>
      <c r="O29" s="8">
        <f t="shared" si="1"/>
        <v>7885.2183392103088</v>
      </c>
      <c r="P29" s="3">
        <f>'Model Generation'!$M$5*'Outputs Results'!E29^'Model Generation'!$N$5</f>
        <v>8807.7187158895686</v>
      </c>
      <c r="Q29" s="9">
        <f t="shared" si="2"/>
        <v>-922.50037667925972</v>
      </c>
      <c r="R29" s="10">
        <f t="shared" si="3"/>
        <v>-0.10473771999723634</v>
      </c>
      <c r="S29" s="11">
        <f t="shared" si="4"/>
        <v>202322106.62269929</v>
      </c>
      <c r="T29" s="9">
        <f t="shared" si="5"/>
        <v>21190756.152699292</v>
      </c>
      <c r="U29" s="9">
        <f t="shared" si="6"/>
        <v>21190756.152699292</v>
      </c>
      <c r="V29" s="9">
        <f t="shared" si="7"/>
        <v>5278763.0432933141</v>
      </c>
      <c r="W29" s="42">
        <v>1.0033449924908819</v>
      </c>
      <c r="X29" s="43">
        <f t="shared" si="8"/>
        <v>6089966.1765027484</v>
      </c>
      <c r="Y29" s="43" t="b">
        <f>'Small College Data'!K33</f>
        <v>0</v>
      </c>
      <c r="Z29" s="43">
        <f t="shared" si="9"/>
        <v>6089966.1765027484</v>
      </c>
      <c r="AA29" s="44">
        <f t="shared" si="18"/>
        <v>9.678075327156474E-2</v>
      </c>
      <c r="AB29" s="9">
        <f t="shared" si="10"/>
        <v>2903422.598146942</v>
      </c>
      <c r="AC29" s="9">
        <f t="shared" si="11"/>
        <v>8182185.6414402556</v>
      </c>
      <c r="AD29" s="9">
        <f t="shared" si="12"/>
        <v>229.80118598638779</v>
      </c>
      <c r="AE29" s="13">
        <f t="shared" si="13"/>
        <v>126.3951329131053</v>
      </c>
      <c r="AK29" s="21">
        <v>27</v>
      </c>
      <c r="AL29" s="21">
        <v>28</v>
      </c>
      <c r="AM29" s="21" t="s">
        <v>86</v>
      </c>
      <c r="AN29" s="23" t="s">
        <v>32</v>
      </c>
      <c r="AO29" s="29">
        <f t="shared" si="14"/>
        <v>22971</v>
      </c>
      <c r="AP29" s="13">
        <f t="shared" si="15"/>
        <v>7885.2183392103088</v>
      </c>
      <c r="AQ29" s="9">
        <f t="shared" si="19"/>
        <v>189313536.11144024</v>
      </c>
      <c r="AR29" s="13">
        <f t="shared" si="16"/>
        <v>8241.4146581098012</v>
      </c>
      <c r="AS29" s="23"/>
    </row>
    <row r="30" spans="1:45" ht="15" thickBot="1">
      <c r="A30" s="4">
        <v>28</v>
      </c>
      <c r="B30" s="23">
        <v>7</v>
      </c>
      <c r="C30" s="23">
        <v>15</v>
      </c>
      <c r="D30" s="23" t="s">
        <v>33</v>
      </c>
      <c r="E30" s="38">
        <f t="shared" si="17"/>
        <v>30334</v>
      </c>
      <c r="F30" s="93">
        <v>8584</v>
      </c>
      <c r="G30" s="94">
        <v>1814</v>
      </c>
      <c r="H30" s="95">
        <v>1386</v>
      </c>
      <c r="I30" s="96">
        <v>283</v>
      </c>
      <c r="J30" s="97">
        <v>1568</v>
      </c>
      <c r="K30" s="98">
        <v>147</v>
      </c>
      <c r="L30" s="16">
        <v>178905947</v>
      </c>
      <c r="M30" s="16">
        <v>147712402</v>
      </c>
      <c r="N30" s="16">
        <f t="shared" si="0"/>
        <v>326618349</v>
      </c>
      <c r="O30" s="8">
        <f t="shared" si="1"/>
        <v>10767.401232939936</v>
      </c>
      <c r="P30" s="3">
        <f>'Model Generation'!$M$5*'Outputs Results'!E30^'Model Generation'!$N$5</f>
        <v>8556.6833227616189</v>
      </c>
      <c r="Q30" s="9">
        <f t="shared" si="2"/>
        <v>2210.7179101783167</v>
      </c>
      <c r="R30" s="10">
        <f t="shared" si="3"/>
        <v>0.25836154346130702</v>
      </c>
      <c r="S30" s="11">
        <f t="shared" si="4"/>
        <v>259558431.91265094</v>
      </c>
      <c r="T30" s="9">
        <f t="shared" si="5"/>
        <v>-67059917.087349057</v>
      </c>
      <c r="U30" s="9" t="str">
        <f t="shared" si="6"/>
        <v/>
      </c>
      <c r="V30" s="9" t="str">
        <f t="shared" si="7"/>
        <v>0</v>
      </c>
      <c r="W30" s="42">
        <v>1.0146999999999999</v>
      </c>
      <c r="X30" s="43">
        <f t="shared" si="8"/>
        <v>7901218.2258530073</v>
      </c>
      <c r="Y30" s="43" t="b">
        <f>'Small College Data'!K20</f>
        <v>0</v>
      </c>
      <c r="Z30" s="43">
        <f t="shared" si="9"/>
        <v>7901218.2258530073</v>
      </c>
      <c r="AA30" s="44">
        <f t="shared" si="18"/>
        <v>0.12556487663453697</v>
      </c>
      <c r="AB30" s="9">
        <f t="shared" si="10"/>
        <v>3766946.2990361089</v>
      </c>
      <c r="AC30" s="9">
        <f t="shared" si="11"/>
        <v>3766946.2990361089</v>
      </c>
      <c r="AD30" s="9">
        <f t="shared" si="12"/>
        <v>0</v>
      </c>
      <c r="AE30" s="13">
        <f t="shared" si="13"/>
        <v>124.18231354374988</v>
      </c>
      <c r="AK30" s="23">
        <v>28</v>
      </c>
      <c r="AL30" s="21">
        <v>15</v>
      </c>
      <c r="AM30" s="21" t="s">
        <v>77</v>
      </c>
      <c r="AN30" s="23" t="s">
        <v>33</v>
      </c>
      <c r="AO30" s="29">
        <f t="shared" si="14"/>
        <v>30334</v>
      </c>
      <c r="AP30" s="13">
        <f t="shared" si="15"/>
        <v>10767.401232939936</v>
      </c>
      <c r="AQ30" s="9">
        <f t="shared" si="19"/>
        <v>330385295.29903609</v>
      </c>
      <c r="AR30" s="13">
        <f t="shared" si="16"/>
        <v>10891.583546483684</v>
      </c>
    </row>
    <row r="31" spans="1:45">
      <c r="A31" s="23"/>
      <c r="B31" s="23"/>
      <c r="C31" s="23"/>
      <c r="D31" s="23" t="s">
        <v>159</v>
      </c>
      <c r="E31" s="75">
        <f>SUM(F31:K31)</f>
        <v>101861</v>
      </c>
      <c r="F31" s="75">
        <f t="shared" ref="F31:K31" si="20">SUM(F3:F30)</f>
        <v>54545</v>
      </c>
      <c r="G31" s="75">
        <f t="shared" si="20"/>
        <v>15062</v>
      </c>
      <c r="H31" s="75">
        <f t="shared" si="20"/>
        <v>10620</v>
      </c>
      <c r="I31" s="75">
        <f t="shared" si="20"/>
        <v>8008</v>
      </c>
      <c r="J31" s="75">
        <f t="shared" si="20"/>
        <v>12594</v>
      </c>
      <c r="K31" s="75">
        <f t="shared" si="20"/>
        <v>1032</v>
      </c>
      <c r="L31" s="3">
        <f>SUM(L3:L30)</f>
        <v>1293398723</v>
      </c>
      <c r="M31" s="3">
        <f>SUM(M3:M30)</f>
        <v>797992123.93000007</v>
      </c>
      <c r="N31" s="3">
        <f>SUM(N3:N30)</f>
        <v>2091390846.9300003</v>
      </c>
      <c r="O31" s="13"/>
      <c r="P31" s="23"/>
      <c r="Q31" s="23"/>
      <c r="R31" s="23"/>
      <c r="S31" s="9">
        <f>SUM(S3:S30)</f>
        <v>2102176888.1186876</v>
      </c>
      <c r="T31" s="9"/>
      <c r="U31" s="9">
        <f>SUM(U3:U30)</f>
        <v>120430237.03984335</v>
      </c>
      <c r="V31" s="9">
        <f>SUM(V3:V30)</f>
        <v>30000000</v>
      </c>
      <c r="W31" s="43"/>
      <c r="X31" s="43">
        <f>SUM(X3:X30)</f>
        <v>62925385.168417037</v>
      </c>
      <c r="Y31" s="43">
        <f>SUM(Y3:Y30)</f>
        <v>12664205.698217133</v>
      </c>
      <c r="Z31" s="43">
        <f>SUM(Z3:Z30)</f>
        <v>75589590.86663416</v>
      </c>
      <c r="AA31" s="44">
        <f t="shared" si="18"/>
        <v>1</v>
      </c>
      <c r="AB31" s="9">
        <f>SUM(AB3:AB30)</f>
        <v>29999999.999999993</v>
      </c>
      <c r="AC31" s="9">
        <f>SUM(AC3:AC30)</f>
        <v>60000000</v>
      </c>
      <c r="AD31" s="23"/>
      <c r="AE31" s="23"/>
      <c r="AQ31" s="9"/>
    </row>
    <row r="32" spans="1:45">
      <c r="A32" s="23"/>
      <c r="B32" s="23"/>
      <c r="C32" s="23"/>
      <c r="D32" s="24" t="s">
        <v>160</v>
      </c>
      <c r="E32" s="29">
        <f>SUM(E3:E30)</f>
        <v>220364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T32" s="23"/>
      <c r="V32" s="12"/>
      <c r="W32" s="12"/>
      <c r="X32" s="12"/>
      <c r="Y32" s="12"/>
      <c r="Z32" s="12"/>
      <c r="AA32" s="12"/>
      <c r="AB32" s="12"/>
      <c r="AC32" s="12"/>
      <c r="AD32" s="23"/>
      <c r="AE32" s="23"/>
    </row>
    <row r="33" spans="6:42">
      <c r="W33" s="39">
        <v>0.03</v>
      </c>
      <c r="AO33" s="25"/>
      <c r="AP33" s="25"/>
    </row>
    <row r="34" spans="6:42">
      <c r="L34" s="25" t="s">
        <v>61</v>
      </c>
      <c r="M34" s="25"/>
      <c r="N34" s="25"/>
      <c r="W34" s="40" t="s">
        <v>112</v>
      </c>
      <c r="AM34" s="23">
        <v>16</v>
      </c>
      <c r="AN34" s="23" t="s">
        <v>6</v>
      </c>
      <c r="AO34" s="72"/>
      <c r="AP34" s="73"/>
    </row>
    <row r="35" spans="6:42">
      <c r="L35" s="25" t="s">
        <v>62</v>
      </c>
      <c r="M35" s="25"/>
      <c r="N35" s="25"/>
      <c r="AM35" s="21">
        <v>8</v>
      </c>
      <c r="AN35" s="23" t="s">
        <v>7</v>
      </c>
      <c r="AO35" s="72"/>
      <c r="AP35" s="73"/>
    </row>
    <row r="36" spans="6:42">
      <c r="L36" s="25" t="s">
        <v>63</v>
      </c>
      <c r="M36" s="25"/>
      <c r="N36" s="25"/>
      <c r="AC36" s="72"/>
      <c r="AM36" s="23">
        <v>4</v>
      </c>
      <c r="AN36" s="23" t="s">
        <v>8</v>
      </c>
      <c r="AO36" s="72"/>
      <c r="AP36" s="73"/>
    </row>
    <row r="37" spans="6:42">
      <c r="L37" s="25"/>
      <c r="M37" s="25"/>
      <c r="N37" s="25"/>
      <c r="AC37" s="72"/>
      <c r="AM37" s="28">
        <v>12</v>
      </c>
      <c r="AN37" s="23" t="s">
        <v>9</v>
      </c>
      <c r="AO37" s="72"/>
      <c r="AP37" s="73"/>
    </row>
    <row r="38" spans="6:42">
      <c r="L38" s="25"/>
      <c r="M38" s="25"/>
      <c r="N38" s="25"/>
      <c r="AC38" s="72"/>
      <c r="AM38" s="23">
        <v>26</v>
      </c>
      <c r="AN38" s="23" t="s">
        <v>10</v>
      </c>
      <c r="AO38" s="72"/>
      <c r="AP38" s="73"/>
    </row>
    <row r="39" spans="6:42">
      <c r="F39" s="21" t="s">
        <v>95</v>
      </c>
      <c r="G39" s="21" t="s">
        <v>96</v>
      </c>
      <c r="H39" s="21" t="s">
        <v>97</v>
      </c>
      <c r="I39" t="s">
        <v>98</v>
      </c>
      <c r="AC39" s="72"/>
      <c r="AM39" s="23">
        <v>9</v>
      </c>
      <c r="AN39" s="23" t="s">
        <v>11</v>
      </c>
      <c r="AO39" s="72"/>
      <c r="AP39" s="73"/>
    </row>
    <row r="40" spans="6:42">
      <c r="AC40" s="72"/>
      <c r="AM40" s="21">
        <v>13</v>
      </c>
      <c r="AN40" s="23" t="s">
        <v>12</v>
      </c>
      <c r="AO40" s="72"/>
      <c r="AP40" s="73"/>
    </row>
    <row r="41" spans="6:42">
      <c r="AC41" s="72"/>
      <c r="AM41" s="26">
        <v>17</v>
      </c>
      <c r="AN41" s="23" t="s">
        <v>13</v>
      </c>
      <c r="AO41" s="72"/>
      <c r="AP41" s="73"/>
    </row>
    <row r="42" spans="6:42">
      <c r="AC42" s="72"/>
      <c r="AM42" s="23">
        <v>22</v>
      </c>
      <c r="AN42" s="23" t="s">
        <v>14</v>
      </c>
      <c r="AO42" s="72"/>
      <c r="AP42" s="73"/>
    </row>
    <row r="43" spans="6:42">
      <c r="AC43" s="72"/>
      <c r="AM43" s="21">
        <v>3</v>
      </c>
      <c r="AN43" s="23" t="s">
        <v>15</v>
      </c>
      <c r="AO43" s="72"/>
      <c r="AP43" s="73"/>
    </row>
    <row r="44" spans="6:42">
      <c r="AC44" s="72"/>
      <c r="AM44" s="23">
        <v>21</v>
      </c>
      <c r="AN44" s="23" t="s">
        <v>16</v>
      </c>
      <c r="AO44" s="72"/>
      <c r="AP44" s="73"/>
    </row>
    <row r="45" spans="6:42">
      <c r="AC45" s="72"/>
      <c r="AM45" s="26">
        <v>20</v>
      </c>
      <c r="AN45" s="23" t="s">
        <v>17</v>
      </c>
      <c r="AO45" s="72"/>
      <c r="AP45" s="73"/>
    </row>
    <row r="46" spans="6:42">
      <c r="AC46" s="72"/>
      <c r="AM46" s="23">
        <v>14</v>
      </c>
      <c r="AN46" s="23" t="s">
        <v>18</v>
      </c>
      <c r="AO46" s="72"/>
      <c r="AP46" s="73"/>
    </row>
    <row r="47" spans="6:42">
      <c r="AC47" s="72"/>
      <c r="AM47" s="23">
        <v>19</v>
      </c>
      <c r="AN47" s="23" t="s">
        <v>19</v>
      </c>
      <c r="AO47" s="72"/>
      <c r="AP47" s="73"/>
    </row>
    <row r="48" spans="6:42">
      <c r="AC48" s="72"/>
      <c r="AM48" s="21">
        <v>27</v>
      </c>
      <c r="AN48" s="23" t="s">
        <v>20</v>
      </c>
      <c r="AO48" s="72"/>
      <c r="AP48" s="73"/>
    </row>
    <row r="49" spans="29:42">
      <c r="AC49" s="72"/>
      <c r="AM49" s="26">
        <v>24</v>
      </c>
      <c r="AN49" s="23" t="s">
        <v>21</v>
      </c>
      <c r="AO49" s="72"/>
      <c r="AP49" s="73"/>
    </row>
    <row r="50" spans="29:42">
      <c r="AC50" s="72"/>
      <c r="AM50" s="23">
        <v>6</v>
      </c>
      <c r="AN50" s="23" t="s">
        <v>22</v>
      </c>
      <c r="AO50" s="72"/>
      <c r="AP50" s="73"/>
    </row>
    <row r="51" spans="29:42">
      <c r="AC51" s="72"/>
      <c r="AM51" s="21">
        <v>5</v>
      </c>
      <c r="AN51" s="23" t="s">
        <v>23</v>
      </c>
      <c r="AO51" s="72"/>
      <c r="AP51" s="73"/>
    </row>
    <row r="52" spans="29:42">
      <c r="AC52" s="72"/>
      <c r="AM52" s="23">
        <v>1</v>
      </c>
      <c r="AN52" s="23" t="s">
        <v>24</v>
      </c>
      <c r="AO52" s="72"/>
      <c r="AP52" s="73"/>
    </row>
    <row r="53" spans="29:42">
      <c r="AC53" s="72"/>
      <c r="AM53" s="23">
        <v>11</v>
      </c>
      <c r="AN53" s="23" t="s">
        <v>25</v>
      </c>
      <c r="AO53" s="72"/>
      <c r="AP53" s="73"/>
    </row>
    <row r="54" spans="29:42">
      <c r="AC54" s="72"/>
      <c r="AM54" s="23">
        <v>25</v>
      </c>
      <c r="AN54" s="23" t="s">
        <v>26</v>
      </c>
      <c r="AO54" s="72"/>
      <c r="AP54" s="73"/>
    </row>
    <row r="55" spans="29:42">
      <c r="AC55" s="72"/>
      <c r="AM55" s="23">
        <v>7</v>
      </c>
      <c r="AN55" s="23" t="s">
        <v>27</v>
      </c>
      <c r="AO55" s="72"/>
      <c r="AP55" s="73"/>
    </row>
    <row r="56" spans="29:42">
      <c r="AC56" s="72"/>
      <c r="AM56" s="21">
        <v>23</v>
      </c>
      <c r="AN56" s="23" t="s">
        <v>28</v>
      </c>
      <c r="AO56" s="72"/>
      <c r="AP56" s="73"/>
    </row>
    <row r="57" spans="29:42">
      <c r="AC57" s="72"/>
      <c r="AM57" s="23">
        <v>10</v>
      </c>
      <c r="AN57" s="23" t="s">
        <v>29</v>
      </c>
      <c r="AO57" s="72"/>
      <c r="AP57" s="73"/>
    </row>
    <row r="58" spans="29:42">
      <c r="AC58" s="72"/>
      <c r="AM58" s="21">
        <v>18</v>
      </c>
      <c r="AN58" s="23" t="s">
        <v>30</v>
      </c>
      <c r="AO58" s="72"/>
      <c r="AP58" s="73"/>
    </row>
    <row r="59" spans="29:42">
      <c r="AC59" s="72"/>
      <c r="AM59" s="23">
        <v>2</v>
      </c>
      <c r="AN59" s="23" t="s">
        <v>31</v>
      </c>
      <c r="AO59" s="72"/>
      <c r="AP59" s="73"/>
    </row>
    <row r="60" spans="29:42">
      <c r="AC60" s="72"/>
      <c r="AM60" s="23">
        <v>28</v>
      </c>
      <c r="AN60" s="23" t="s">
        <v>32</v>
      </c>
      <c r="AO60" s="72"/>
      <c r="AP60" s="73"/>
    </row>
    <row r="61" spans="29:42">
      <c r="AC61" s="72"/>
      <c r="AM61" s="21">
        <v>15</v>
      </c>
      <c r="AN61" s="23" t="s">
        <v>33</v>
      </c>
      <c r="AO61" s="72"/>
      <c r="AP61" s="73"/>
    </row>
    <row r="62" spans="29:42">
      <c r="AC62" s="72"/>
    </row>
    <row r="63" spans="29:42">
      <c r="AC63" s="72"/>
    </row>
  </sheetData>
  <autoFilter ref="A2:AE31">
    <sortState ref="A2:AE30">
      <sortCondition ref="A1:A30"/>
    </sortState>
  </autoFilter>
  <sortState ref="AM33:AO60">
    <sortCondition ref="AM33:AM6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35"/>
  <sheetViews>
    <sheetView workbookViewId="0">
      <selection activeCell="K8" sqref="K8"/>
    </sheetView>
  </sheetViews>
  <sheetFormatPr defaultColWidth="9.109375" defaultRowHeight="14.4"/>
  <cols>
    <col min="1" max="1" width="26.109375" style="21" bestFit="1" customWidth="1"/>
    <col min="2" max="2" width="13.88671875" style="21" bestFit="1" customWidth="1"/>
    <col min="3" max="3" width="12.109375" style="21" bestFit="1" customWidth="1"/>
    <col min="4" max="4" width="17.109375" style="21" customWidth="1"/>
    <col min="5" max="5" width="9.109375" style="21"/>
    <col min="6" max="6" width="13" style="21" customWidth="1"/>
    <col min="7" max="7" width="12.44140625" style="21" customWidth="1"/>
    <col min="8" max="8" width="4.6640625" style="21" customWidth="1"/>
    <col min="9" max="9" width="8.33203125" style="21" customWidth="1"/>
    <col min="10" max="10" width="4.6640625" style="21" customWidth="1"/>
    <col min="11" max="11" width="16.44140625" style="21" customWidth="1"/>
    <col min="12" max="16384" width="9.109375" style="21"/>
  </cols>
  <sheetData>
    <row r="3" spans="1:12" ht="15" thickBot="1"/>
    <row r="4" spans="1:12" ht="15.75" customHeight="1">
      <c r="A4" s="46"/>
      <c r="B4" s="99" t="s">
        <v>115</v>
      </c>
      <c r="C4" s="99"/>
      <c r="D4" s="47"/>
      <c r="E4" s="48"/>
      <c r="F4" s="48"/>
      <c r="G4" s="48"/>
      <c r="H4" s="48"/>
      <c r="I4" s="48"/>
      <c r="J4" s="48"/>
      <c r="K4" s="48"/>
      <c r="L4" s="49"/>
    </row>
    <row r="5" spans="1:12" ht="39.6">
      <c r="A5" s="50" t="s">
        <v>116</v>
      </c>
      <c r="B5" s="51" t="s">
        <v>117</v>
      </c>
      <c r="C5" s="51" t="s">
        <v>118</v>
      </c>
      <c r="D5" s="52" t="s">
        <v>119</v>
      </c>
      <c r="E5" s="53"/>
      <c r="F5" s="52" t="s">
        <v>120</v>
      </c>
      <c r="G5" s="52" t="s">
        <v>121</v>
      </c>
      <c r="H5" s="53"/>
      <c r="I5" s="54" t="s">
        <v>122</v>
      </c>
      <c r="J5" s="53"/>
      <c r="K5" s="54" t="s">
        <v>123</v>
      </c>
      <c r="L5" s="55" t="s">
        <v>124</v>
      </c>
    </row>
    <row r="6" spans="1:12">
      <c r="A6" s="56" t="s">
        <v>125</v>
      </c>
      <c r="B6" s="57">
        <v>51592489.771547981</v>
      </c>
      <c r="C6" s="57">
        <v>5668102.7391714836</v>
      </c>
      <c r="D6" s="57">
        <v>57260592.510719463</v>
      </c>
      <c r="E6" s="53"/>
      <c r="F6" s="58">
        <v>9887.9666666666653</v>
      </c>
      <c r="G6" s="59">
        <f>F6/$F$34</f>
        <v>3.3644567043071068E-2</v>
      </c>
      <c r="H6" s="53"/>
      <c r="I6" s="60">
        <v>7.0000000000000007E-2</v>
      </c>
      <c r="J6" s="53"/>
      <c r="K6" s="61" t="b">
        <f>IF(G6&lt;2%, D6*$I$6)</f>
        <v>0</v>
      </c>
      <c r="L6" s="62">
        <f>K6/$K$34</f>
        <v>0</v>
      </c>
    </row>
    <row r="7" spans="1:12">
      <c r="A7" s="56" t="s">
        <v>126</v>
      </c>
      <c r="B7" s="57">
        <v>107896324</v>
      </c>
      <c r="C7" s="57">
        <v>19831825</v>
      </c>
      <c r="D7" s="57">
        <v>127728149</v>
      </c>
      <c r="E7" s="53"/>
      <c r="F7" s="58">
        <v>24457.233333333334</v>
      </c>
      <c r="G7" s="59">
        <f t="shared" ref="G7:G33" si="0">F7/$F$34</f>
        <v>8.3217617363667548E-2</v>
      </c>
      <c r="H7" s="53"/>
      <c r="I7" s="53"/>
      <c r="J7" s="53"/>
      <c r="K7" s="61" t="b">
        <f t="shared" ref="K7:K33" si="1">IF(G7&lt;2%, D7*$I$6)</f>
        <v>0</v>
      </c>
      <c r="L7" s="62">
        <f t="shared" ref="L7:L33" si="2">K7/$K$34</f>
        <v>0</v>
      </c>
    </row>
    <row r="8" spans="1:12">
      <c r="A8" s="56" t="s">
        <v>127</v>
      </c>
      <c r="B8" s="57">
        <v>21808874.350000001</v>
      </c>
      <c r="C8" s="57">
        <v>7173432.3100000005</v>
      </c>
      <c r="D8" s="57">
        <v>28982306.660000004</v>
      </c>
      <c r="E8" s="53"/>
      <c r="F8" s="58">
        <v>4504</v>
      </c>
      <c r="G8" s="59">
        <f t="shared" si="0"/>
        <v>1.5325206391808774E-2</v>
      </c>
      <c r="H8" s="53"/>
      <c r="I8" s="53"/>
      <c r="J8" s="53"/>
      <c r="K8" s="61">
        <f t="shared" si="1"/>
        <v>2028761.4662000004</v>
      </c>
      <c r="L8" s="62">
        <f t="shared" si="2"/>
        <v>0.16019650300575972</v>
      </c>
    </row>
    <row r="9" spans="1:12">
      <c r="A9" s="56" t="s">
        <v>128</v>
      </c>
      <c r="B9" s="57">
        <v>10498264.68</v>
      </c>
      <c r="C9" s="57">
        <v>1264004.81</v>
      </c>
      <c r="D9" s="57">
        <v>11762269.49</v>
      </c>
      <c r="E9" s="53"/>
      <c r="F9" s="58">
        <v>1337.9</v>
      </c>
      <c r="G9" s="59">
        <f t="shared" si="0"/>
        <v>4.5523076446716167E-3</v>
      </c>
      <c r="H9" s="53"/>
      <c r="I9" s="53"/>
      <c r="J9" s="53"/>
      <c r="K9" s="61">
        <f t="shared" si="1"/>
        <v>823358.86430000013</v>
      </c>
      <c r="L9" s="62">
        <f t="shared" si="2"/>
        <v>6.5014647102258655E-2</v>
      </c>
    </row>
    <row r="10" spans="1:12">
      <c r="A10" s="56" t="s">
        <v>129</v>
      </c>
      <c r="B10" s="57">
        <v>51510790.189999998</v>
      </c>
      <c r="C10" s="57">
        <v>4857831.4000000004</v>
      </c>
      <c r="D10" s="57">
        <v>56368621.589999996</v>
      </c>
      <c r="E10" s="53"/>
      <c r="F10" s="58">
        <v>10275.6</v>
      </c>
      <c r="G10" s="59">
        <f t="shared" si="0"/>
        <v>3.4963519271685221E-2</v>
      </c>
      <c r="H10" s="53"/>
      <c r="I10" s="53"/>
      <c r="J10" s="53"/>
      <c r="K10" s="61" t="b">
        <f t="shared" si="1"/>
        <v>0</v>
      </c>
      <c r="L10" s="62">
        <f t="shared" si="2"/>
        <v>0</v>
      </c>
    </row>
    <row r="11" spans="1:12">
      <c r="A11" s="56" t="s">
        <v>130</v>
      </c>
      <c r="B11" s="57">
        <v>46523745.490000002</v>
      </c>
      <c r="C11" s="57">
        <v>9685810</v>
      </c>
      <c r="D11" s="57">
        <v>56209555.490000002</v>
      </c>
      <c r="E11" s="53"/>
      <c r="F11" s="58">
        <v>9970.9666666666672</v>
      </c>
      <c r="G11" s="59">
        <f t="shared" si="0"/>
        <v>3.3926980926401472E-2</v>
      </c>
      <c r="H11" s="53"/>
      <c r="I11" s="53"/>
      <c r="J11" s="53"/>
      <c r="K11" s="61" t="b">
        <f t="shared" si="1"/>
        <v>0</v>
      </c>
      <c r="L11" s="62">
        <f t="shared" si="2"/>
        <v>0</v>
      </c>
    </row>
    <row r="12" spans="1:12">
      <c r="A12" s="56" t="s">
        <v>131</v>
      </c>
      <c r="B12" s="57">
        <v>92400503.909999996</v>
      </c>
      <c r="C12" s="57">
        <v>11572810.300000001</v>
      </c>
      <c r="D12" s="57">
        <v>103973314.20999999</v>
      </c>
      <c r="E12" s="53"/>
      <c r="F12" s="58">
        <v>15595.366666666667</v>
      </c>
      <c r="G12" s="59">
        <f t="shared" si="0"/>
        <v>5.3064434485479907E-2</v>
      </c>
      <c r="H12" s="53"/>
      <c r="I12" s="53"/>
      <c r="J12" s="53"/>
      <c r="K12" s="61" t="b">
        <f t="shared" si="1"/>
        <v>0</v>
      </c>
      <c r="L12" s="62">
        <f t="shared" si="2"/>
        <v>0</v>
      </c>
    </row>
    <row r="13" spans="1:12">
      <c r="A13" s="56" t="s">
        <v>132</v>
      </c>
      <c r="B13" s="57">
        <v>7091812.615439727</v>
      </c>
      <c r="C13" s="57">
        <v>864755.8108049999</v>
      </c>
      <c r="D13" s="57">
        <v>7956568.4262447264</v>
      </c>
      <c r="E13" s="53"/>
      <c r="F13" s="58">
        <v>789.36666666666667</v>
      </c>
      <c r="G13" s="59">
        <f t="shared" si="0"/>
        <v>2.6858807916253966E-3</v>
      </c>
      <c r="H13" s="53"/>
      <c r="I13" s="53"/>
      <c r="J13" s="53"/>
      <c r="K13" s="61">
        <f t="shared" si="1"/>
        <v>556959.78983713093</v>
      </c>
      <c r="L13" s="62">
        <f t="shared" si="2"/>
        <v>4.3979054281749363E-2</v>
      </c>
    </row>
    <row r="14" spans="1:12">
      <c r="A14" s="56" t="s">
        <v>133</v>
      </c>
      <c r="B14" s="57">
        <v>21834549</v>
      </c>
      <c r="C14" s="57">
        <v>2143003</v>
      </c>
      <c r="D14" s="57">
        <v>23977552</v>
      </c>
      <c r="E14" s="53"/>
      <c r="F14" s="58">
        <v>3067.4</v>
      </c>
      <c r="G14" s="59">
        <f t="shared" si="0"/>
        <v>1.0437064406357513E-2</v>
      </c>
      <c r="H14" s="53"/>
      <c r="I14" s="53"/>
      <c r="J14" s="53"/>
      <c r="K14" s="61">
        <f t="shared" si="1"/>
        <v>1678428.6400000001</v>
      </c>
      <c r="L14" s="62">
        <f t="shared" si="2"/>
        <v>0.13253327370040185</v>
      </c>
    </row>
    <row r="15" spans="1:12">
      <c r="A15" s="56" t="s">
        <v>134</v>
      </c>
      <c r="B15" s="57">
        <v>79202690.699999988</v>
      </c>
      <c r="C15" s="57">
        <v>12367724.680000002</v>
      </c>
      <c r="D15" s="57">
        <v>91570415.379999995</v>
      </c>
      <c r="E15" s="53"/>
      <c r="F15" s="58">
        <v>19659.066666666666</v>
      </c>
      <c r="G15" s="59">
        <f t="shared" si="0"/>
        <v>6.6891486264874511E-2</v>
      </c>
      <c r="H15" s="53"/>
      <c r="I15" s="53"/>
      <c r="J15" s="53"/>
      <c r="K15" s="61" t="b">
        <f t="shared" si="1"/>
        <v>0</v>
      </c>
      <c r="L15" s="62">
        <f t="shared" si="2"/>
        <v>0</v>
      </c>
    </row>
    <row r="16" spans="1:12">
      <c r="A16" s="56" t="s">
        <v>135</v>
      </c>
      <c r="B16" s="57">
        <v>63616118.468254998</v>
      </c>
      <c r="C16" s="57">
        <v>5452218.3877450004</v>
      </c>
      <c r="D16" s="57">
        <v>69068336.856000006</v>
      </c>
      <c r="E16" s="53"/>
      <c r="F16" s="58">
        <v>11145.966666666667</v>
      </c>
      <c r="G16" s="59">
        <f t="shared" si="0"/>
        <v>3.7925008792825829E-2</v>
      </c>
      <c r="H16" s="53"/>
      <c r="I16" s="53"/>
      <c r="J16" s="53"/>
      <c r="K16" s="61" t="b">
        <f t="shared" si="1"/>
        <v>0</v>
      </c>
      <c r="L16" s="62">
        <f t="shared" si="2"/>
        <v>0</v>
      </c>
    </row>
    <row r="17" spans="1:12">
      <c r="A17" s="56" t="s">
        <v>136</v>
      </c>
      <c r="B17" s="57">
        <v>14968518.09</v>
      </c>
      <c r="C17" s="57">
        <v>1497978.51</v>
      </c>
      <c r="D17" s="57">
        <v>16466496.6</v>
      </c>
      <c r="E17" s="53"/>
      <c r="F17" s="58">
        <v>2190.0666666666666</v>
      </c>
      <c r="G17" s="59">
        <f t="shared" si="0"/>
        <v>7.4518702660939908E-3</v>
      </c>
      <c r="H17" s="53"/>
      <c r="I17" s="53"/>
      <c r="J17" s="53"/>
      <c r="K17" s="61">
        <f t="shared" si="1"/>
        <v>1152654.7620000001</v>
      </c>
      <c r="L17" s="62">
        <f t="shared" si="2"/>
        <v>9.1016743526384045E-2</v>
      </c>
    </row>
    <row r="18" spans="1:12">
      <c r="A18" s="56" t="s">
        <v>137</v>
      </c>
      <c r="B18" s="57">
        <v>17185414.239999998</v>
      </c>
      <c r="C18" s="57">
        <v>2362876.5300000003</v>
      </c>
      <c r="D18" s="57">
        <v>19548290.77</v>
      </c>
      <c r="E18" s="53"/>
      <c r="F18" s="58">
        <v>3112.6999999999994</v>
      </c>
      <c r="G18" s="59">
        <f t="shared" si="0"/>
        <v>1.0591201140271572E-2</v>
      </c>
      <c r="H18" s="53"/>
      <c r="I18" s="53"/>
      <c r="J18" s="53"/>
      <c r="K18" s="61">
        <f t="shared" si="1"/>
        <v>1368380.3539</v>
      </c>
      <c r="L18" s="62">
        <f t="shared" si="2"/>
        <v>0.10805102084630863</v>
      </c>
    </row>
    <row r="19" spans="1:12">
      <c r="A19" s="56" t="s">
        <v>138</v>
      </c>
      <c r="B19" s="57">
        <v>31980464.313353822</v>
      </c>
      <c r="C19" s="57">
        <v>4241986.1449025841</v>
      </c>
      <c r="D19" s="57">
        <v>36222450.458256409</v>
      </c>
      <c r="E19" s="53"/>
      <c r="F19" s="58">
        <v>6310.8666666666659</v>
      </c>
      <c r="G19" s="59">
        <f t="shared" si="0"/>
        <v>2.1473209186912284E-2</v>
      </c>
      <c r="H19" s="53"/>
      <c r="I19" s="53"/>
      <c r="J19" s="53"/>
      <c r="K19" s="61" t="b">
        <f t="shared" si="1"/>
        <v>0</v>
      </c>
      <c r="L19" s="62">
        <f t="shared" si="2"/>
        <v>0</v>
      </c>
    </row>
    <row r="20" spans="1:12">
      <c r="A20" s="56" t="s">
        <v>139</v>
      </c>
      <c r="B20" s="57">
        <v>221751611.03000003</v>
      </c>
      <c r="C20" s="57">
        <v>42195017.18</v>
      </c>
      <c r="D20" s="57">
        <v>263946628.21000004</v>
      </c>
      <c r="E20" s="53"/>
      <c r="F20" s="58">
        <v>42259.333333333336</v>
      </c>
      <c r="G20" s="59">
        <f t="shared" si="0"/>
        <v>0.14379063173036805</v>
      </c>
      <c r="H20" s="53"/>
      <c r="I20" s="53"/>
      <c r="J20" s="53"/>
      <c r="K20" s="61" t="b">
        <f t="shared" si="1"/>
        <v>0</v>
      </c>
      <c r="L20" s="62">
        <f t="shared" si="2"/>
        <v>0</v>
      </c>
    </row>
    <row r="21" spans="1:12">
      <c r="A21" s="56" t="s">
        <v>140</v>
      </c>
      <c r="B21" s="57">
        <v>6723099.2599999998</v>
      </c>
      <c r="C21" s="57">
        <v>584692.67999999993</v>
      </c>
      <c r="D21" s="57">
        <v>7307791.9399999995</v>
      </c>
      <c r="E21" s="53"/>
      <c r="F21" s="58">
        <v>806.43333333333339</v>
      </c>
      <c r="G21" s="59">
        <f t="shared" si="0"/>
        <v>2.7439514375150213E-3</v>
      </c>
      <c r="H21" s="53"/>
      <c r="I21" s="53"/>
      <c r="J21" s="53"/>
      <c r="K21" s="61">
        <f t="shared" si="1"/>
        <v>511545.43580000004</v>
      </c>
      <c r="L21" s="62">
        <f t="shared" si="2"/>
        <v>4.0393013820994347E-2</v>
      </c>
    </row>
    <row r="22" spans="1:12">
      <c r="A22" s="56" t="s">
        <v>141</v>
      </c>
      <c r="B22" s="57">
        <v>19040456</v>
      </c>
      <c r="C22" s="57">
        <v>2782679</v>
      </c>
      <c r="D22" s="57">
        <v>21823135</v>
      </c>
      <c r="E22" s="53"/>
      <c r="F22" s="58">
        <v>3421.4666666666667</v>
      </c>
      <c r="G22" s="59">
        <f t="shared" si="0"/>
        <v>1.1641803470106718E-2</v>
      </c>
      <c r="H22" s="53"/>
      <c r="I22" s="53"/>
      <c r="J22" s="53"/>
      <c r="K22" s="61">
        <f t="shared" si="1"/>
        <v>1527619.4500000002</v>
      </c>
      <c r="L22" s="62">
        <f t="shared" si="2"/>
        <v>0.12062497138806412</v>
      </c>
    </row>
    <row r="23" spans="1:12">
      <c r="A23" s="56" t="s">
        <v>142</v>
      </c>
      <c r="B23" s="57">
        <v>81481836.270000011</v>
      </c>
      <c r="C23" s="57">
        <v>16089106.51</v>
      </c>
      <c r="D23" s="57">
        <v>97570942.780000016</v>
      </c>
      <c r="E23" s="53"/>
      <c r="F23" s="58">
        <v>18585.899999999998</v>
      </c>
      <c r="G23" s="59">
        <f t="shared" si="0"/>
        <v>6.3239954146873598E-2</v>
      </c>
      <c r="H23" s="53"/>
      <c r="I23" s="53"/>
      <c r="J23" s="53"/>
      <c r="K23" s="61" t="b">
        <f t="shared" si="1"/>
        <v>0</v>
      </c>
      <c r="L23" s="62">
        <f t="shared" si="2"/>
        <v>0</v>
      </c>
    </row>
    <row r="24" spans="1:12">
      <c r="A24" s="56" t="s">
        <v>143</v>
      </c>
      <c r="B24" s="57">
        <v>33530790.280000001</v>
      </c>
      <c r="C24" s="57">
        <v>2357480.2400000002</v>
      </c>
      <c r="D24" s="57">
        <v>35888270.520000003</v>
      </c>
      <c r="E24" s="53"/>
      <c r="F24" s="58">
        <v>6886.6333333333341</v>
      </c>
      <c r="G24" s="59">
        <f t="shared" si="0"/>
        <v>2.3432299551075349E-2</v>
      </c>
      <c r="H24" s="53"/>
      <c r="I24" s="53"/>
      <c r="J24" s="53"/>
      <c r="K24" s="61" t="b">
        <f t="shared" si="1"/>
        <v>0</v>
      </c>
      <c r="L24" s="62">
        <f t="shared" si="2"/>
        <v>0</v>
      </c>
    </row>
    <row r="25" spans="1:12">
      <c r="A25" s="56" t="s">
        <v>144</v>
      </c>
      <c r="B25" s="57">
        <v>35498964.399999999</v>
      </c>
      <c r="C25" s="57">
        <v>1741419.84</v>
      </c>
      <c r="D25" s="57">
        <v>37240384.240000002</v>
      </c>
      <c r="E25" s="53"/>
      <c r="F25" s="58">
        <v>6447.8666666666659</v>
      </c>
      <c r="G25" s="59">
        <f t="shared" si="0"/>
        <v>2.1939362223252826E-2</v>
      </c>
      <c r="H25" s="53"/>
      <c r="I25" s="53"/>
      <c r="J25" s="53"/>
      <c r="K25" s="61" t="b">
        <f t="shared" si="1"/>
        <v>0</v>
      </c>
      <c r="L25" s="62">
        <f t="shared" si="2"/>
        <v>0</v>
      </c>
    </row>
    <row r="26" spans="1:12">
      <c r="A26" s="56" t="s">
        <v>99</v>
      </c>
      <c r="B26" s="57">
        <v>32678008.75</v>
      </c>
      <c r="C26" s="57">
        <v>3942920.9800000004</v>
      </c>
      <c r="D26" s="57">
        <v>36620929.730000004</v>
      </c>
      <c r="E26" s="53"/>
      <c r="F26" s="58">
        <v>6070.0333333333328</v>
      </c>
      <c r="G26" s="59">
        <f t="shared" si="0"/>
        <v>2.0653755248333107E-2</v>
      </c>
      <c r="H26" s="53"/>
      <c r="I26" s="53"/>
      <c r="J26" s="53"/>
      <c r="K26" s="61" t="b">
        <f t="shared" si="1"/>
        <v>0</v>
      </c>
      <c r="L26" s="62">
        <f t="shared" si="2"/>
        <v>0</v>
      </c>
    </row>
    <row r="27" spans="1:12">
      <c r="A27" s="56" t="s">
        <v>145</v>
      </c>
      <c r="B27" s="57">
        <v>24905900.189999998</v>
      </c>
      <c r="C27" s="57">
        <v>1565940.36</v>
      </c>
      <c r="D27" s="57">
        <v>26471840.549999997</v>
      </c>
      <c r="E27" s="53"/>
      <c r="F27" s="58">
        <v>4364.4333333333334</v>
      </c>
      <c r="G27" s="59">
        <f t="shared" si="0"/>
        <v>1.4850320074738738E-2</v>
      </c>
      <c r="H27" s="53"/>
      <c r="I27" s="53"/>
      <c r="J27" s="53"/>
      <c r="K27" s="61">
        <f t="shared" si="1"/>
        <v>1853028.8385000001</v>
      </c>
      <c r="L27" s="62">
        <f t="shared" si="2"/>
        <v>0.14632017851390944</v>
      </c>
    </row>
    <row r="28" spans="1:12">
      <c r="A28" s="56" t="s">
        <v>146</v>
      </c>
      <c r="B28" s="57">
        <v>92301756.350000009</v>
      </c>
      <c r="C28" s="57">
        <v>11488253.74</v>
      </c>
      <c r="D28" s="57">
        <v>103790010.09</v>
      </c>
      <c r="E28" s="53"/>
      <c r="F28" s="58">
        <v>16812.633333333335</v>
      </c>
      <c r="G28" s="59">
        <f t="shared" si="0"/>
        <v>5.7206277935865295E-2</v>
      </c>
      <c r="H28" s="53"/>
      <c r="I28" s="53"/>
      <c r="J28" s="53"/>
      <c r="K28" s="61" t="b">
        <f t="shared" si="1"/>
        <v>0</v>
      </c>
      <c r="L28" s="62">
        <f t="shared" si="2"/>
        <v>0</v>
      </c>
    </row>
    <row r="29" spans="1:12">
      <c r="A29" s="56" t="s">
        <v>147</v>
      </c>
      <c r="B29" s="57">
        <v>55214475.650000006</v>
      </c>
      <c r="C29" s="57">
        <v>7783660.3299999991</v>
      </c>
      <c r="D29" s="57">
        <v>62998135.980000004</v>
      </c>
      <c r="E29" s="53"/>
      <c r="F29" s="58">
        <v>10131.300000000001</v>
      </c>
      <c r="G29" s="59">
        <f t="shared" si="0"/>
        <v>3.4472527423919236E-2</v>
      </c>
      <c r="H29" s="53"/>
      <c r="I29" s="53"/>
      <c r="J29" s="53"/>
      <c r="K29" s="61" t="b">
        <f t="shared" si="1"/>
        <v>0</v>
      </c>
      <c r="L29" s="62">
        <f t="shared" si="2"/>
        <v>0</v>
      </c>
    </row>
    <row r="30" spans="1:12">
      <c r="A30" s="56" t="s">
        <v>148</v>
      </c>
      <c r="B30" s="57">
        <v>54684819.739999995</v>
      </c>
      <c r="C30" s="57">
        <v>9541170.6600000001</v>
      </c>
      <c r="D30" s="57">
        <v>64225990.399999991</v>
      </c>
      <c r="E30" s="53"/>
      <c r="F30" s="58">
        <v>11963.033333333333</v>
      </c>
      <c r="G30" s="59">
        <f t="shared" si="0"/>
        <v>4.0705140964791608E-2</v>
      </c>
      <c r="H30" s="53"/>
      <c r="I30" s="53"/>
      <c r="J30" s="53"/>
      <c r="K30" s="61" t="b">
        <f t="shared" si="1"/>
        <v>0</v>
      </c>
      <c r="L30" s="62">
        <f t="shared" si="2"/>
        <v>0</v>
      </c>
    </row>
    <row r="31" spans="1:12">
      <c r="A31" s="56" t="s">
        <v>149</v>
      </c>
      <c r="B31" s="57">
        <v>14909181.083999999</v>
      </c>
      <c r="C31" s="57">
        <v>1711791.7400000002</v>
      </c>
      <c r="D31" s="57">
        <v>16620972.823999999</v>
      </c>
      <c r="E31" s="53"/>
      <c r="F31" s="58">
        <v>2329.3999999999996</v>
      </c>
      <c r="G31" s="59">
        <f t="shared" si="0"/>
        <v>7.9259626485522535E-3</v>
      </c>
      <c r="H31" s="53"/>
      <c r="I31" s="53"/>
      <c r="J31" s="53"/>
      <c r="K31" s="61">
        <f t="shared" si="1"/>
        <v>1163468.0976800001</v>
      </c>
      <c r="L31" s="62">
        <f t="shared" si="2"/>
        <v>9.1870593814169746E-2</v>
      </c>
    </row>
    <row r="32" spans="1:12">
      <c r="A32" s="56" t="s">
        <v>150</v>
      </c>
      <c r="B32" s="57">
        <v>39481931.420000002</v>
      </c>
      <c r="C32" s="57">
        <v>5988287.8200000003</v>
      </c>
      <c r="D32" s="57">
        <v>45470219.240000002</v>
      </c>
      <c r="E32" s="53"/>
      <c r="F32" s="58">
        <v>8864.6666666666661</v>
      </c>
      <c r="G32" s="59">
        <f t="shared" si="0"/>
        <v>3.0162710093528902E-2</v>
      </c>
      <c r="H32" s="53"/>
      <c r="I32" s="53"/>
      <c r="J32" s="53"/>
      <c r="K32" s="61" t="b">
        <f t="shared" si="1"/>
        <v>0</v>
      </c>
      <c r="L32" s="62">
        <f t="shared" si="2"/>
        <v>0</v>
      </c>
    </row>
    <row r="33" spans="1:12">
      <c r="A33" s="56" t="s">
        <v>151</v>
      </c>
      <c r="B33" s="57">
        <v>146315372.27000001</v>
      </c>
      <c r="C33" s="57">
        <v>30477948.399999995</v>
      </c>
      <c r="D33" s="57">
        <v>176793320.67000002</v>
      </c>
      <c r="E33" s="53"/>
      <c r="F33" s="58">
        <v>32647.3</v>
      </c>
      <c r="G33" s="59">
        <f t="shared" si="0"/>
        <v>0.11108494907533273</v>
      </c>
      <c r="H33" s="53"/>
      <c r="I33" s="53"/>
      <c r="J33" s="53"/>
      <c r="K33" s="61" t="b">
        <f t="shared" si="1"/>
        <v>0</v>
      </c>
      <c r="L33" s="62">
        <f t="shared" si="2"/>
        <v>0</v>
      </c>
    </row>
    <row r="34" spans="1:12">
      <c r="A34" s="56" t="s">
        <v>152</v>
      </c>
      <c r="B34" s="63">
        <v>1476628762.5125966</v>
      </c>
      <c r="C34" s="63">
        <v>227234729.10262412</v>
      </c>
      <c r="D34" s="63">
        <v>1703863491.6152205</v>
      </c>
      <c r="E34" s="53"/>
      <c r="F34" s="64">
        <v>293894.89999999997</v>
      </c>
      <c r="G34" s="65">
        <f>SUM(G6:G33)</f>
        <v>1.0000000000000004</v>
      </c>
      <c r="H34" s="53"/>
      <c r="I34" s="53"/>
      <c r="J34" s="53"/>
      <c r="K34" s="66">
        <f>SUM(K6:K33)</f>
        <v>12664205.698217133</v>
      </c>
      <c r="L34" s="67">
        <f>SUM(L6:L33)</f>
        <v>1</v>
      </c>
    </row>
    <row r="35" spans="1:12" ht="15" thickBot="1">
      <c r="A35" s="68" t="s">
        <v>153</v>
      </c>
      <c r="B35" s="69">
        <v>0.68230014648475201</v>
      </c>
      <c r="C35" s="69">
        <v>0.10499747322362001</v>
      </c>
      <c r="D35" s="69">
        <v>0.78729761970837153</v>
      </c>
      <c r="E35" s="70"/>
      <c r="F35" s="69"/>
      <c r="G35" s="69"/>
      <c r="H35" s="70"/>
      <c r="I35" s="70"/>
      <c r="J35" s="70"/>
      <c r="K35" s="70"/>
      <c r="L35" s="71"/>
    </row>
  </sheetData>
  <mergeCells count="1">
    <mergeCell ref="B4:C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1"/>
  <sheetViews>
    <sheetView zoomScale="104" workbookViewId="0">
      <selection activeCell="C2" sqref="C2"/>
    </sheetView>
  </sheetViews>
  <sheetFormatPr defaultRowHeight="14.4"/>
  <cols>
    <col min="2" max="2" width="9.109375" customWidth="1"/>
    <col min="3" max="3" width="17.44140625" bestFit="1" customWidth="1"/>
    <col min="4" max="4" width="14.5546875" customWidth="1"/>
    <col min="9" max="9" width="10" bestFit="1" customWidth="1"/>
  </cols>
  <sheetData>
    <row r="2" spans="2:14">
      <c r="M2" s="34"/>
      <c r="N2" s="34"/>
    </row>
    <row r="3" spans="2:14">
      <c r="M3" s="34" t="s">
        <v>57</v>
      </c>
      <c r="N3" s="34"/>
    </row>
    <row r="4" spans="2:14" ht="43.8" thickBot="1">
      <c r="B4" t="s">
        <v>0</v>
      </c>
      <c r="C4" t="s">
        <v>48</v>
      </c>
      <c r="D4" s="2" t="s">
        <v>49</v>
      </c>
      <c r="M4" s="17" t="s">
        <v>55</v>
      </c>
      <c r="N4" s="17" t="s">
        <v>56</v>
      </c>
    </row>
    <row r="5" spans="2:14" ht="15" thickBot="1">
      <c r="B5">
        <v>1</v>
      </c>
      <c r="C5" s="1">
        <f>AVERAGE('Outputs Results'!E3:E5)</f>
        <v>1041</v>
      </c>
      <c r="D5" s="5">
        <f>AVERAGE('Outputs Results'!N3:N5)/C5</f>
        <v>11611.491517771376</v>
      </c>
      <c r="M5" s="22">
        <v>25028</v>
      </c>
      <c r="N5" s="22">
        <v>-0.104</v>
      </c>
    </row>
    <row r="6" spans="2:14">
      <c r="B6">
        <v>2</v>
      </c>
      <c r="C6" s="1">
        <f>AVERAGE('Outputs Results'!E6:E8)</f>
        <v>2000.3333333333333</v>
      </c>
      <c r="D6" s="5">
        <f>AVERAGE('Outputs Results'!N6:N8)/C6</f>
        <v>12756.988893517746</v>
      </c>
    </row>
    <row r="7" spans="2:14">
      <c r="B7">
        <v>3</v>
      </c>
      <c r="C7" s="1">
        <f>AVERAGE('Outputs Results'!E9:E12)</f>
        <v>2923</v>
      </c>
      <c r="D7" s="5">
        <f>AVERAGE('Outputs Results'!N9:N12)/C7</f>
        <v>11077.172281046869</v>
      </c>
    </row>
    <row r="8" spans="2:14">
      <c r="B8">
        <v>4</v>
      </c>
      <c r="C8" s="1">
        <f>AVERAGE('Outputs Results'!E13:E17)</f>
        <v>5404.4</v>
      </c>
      <c r="D8" s="5">
        <f>AVERAGE('Outputs Results'!N13:N17)/C8</f>
        <v>9906.8886873658521</v>
      </c>
    </row>
    <row r="9" spans="2:14">
      <c r="B9">
        <v>5</v>
      </c>
      <c r="C9" s="1">
        <f>AVERAGE('Outputs Results'!E18:E23)</f>
        <v>8359.5</v>
      </c>
      <c r="D9" s="5">
        <f>AVERAGE('Outputs Results'!N18:N23)/C9</f>
        <v>8535.3634649201504</v>
      </c>
    </row>
    <row r="10" spans="2:14">
      <c r="B10">
        <v>6</v>
      </c>
      <c r="C10" s="1">
        <f>AVERAGE('Outputs Results'!E24:E27)</f>
        <v>12730.25</v>
      </c>
      <c r="D10" s="5">
        <f>AVERAGE('Outputs Results'!N24:N27)/C10</f>
        <v>9503.2193578287934</v>
      </c>
    </row>
    <row r="11" spans="2:14">
      <c r="B11">
        <v>7</v>
      </c>
      <c r="C11" s="1">
        <f>AVERAGE('Outputs Results'!E28:E30)</f>
        <v>23816</v>
      </c>
      <c r="D11" s="5">
        <f>AVERAGE('Outputs Results'!N28:N30)/C11</f>
        <v>9368.1217937520996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D68"/>
  <sheetViews>
    <sheetView topLeftCell="A2" zoomScaleNormal="100" workbookViewId="0">
      <selection activeCell="B3" sqref="B3"/>
    </sheetView>
  </sheetViews>
  <sheetFormatPr defaultColWidth="9.109375" defaultRowHeight="14.4"/>
  <cols>
    <col min="1" max="1" width="9.109375" style="21"/>
    <col min="2" max="2" width="29.33203125" style="21" customWidth="1"/>
    <col min="3" max="3" width="12.5546875" style="21" customWidth="1"/>
    <col min="4" max="4" width="14.5546875" style="21" customWidth="1"/>
    <col min="5" max="8" width="9.109375" style="21"/>
    <col min="9" max="9" width="10" style="21" bestFit="1" customWidth="1"/>
    <col min="10" max="27" width="9.109375" style="21"/>
    <col min="28" max="28" width="39.5546875" style="21" bestFit="1" customWidth="1"/>
    <col min="29" max="29" width="9.109375" style="21"/>
    <col min="30" max="30" width="11.5546875" style="21" bestFit="1" customWidth="1"/>
    <col min="31" max="16384" width="9.109375" style="21"/>
  </cols>
  <sheetData>
    <row r="2" spans="1:30">
      <c r="M2" s="33"/>
      <c r="N2" s="33"/>
    </row>
    <row r="3" spans="1:30">
      <c r="M3" s="34" t="s">
        <v>57</v>
      </c>
      <c r="N3" s="34"/>
    </row>
    <row r="4" spans="1:30" ht="29.4" thickBot="1">
      <c r="B4" s="21" t="s">
        <v>0</v>
      </c>
      <c r="C4" s="2" t="s">
        <v>100</v>
      </c>
      <c r="D4" s="2" t="s">
        <v>64</v>
      </c>
      <c r="M4" s="17" t="s">
        <v>55</v>
      </c>
      <c r="N4" s="17" t="s">
        <v>56</v>
      </c>
      <c r="AC4" s="2"/>
      <c r="AD4" s="2"/>
    </row>
    <row r="5" spans="1:30" ht="15" thickBot="1">
      <c r="A5" s="21" t="s">
        <v>87</v>
      </c>
      <c r="B5" s="23" t="s">
        <v>7</v>
      </c>
      <c r="C5" s="1">
        <f>'Outputs Results'!AO4</f>
        <v>770</v>
      </c>
      <c r="D5" s="5">
        <f>'Outputs Results'!AP4</f>
        <v>14090.100844155844</v>
      </c>
      <c r="M5" s="22">
        <v>29668</v>
      </c>
      <c r="N5" s="22">
        <v>-0.126</v>
      </c>
      <c r="AB5" s="23"/>
      <c r="AC5" s="1"/>
      <c r="AD5" s="5"/>
    </row>
    <row r="6" spans="1:30">
      <c r="A6" s="21" t="s">
        <v>65</v>
      </c>
      <c r="B6" s="23" t="s">
        <v>6</v>
      </c>
      <c r="C6" s="1">
        <f>'Outputs Results'!AO3</f>
        <v>929</v>
      </c>
      <c r="D6" s="5">
        <f>'Outputs Results'!AP3</f>
        <v>10738.068794402583</v>
      </c>
      <c r="AB6" s="23"/>
      <c r="AC6" s="1"/>
      <c r="AD6" s="5"/>
    </row>
    <row r="7" spans="1:30">
      <c r="A7" s="21" t="s">
        <v>90</v>
      </c>
      <c r="B7" s="23" t="s">
        <v>8</v>
      </c>
      <c r="C7" s="1">
        <f>'Outputs Results'!AO5</f>
        <v>1424</v>
      </c>
      <c r="D7" s="5">
        <f>'Outputs Results'!AP5</f>
        <v>10841.042450842697</v>
      </c>
      <c r="AB7" s="23"/>
      <c r="AC7" s="1"/>
      <c r="AD7" s="5"/>
    </row>
    <row r="8" spans="1:30">
      <c r="A8" s="21" t="s">
        <v>88</v>
      </c>
      <c r="B8" s="23" t="s">
        <v>10</v>
      </c>
      <c r="C8" s="1">
        <f>'Outputs Results'!AO7</f>
        <v>1563</v>
      </c>
      <c r="D8" s="5">
        <f>'Outputs Results'!AP7</f>
        <v>15745.953032629559</v>
      </c>
      <c r="AB8" s="23"/>
      <c r="AD8" s="5"/>
    </row>
    <row r="9" spans="1:30">
      <c r="A9" s="21" t="s">
        <v>72</v>
      </c>
      <c r="B9" s="23" t="s">
        <v>12</v>
      </c>
      <c r="C9" s="1">
        <f>'Outputs Results'!AO9</f>
        <v>1797</v>
      </c>
      <c r="D9" s="5">
        <f>'Outputs Results'!AP9</f>
        <v>12633.122982749026</v>
      </c>
      <c r="AB9" s="23"/>
      <c r="AD9" s="5"/>
    </row>
    <row r="10" spans="1:30">
      <c r="A10" s="21" t="s">
        <v>71</v>
      </c>
      <c r="B10" s="23" t="s">
        <v>9</v>
      </c>
      <c r="C10" s="1">
        <f>'Outputs Results'!AO6</f>
        <v>1920</v>
      </c>
      <c r="D10" s="5">
        <f>'Outputs Results'!AP6</f>
        <v>10324.877723958334</v>
      </c>
      <c r="AB10" s="23"/>
      <c r="AD10" s="5"/>
    </row>
    <row r="11" spans="1:30">
      <c r="A11" s="21" t="s">
        <v>89</v>
      </c>
      <c r="B11" s="23" t="s">
        <v>11</v>
      </c>
      <c r="C11" s="1">
        <f>'Outputs Results'!AO8</f>
        <v>2518</v>
      </c>
      <c r="D11" s="5">
        <f>'Outputs Results'!AP8</f>
        <v>12756.155889594917</v>
      </c>
      <c r="AB11" s="23"/>
      <c r="AD11" s="5"/>
    </row>
    <row r="12" spans="1:30">
      <c r="A12" s="21" t="s">
        <v>68</v>
      </c>
      <c r="B12" s="23" t="s">
        <v>13</v>
      </c>
      <c r="C12" s="1">
        <f>'Outputs Results'!AO10</f>
        <v>2949</v>
      </c>
      <c r="D12" s="5">
        <f>'Outputs Results'!AP10</f>
        <v>10658.142760257715</v>
      </c>
      <c r="AB12" s="23"/>
      <c r="AC12" s="1"/>
      <c r="AD12" s="5"/>
    </row>
    <row r="13" spans="1:30">
      <c r="A13" s="21" t="s">
        <v>91</v>
      </c>
      <c r="B13" s="23" t="s">
        <v>14</v>
      </c>
      <c r="C13" s="1">
        <f>'Outputs Results'!AO11</f>
        <v>3181</v>
      </c>
      <c r="D13" s="5">
        <f>'Outputs Results'!AP11</f>
        <v>10817.785658597924</v>
      </c>
      <c r="AB13" s="23"/>
      <c r="AD13" s="5"/>
    </row>
    <row r="14" spans="1:30">
      <c r="A14" s="21" t="s">
        <v>67</v>
      </c>
      <c r="B14" s="23" t="s">
        <v>15</v>
      </c>
      <c r="C14" s="1">
        <f>'Outputs Results'!AO12</f>
        <v>3765</v>
      </c>
      <c r="D14" s="5">
        <f>'Outputs Results'!AP12</f>
        <v>10881.895652058434</v>
      </c>
      <c r="AB14" s="23"/>
      <c r="AD14" s="5"/>
    </row>
    <row r="15" spans="1:30">
      <c r="A15" s="21" t="s">
        <v>70</v>
      </c>
      <c r="B15" s="23" t="s">
        <v>19</v>
      </c>
      <c r="C15" s="1">
        <f>'Outputs Results'!AO16</f>
        <v>4514</v>
      </c>
      <c r="D15" s="5">
        <f>'Outputs Results'!AP16</f>
        <v>11745.974590163934</v>
      </c>
      <c r="AB15" s="23"/>
      <c r="AD15" s="5"/>
    </row>
    <row r="16" spans="1:30">
      <c r="A16" s="21" t="s">
        <v>79</v>
      </c>
      <c r="B16" s="23" t="s">
        <v>18</v>
      </c>
      <c r="C16" s="1">
        <f>'Outputs Results'!AO15</f>
        <v>4850</v>
      </c>
      <c r="D16" s="5">
        <f>'Outputs Results'!AP15</f>
        <v>9107.0425154639179</v>
      </c>
      <c r="AB16" s="23"/>
      <c r="AD16" s="5"/>
    </row>
    <row r="17" spans="1:30">
      <c r="A17" s="21" t="s">
        <v>69</v>
      </c>
      <c r="B17" s="23" t="s">
        <v>17</v>
      </c>
      <c r="C17" s="1">
        <f>'Outputs Results'!AO14</f>
        <v>5123</v>
      </c>
      <c r="D17" s="5">
        <f>'Outputs Results'!AP14</f>
        <v>10583.473447198907</v>
      </c>
      <c r="AB17" s="23"/>
      <c r="AC17" s="1"/>
      <c r="AD17" s="5"/>
    </row>
    <row r="18" spans="1:30">
      <c r="A18" s="21" t="s">
        <v>99</v>
      </c>
      <c r="B18" s="23" t="s">
        <v>16</v>
      </c>
      <c r="C18" s="1">
        <f>'Outputs Results'!AO13</f>
        <v>5707</v>
      </c>
      <c r="D18" s="5">
        <f>'Outputs Results'!AP13</f>
        <v>9750.7423812861398</v>
      </c>
      <c r="AB18" s="23"/>
      <c r="AD18" s="5"/>
    </row>
    <row r="19" spans="1:30">
      <c r="A19" s="21" t="s">
        <v>80</v>
      </c>
      <c r="B19" s="23" t="s">
        <v>20</v>
      </c>
      <c r="C19" s="1">
        <f>'Outputs Results'!AO17</f>
        <v>6828</v>
      </c>
      <c r="D19" s="5">
        <f>'Outputs Results'!AP17</f>
        <v>8882.0795796719394</v>
      </c>
      <c r="AB19" s="23"/>
      <c r="AD19" s="5"/>
    </row>
    <row r="20" spans="1:30">
      <c r="A20" s="21" t="s">
        <v>66</v>
      </c>
      <c r="B20" s="23" t="s">
        <v>22</v>
      </c>
      <c r="C20" s="1">
        <f>'Outputs Results'!AO19</f>
        <v>6878</v>
      </c>
      <c r="D20" s="5">
        <f>'Outputs Results'!AP19</f>
        <v>9248.4519787728987</v>
      </c>
      <c r="AB20" s="23"/>
      <c r="AC20" s="1"/>
      <c r="AD20" s="5"/>
    </row>
    <row r="21" spans="1:30">
      <c r="A21" s="21" t="s">
        <v>78</v>
      </c>
      <c r="B21" s="23" t="s">
        <v>21</v>
      </c>
      <c r="C21" s="1">
        <f>'Outputs Results'!AO18</f>
        <v>7350</v>
      </c>
      <c r="D21" s="5">
        <f>'Outputs Results'!AP18</f>
        <v>9299.0878068027196</v>
      </c>
      <c r="AB21" s="23"/>
      <c r="AD21" s="5"/>
    </row>
    <row r="22" spans="1:30">
      <c r="A22" s="21" t="s">
        <v>73</v>
      </c>
      <c r="B22" s="23" t="s">
        <v>23</v>
      </c>
      <c r="C22" s="1">
        <f>'Outputs Results'!AO20</f>
        <v>8187</v>
      </c>
      <c r="D22" s="5">
        <f>'Outputs Results'!AP20</f>
        <v>9282.4161157933304</v>
      </c>
      <c r="AB22" s="23"/>
      <c r="AD22" s="5"/>
    </row>
    <row r="23" spans="1:30">
      <c r="A23" s="21" t="s">
        <v>75</v>
      </c>
      <c r="B23" s="23" t="s">
        <v>24</v>
      </c>
      <c r="C23" s="1">
        <f>'Outputs Results'!AO21</f>
        <v>9160</v>
      </c>
      <c r="D23" s="5">
        <f>'Outputs Results'!AP21</f>
        <v>7476.3334192139746</v>
      </c>
      <c r="AB23" s="23"/>
      <c r="AC23" s="1"/>
      <c r="AD23" s="5"/>
    </row>
    <row r="24" spans="1:30">
      <c r="A24" s="21" t="s">
        <v>83</v>
      </c>
      <c r="B24" s="23" t="s">
        <v>26</v>
      </c>
      <c r="C24" s="1">
        <f>'Outputs Results'!AO23</f>
        <v>9225</v>
      </c>
      <c r="D24" s="5">
        <f>'Outputs Results'!AP23</f>
        <v>8246.7581073170732</v>
      </c>
      <c r="AB24" s="23"/>
      <c r="AD24" s="5"/>
    </row>
    <row r="25" spans="1:30">
      <c r="A25" s="21" t="s">
        <v>76</v>
      </c>
      <c r="B25" s="23" t="s">
        <v>25</v>
      </c>
      <c r="C25" s="1">
        <f>'Outputs Results'!AO22</f>
        <v>9357</v>
      </c>
      <c r="D25" s="5">
        <f>'Outputs Results'!AP22</f>
        <v>8078.9119183498979</v>
      </c>
      <c r="AB25" s="23"/>
      <c r="AD25" s="5"/>
    </row>
    <row r="26" spans="1:30">
      <c r="A26" s="21" t="s">
        <v>74</v>
      </c>
      <c r="B26" s="23" t="s">
        <v>29</v>
      </c>
      <c r="C26" s="1">
        <f>'Outputs Results'!AO26</f>
        <v>11382</v>
      </c>
      <c r="D26" s="5">
        <f>'Outputs Results'!AP26</f>
        <v>10850.396472500441</v>
      </c>
      <c r="AB26" s="23"/>
      <c r="AD26" s="5"/>
    </row>
    <row r="27" spans="1:30">
      <c r="A27" s="21" t="s">
        <v>85</v>
      </c>
      <c r="B27" s="23" t="s">
        <v>30</v>
      </c>
      <c r="C27" s="1">
        <f>'Outputs Results'!AO27</f>
        <v>11592</v>
      </c>
      <c r="D27" s="5">
        <f>'Outputs Results'!AP27</f>
        <v>9861.752129917184</v>
      </c>
      <c r="AB27" s="23"/>
      <c r="AD27" s="5"/>
    </row>
    <row r="28" spans="1:30">
      <c r="A28" s="21" t="s">
        <v>84</v>
      </c>
      <c r="B28" s="23" t="s">
        <v>27</v>
      </c>
      <c r="C28" s="1">
        <f>'Outputs Results'!AO24</f>
        <v>13700</v>
      </c>
      <c r="D28" s="5">
        <f>'Outputs Results'!AP24</f>
        <v>8718.5417211678832</v>
      </c>
      <c r="AB28" s="23"/>
      <c r="AD28" s="5"/>
    </row>
    <row r="29" spans="1:30">
      <c r="A29" s="21" t="s">
        <v>81</v>
      </c>
      <c r="B29" s="23" t="s">
        <v>28</v>
      </c>
      <c r="C29" s="1">
        <f>'Outputs Results'!AO25</f>
        <v>14247</v>
      </c>
      <c r="D29" s="5">
        <f>'Outputs Results'!AP25</f>
        <v>8889.7850775601873</v>
      </c>
      <c r="AB29" s="23"/>
      <c r="AD29" s="5"/>
    </row>
    <row r="30" spans="1:30">
      <c r="A30" s="21" t="s">
        <v>82</v>
      </c>
      <c r="B30" s="23" t="s">
        <v>31</v>
      </c>
      <c r="C30" s="1">
        <f>'Outputs Results'!AO28</f>
        <v>18143</v>
      </c>
      <c r="D30" s="5">
        <f>'Outputs Results'!AP28</f>
        <v>8906.1272363997123</v>
      </c>
      <c r="AB30" s="23"/>
      <c r="AD30" s="5"/>
    </row>
    <row r="31" spans="1:30">
      <c r="A31" s="21" t="s">
        <v>86</v>
      </c>
      <c r="B31" s="23" t="s">
        <v>32</v>
      </c>
      <c r="C31" s="1">
        <f>'Outputs Results'!AO29</f>
        <v>22971</v>
      </c>
      <c r="D31" s="5">
        <f>'Outputs Results'!AP29</f>
        <v>7885.2183392103088</v>
      </c>
      <c r="AB31" s="23"/>
      <c r="AD31" s="5"/>
    </row>
    <row r="32" spans="1:30">
      <c r="A32" s="21" t="s">
        <v>77</v>
      </c>
      <c r="B32" s="23" t="s">
        <v>33</v>
      </c>
      <c r="C32" s="1">
        <f>'Outputs Results'!AO30</f>
        <v>30334</v>
      </c>
      <c r="D32" s="5">
        <f>'Outputs Results'!AP30</f>
        <v>10767.401232939936</v>
      </c>
      <c r="AB32" s="23"/>
      <c r="AD32" s="5"/>
    </row>
    <row r="36" spans="1:14">
      <c r="M36" s="33"/>
      <c r="N36" s="33"/>
    </row>
    <row r="37" spans="1:14">
      <c r="M37" s="34" t="s">
        <v>57</v>
      </c>
      <c r="N37" s="34"/>
    </row>
    <row r="38" spans="1:14" ht="58.2" thickBot="1">
      <c r="B38" s="21" t="s">
        <v>0</v>
      </c>
      <c r="C38" s="2" t="s">
        <v>100</v>
      </c>
      <c r="D38" s="2" t="s">
        <v>94</v>
      </c>
      <c r="M38" s="17" t="s">
        <v>55</v>
      </c>
      <c r="N38" s="17" t="s">
        <v>56</v>
      </c>
    </row>
    <row r="39" spans="1:14" ht="15" thickBot="1">
      <c r="A39" s="21" t="s">
        <v>87</v>
      </c>
      <c r="B39" s="23" t="s">
        <v>7</v>
      </c>
      <c r="C39" s="101">
        <f>'Outputs Results'!AO4</f>
        <v>770</v>
      </c>
      <c r="D39" s="5">
        <f>'Outputs Results'!AR4</f>
        <v>14278.502681674787</v>
      </c>
      <c r="M39" s="22">
        <v>29784</v>
      </c>
      <c r="N39" s="22">
        <v>-0.123</v>
      </c>
    </row>
    <row r="40" spans="1:14">
      <c r="A40" s="21" t="s">
        <v>65</v>
      </c>
      <c r="B40" s="23" t="s">
        <v>6</v>
      </c>
      <c r="C40" s="101">
        <f>'Outputs Results'!AO3</f>
        <v>929</v>
      </c>
      <c r="D40" s="5">
        <f>'Outputs Results'!AR3</f>
        <v>11289.640065131194</v>
      </c>
    </row>
    <row r="41" spans="1:14">
      <c r="A41" s="21" t="s">
        <v>90</v>
      </c>
      <c r="B41" s="23" t="s">
        <v>8</v>
      </c>
      <c r="C41" s="101">
        <f>'Outputs Results'!AO5</f>
        <v>1424</v>
      </c>
      <c r="D41" s="5">
        <f>'Outputs Results'!AR5</f>
        <v>11227.297665816408</v>
      </c>
    </row>
    <row r="42" spans="1:14">
      <c r="A42" s="21" t="s">
        <v>88</v>
      </c>
      <c r="B42" s="23" t="s">
        <v>10</v>
      </c>
      <c r="C42" s="101">
        <f>'Outputs Results'!AO7</f>
        <v>1563</v>
      </c>
      <c r="D42" s="5">
        <f>'Outputs Results'!AR7</f>
        <v>15906.369139627201</v>
      </c>
    </row>
    <row r="43" spans="1:14">
      <c r="A43" s="21" t="s">
        <v>72</v>
      </c>
      <c r="B43" s="23" t="s">
        <v>12</v>
      </c>
      <c r="C43" s="101">
        <f>'Outputs Results'!AO9</f>
        <v>1797</v>
      </c>
      <c r="D43" s="5">
        <f>'Outputs Results'!AR9</f>
        <v>12793.673254626661</v>
      </c>
    </row>
    <row r="44" spans="1:14">
      <c r="A44" s="21" t="s">
        <v>71</v>
      </c>
      <c r="B44" s="23" t="s">
        <v>9</v>
      </c>
      <c r="C44" s="101">
        <f>'Outputs Results'!AO6</f>
        <v>1920</v>
      </c>
      <c r="D44" s="5">
        <f>'Outputs Results'!AR6</f>
        <v>10748.389205649846</v>
      </c>
    </row>
    <row r="45" spans="1:14">
      <c r="A45" s="21" t="s">
        <v>89</v>
      </c>
      <c r="B45" s="23" t="s">
        <v>11</v>
      </c>
      <c r="C45" s="101">
        <f>'Outputs Results'!AO8</f>
        <v>2518</v>
      </c>
      <c r="D45" s="5">
        <f>'Outputs Results'!AR8</f>
        <v>12909.050648396886</v>
      </c>
    </row>
    <row r="46" spans="1:14">
      <c r="A46" s="21" t="s">
        <v>68</v>
      </c>
      <c r="B46" s="23" t="s">
        <v>13</v>
      </c>
      <c r="C46" s="101">
        <f>'Outputs Results'!AO10</f>
        <v>2949</v>
      </c>
      <c r="D46" s="5">
        <f>'Outputs Results'!AR10</f>
        <v>10873.576413737339</v>
      </c>
    </row>
    <row r="47" spans="1:14">
      <c r="A47" s="21" t="s">
        <v>91</v>
      </c>
      <c r="B47" s="23" t="s">
        <v>14</v>
      </c>
      <c r="C47" s="101">
        <f>'Outputs Results'!AO11</f>
        <v>3181</v>
      </c>
      <c r="D47" s="5">
        <f>'Outputs Results'!AR11</f>
        <v>10971.522715181531</v>
      </c>
    </row>
    <row r="48" spans="1:14">
      <c r="A48" s="21" t="s">
        <v>67</v>
      </c>
      <c r="B48" s="23" t="s">
        <v>15</v>
      </c>
      <c r="C48" s="101">
        <f>'Outputs Results'!AO12</f>
        <v>3765</v>
      </c>
      <c r="D48" s="5">
        <f>'Outputs Results'!AR12</f>
        <v>11026.02006568487</v>
      </c>
    </row>
    <row r="49" spans="1:4">
      <c r="A49" s="21" t="s">
        <v>70</v>
      </c>
      <c r="B49" s="23" t="s">
        <v>19</v>
      </c>
      <c r="C49" s="101">
        <f>'Outputs Results'!AO16</f>
        <v>4514</v>
      </c>
      <c r="D49" s="5">
        <f>'Outputs Results'!AR16</f>
        <v>11892.127478202377</v>
      </c>
    </row>
    <row r="50" spans="1:4">
      <c r="A50" s="21" t="s">
        <v>79</v>
      </c>
      <c r="B50" s="23" t="s">
        <v>18</v>
      </c>
      <c r="C50" s="101">
        <f>'Outputs Results'!AO15</f>
        <v>4850</v>
      </c>
      <c r="D50" s="5">
        <f>'Outputs Results'!AR15</f>
        <v>9565.9567491317866</v>
      </c>
    </row>
    <row r="51" spans="1:4">
      <c r="A51" s="21" t="s">
        <v>69</v>
      </c>
      <c r="B51" s="23" t="s">
        <v>17</v>
      </c>
      <c r="C51" s="101">
        <f>'Outputs Results'!AO14</f>
        <v>5123</v>
      </c>
      <c r="D51" s="5">
        <f>'Outputs Results'!AR14</f>
        <v>10726.785272157374</v>
      </c>
    </row>
    <row r="52" spans="1:4">
      <c r="A52" s="21" t="s">
        <v>99</v>
      </c>
      <c r="B52" s="23" t="s">
        <v>16</v>
      </c>
      <c r="C52" s="101">
        <f>'Outputs Results'!AO13</f>
        <v>5707</v>
      </c>
      <c r="D52" s="5">
        <f>'Outputs Results'!AR13</f>
        <v>9998.7325242448223</v>
      </c>
    </row>
    <row r="53" spans="1:4">
      <c r="A53" s="21" t="s">
        <v>80</v>
      </c>
      <c r="B53" s="23" t="s">
        <v>20</v>
      </c>
      <c r="C53" s="101">
        <f>'Outputs Results'!AO17</f>
        <v>6828</v>
      </c>
      <c r="D53" s="5">
        <f>'Outputs Results'!AR17</f>
        <v>9296.8545520922853</v>
      </c>
    </row>
    <row r="54" spans="1:4">
      <c r="A54" s="21" t="s">
        <v>66</v>
      </c>
      <c r="B54" s="23" t="s">
        <v>22</v>
      </c>
      <c r="C54" s="101">
        <f>'Outputs Results'!AO19</f>
        <v>6878</v>
      </c>
      <c r="D54" s="5">
        <f>'Outputs Results'!AR19</f>
        <v>9578.1259540447609</v>
      </c>
    </row>
    <row r="55" spans="1:4">
      <c r="A55" s="21" t="s">
        <v>78</v>
      </c>
      <c r="B55" s="23" t="s">
        <v>21</v>
      </c>
      <c r="C55" s="101">
        <f>'Outputs Results'!AO18</f>
        <v>7350</v>
      </c>
      <c r="D55" s="5">
        <f>'Outputs Results'!AR18</f>
        <v>9591.4235107279601</v>
      </c>
    </row>
    <row r="56" spans="1:4">
      <c r="A56" s="21" t="s">
        <v>73</v>
      </c>
      <c r="B56" s="23" t="s">
        <v>23</v>
      </c>
      <c r="C56" s="101">
        <f>'Outputs Results'!AO20</f>
        <v>8187</v>
      </c>
      <c r="D56" s="5">
        <f>'Outputs Results'!AR20</f>
        <v>9547.9827781272379</v>
      </c>
    </row>
    <row r="57" spans="1:4">
      <c r="A57" s="21" t="s">
        <v>75</v>
      </c>
      <c r="B57" s="23" t="s">
        <v>24</v>
      </c>
      <c r="C57" s="101">
        <f>'Outputs Results'!AO21</f>
        <v>9160</v>
      </c>
      <c r="D57" s="5">
        <f>'Outputs Results'!AR21</f>
        <v>8165.1135167733764</v>
      </c>
    </row>
    <row r="58" spans="1:4">
      <c r="A58" s="21" t="s">
        <v>83</v>
      </c>
      <c r="B58" s="23" t="s">
        <v>26</v>
      </c>
      <c r="C58" s="101">
        <f>'Outputs Results'!AO23</f>
        <v>9225</v>
      </c>
      <c r="D58" s="5">
        <f>'Outputs Results'!AR23</f>
        <v>8742.6865827796428</v>
      </c>
    </row>
    <row r="59" spans="1:4">
      <c r="A59" s="21" t="s">
        <v>76</v>
      </c>
      <c r="B59" s="23" t="s">
        <v>25</v>
      </c>
      <c r="C59" s="101">
        <f>'Outputs Results'!AO22</f>
        <v>9357</v>
      </c>
      <c r="D59" s="5">
        <f>'Outputs Results'!AR22</f>
        <v>8614.097548345766</v>
      </c>
    </row>
    <row r="60" spans="1:4">
      <c r="A60" s="21" t="s">
        <v>74</v>
      </c>
      <c r="B60" s="23" t="s">
        <v>29</v>
      </c>
      <c r="C60" s="101">
        <f>'Outputs Results'!AO26</f>
        <v>11382</v>
      </c>
      <c r="D60" s="5">
        <f>'Outputs Results'!AR26</f>
        <v>10986.551111493134</v>
      </c>
    </row>
    <row r="61" spans="1:4">
      <c r="A61" s="21" t="s">
        <v>85</v>
      </c>
      <c r="B61" s="23" t="s">
        <v>30</v>
      </c>
      <c r="C61" s="101">
        <f>'Outputs Results'!AO27</f>
        <v>11592</v>
      </c>
      <c r="D61" s="5">
        <f>'Outputs Results'!AR27</f>
        <v>10002.747452390367</v>
      </c>
    </row>
    <row r="62" spans="1:4">
      <c r="A62" s="21" t="s">
        <v>84</v>
      </c>
      <c r="B62" s="23" t="s">
        <v>27</v>
      </c>
      <c r="C62" s="101">
        <f>'Outputs Results'!AO24</f>
        <v>13700</v>
      </c>
      <c r="D62" s="5">
        <f>'Outputs Results'!AR24</f>
        <v>8995.476069014896</v>
      </c>
    </row>
    <row r="63" spans="1:4">
      <c r="A63" s="21" t="s">
        <v>81</v>
      </c>
      <c r="B63" s="23" t="s">
        <v>28</v>
      </c>
      <c r="C63" s="101">
        <f>'Outputs Results'!AO25</f>
        <v>14247</v>
      </c>
      <c r="D63" s="5">
        <f>'Outputs Results'!AR25</f>
        <v>9113.2991287758359</v>
      </c>
    </row>
    <row r="64" spans="1:4">
      <c r="A64" s="21" t="s">
        <v>82</v>
      </c>
      <c r="B64" s="23" t="s">
        <v>31</v>
      </c>
      <c r="C64" s="101">
        <f>'Outputs Results'!AO28</f>
        <v>18143</v>
      </c>
      <c r="D64" s="5">
        <f>'Outputs Results'!AR28</f>
        <v>9067.4677676968149</v>
      </c>
    </row>
    <row r="65" spans="1:4">
      <c r="A65" s="21" t="s">
        <v>86</v>
      </c>
      <c r="B65" s="23" t="s">
        <v>32</v>
      </c>
      <c r="C65" s="101">
        <f>'Outputs Results'!AO29</f>
        <v>22971</v>
      </c>
      <c r="D65" s="5">
        <f>'Outputs Results'!AR29</f>
        <v>8241.4146581098012</v>
      </c>
    </row>
    <row r="66" spans="1:4">
      <c r="A66" s="21" t="s">
        <v>77</v>
      </c>
      <c r="B66" s="23" t="s">
        <v>33</v>
      </c>
      <c r="C66" s="101">
        <f>'Outputs Results'!AO30</f>
        <v>30334</v>
      </c>
      <c r="D66" s="5">
        <f>'Outputs Results'!AR30</f>
        <v>10891.583546483684</v>
      </c>
    </row>
    <row r="67" spans="1:4">
      <c r="C67" s="101"/>
      <c r="D67" s="5"/>
    </row>
    <row r="68" spans="1:4">
      <c r="C68" s="101"/>
      <c r="D68" s="5"/>
    </row>
  </sheetData>
  <sortState ref="A39:D66">
    <sortCondition ref="C39:C66"/>
  </sortState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workbookViewId="0">
      <selection activeCell="G25" sqref="G25"/>
    </sheetView>
  </sheetViews>
  <sheetFormatPr defaultRowHeight="14.4"/>
  <cols>
    <col min="2" max="2" width="11.44140625" customWidth="1"/>
    <col min="3" max="3" width="14.33203125" customWidth="1"/>
  </cols>
  <sheetData>
    <row r="1" spans="1:5" ht="28.8">
      <c r="A1" s="2" t="s">
        <v>34</v>
      </c>
      <c r="B1" s="2" t="s">
        <v>35</v>
      </c>
      <c r="C1" s="2" t="s">
        <v>36</v>
      </c>
      <c r="D1" s="2"/>
      <c r="E1" s="2"/>
    </row>
    <row r="2" spans="1:5">
      <c r="A2">
        <v>1</v>
      </c>
      <c r="B2">
        <v>271</v>
      </c>
      <c r="C2">
        <v>35884</v>
      </c>
    </row>
    <row r="3" spans="1:5">
      <c r="A3">
        <v>2</v>
      </c>
      <c r="B3">
        <v>618</v>
      </c>
      <c r="C3">
        <v>31532</v>
      </c>
    </row>
    <row r="4" spans="1:5">
      <c r="A4">
        <v>3</v>
      </c>
      <c r="B4">
        <v>1136</v>
      </c>
      <c r="C4">
        <v>19862</v>
      </c>
    </row>
    <row r="5" spans="1:5">
      <c r="A5">
        <v>4</v>
      </c>
      <c r="B5">
        <v>2167</v>
      </c>
      <c r="C5">
        <v>16092</v>
      </c>
    </row>
    <row r="6" spans="1:5">
      <c r="A6">
        <v>5</v>
      </c>
      <c r="B6">
        <v>3145</v>
      </c>
      <c r="C6">
        <v>14639</v>
      </c>
    </row>
    <row r="7" spans="1:5">
      <c r="A7">
        <v>6</v>
      </c>
      <c r="B7">
        <v>4365</v>
      </c>
      <c r="C7">
        <v>16946</v>
      </c>
    </row>
    <row r="8" spans="1:5">
      <c r="A8">
        <v>7</v>
      </c>
      <c r="B8">
        <v>9394</v>
      </c>
      <c r="C8">
        <v>12996</v>
      </c>
    </row>
    <row r="12" spans="1:5">
      <c r="A12" s="100" t="s">
        <v>38</v>
      </c>
      <c r="B12" s="100"/>
      <c r="C12" s="100"/>
      <c r="D12" s="100"/>
    </row>
    <row r="13" spans="1:5">
      <c r="A13" s="100"/>
      <c r="B13" s="100"/>
      <c r="C13" s="100"/>
      <c r="D13" s="100"/>
    </row>
    <row r="14" spans="1:5">
      <c r="A14" s="100"/>
      <c r="B14" s="100"/>
      <c r="C14" s="100"/>
      <c r="D14" s="100"/>
    </row>
    <row r="15" spans="1:5">
      <c r="A15" s="100"/>
      <c r="B15" s="100"/>
      <c r="C15" s="100"/>
      <c r="D15" s="100"/>
    </row>
    <row r="16" spans="1:5">
      <c r="A16" s="100"/>
      <c r="B16" s="100"/>
      <c r="C16" s="100"/>
      <c r="D16" s="100"/>
    </row>
    <row r="17" spans="1:4">
      <c r="A17" s="100"/>
      <c r="B17" s="100"/>
      <c r="C17" s="100"/>
      <c r="D17" s="100"/>
    </row>
    <row r="18" spans="1:4">
      <c r="A18" s="100"/>
      <c r="B18" s="100"/>
      <c r="C18" s="100"/>
      <c r="D18" s="100"/>
    </row>
  </sheetData>
  <mergeCells count="1">
    <mergeCell ref="A12:D18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2288968AE7C049B7B11A9750850B10" ma:contentTypeVersion="4" ma:contentTypeDescription="Create a new document." ma:contentTypeScope="" ma:versionID="d61fed4109eb8b9a8d112d3233972f64">
  <xsd:schema xmlns:xsd="http://www.w3.org/2001/XMLSchema" xmlns:xs="http://www.w3.org/2001/XMLSchema" xmlns:p="http://schemas.microsoft.com/office/2006/metadata/properties" xmlns:ns3="9a5abe50-b523-4702-8af2-903dc9767712" targetNamespace="http://schemas.microsoft.com/office/2006/metadata/properties" ma:root="true" ma:fieldsID="7b4249a247cdada1fac4957f106fdf4f" ns3:_="">
    <xsd:import namespace="9a5abe50-b523-4702-8af2-903dc976771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5abe50-b523-4702-8af2-903dc97677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416B8-4B2A-4D10-90AF-86C5DA88AD5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E01DE3B-89A5-4D3E-874E-4077D423BF23}">
  <ds:schemaRefs>
    <ds:schemaRef ds:uri="9a5abe50-b523-4702-8af2-903dc9767712"/>
    <ds:schemaRef ds:uri="http://purl.org/dc/elements/1.1/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2A6DD45-C231-41A5-B579-8E21DD5893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5abe50-b523-4702-8af2-903dc97677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Outputs Results</vt:lpstr>
      <vt:lpstr>Small College Data</vt:lpstr>
      <vt:lpstr>Model Generation</vt:lpstr>
      <vt:lpstr>28 Point Models</vt:lpstr>
      <vt:lpstr>Tiers by Output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Hale, Ryan</dc:creator>
  <cp:keywords/>
  <dc:description/>
  <cp:lastModifiedBy>Sisley, Dottie</cp:lastModifiedBy>
  <cp:revision/>
  <cp:lastPrinted>2022-05-27T02:59:32Z</cp:lastPrinted>
  <dcterms:created xsi:type="dcterms:W3CDTF">2021-10-31T23:08:04Z</dcterms:created>
  <dcterms:modified xsi:type="dcterms:W3CDTF">2022-08-05T19:15:44Z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0x010100142288968AE7C049B7B11A9750850B10</vt:lpwstr>
  </property>
</Properties>
</file>