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I-4 Model Scenarios\"/>
    </mc:Choice>
  </mc:AlternateContent>
  <bookViews>
    <workbookView xWindow="14280" yWindow="-13620" windowWidth="21840" windowHeight="13140"/>
  </bookViews>
  <sheets>
    <sheet name="Outputs Results" sheetId="4" r:id="rId1"/>
    <sheet name="Model Generation" sheetId="17" r:id="rId2"/>
    <sheet name="28 Point Models" sheetId="18" r:id="rId3"/>
    <sheet name="Tiers by Output" sheetId="7" state="hidden" r:id="rId4"/>
  </sheets>
  <definedNames>
    <definedName name="_xlnm._FilterDatabase" localSheetId="0" hidden="1">'Outputs Results'!$A$1:$V$30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  <c r="E3" i="4"/>
  <c r="E4" i="4"/>
  <c r="E5" i="4"/>
  <c r="E6" i="4"/>
  <c r="E7" i="4"/>
  <c r="E8" i="4"/>
  <c r="E9" i="4"/>
  <c r="E10" i="4"/>
  <c r="E11" i="4"/>
  <c r="AF4" i="4"/>
  <c r="E12" i="4"/>
  <c r="E13" i="4"/>
  <c r="E14" i="4"/>
  <c r="E15" i="4"/>
  <c r="E20" i="4"/>
  <c r="AF20" i="4"/>
  <c r="E16" i="4"/>
  <c r="E17" i="4"/>
  <c r="E18" i="4"/>
  <c r="E19" i="4"/>
  <c r="AF2" i="4"/>
  <c r="E21" i="4"/>
  <c r="E22" i="4"/>
  <c r="E23" i="4"/>
  <c r="E24" i="4"/>
  <c r="AF24" i="4"/>
  <c r="E25" i="4"/>
  <c r="E26" i="4"/>
  <c r="AF19" i="4"/>
  <c r="E27" i="4"/>
  <c r="AF3" i="4"/>
  <c r="E28" i="4"/>
  <c r="E29" i="4"/>
  <c r="AF16" i="4"/>
  <c r="AF7" i="4"/>
  <c r="AF22" i="4"/>
  <c r="AF27" i="4"/>
  <c r="AF8" i="4"/>
  <c r="AF25" i="4"/>
  <c r="AF13" i="4"/>
  <c r="AF26" i="4"/>
  <c r="AF29" i="4"/>
  <c r="AF28" i="4"/>
  <c r="AF23" i="4"/>
  <c r="AF5" i="4"/>
  <c r="AF12" i="4"/>
  <c r="AF18" i="4"/>
  <c r="AF9" i="4"/>
  <c r="AF15" i="4"/>
  <c r="AF14" i="4"/>
  <c r="AF17" i="4"/>
  <c r="AF11" i="4"/>
  <c r="AF6" i="4"/>
  <c r="AF21" i="4"/>
  <c r="AF10" i="4"/>
  <c r="C11" i="17"/>
  <c r="D11" i="17"/>
  <c r="C10" i="17"/>
  <c r="D10" i="17"/>
  <c r="C7" i="17"/>
  <c r="D7" i="17"/>
  <c r="C5" i="17"/>
  <c r="D5" i="17"/>
  <c r="C6" i="17"/>
  <c r="D6" i="17"/>
  <c r="E30" i="4"/>
  <c r="C9" i="17"/>
  <c r="D9" i="17"/>
  <c r="C8" i="17"/>
  <c r="D8" i="17"/>
  <c r="J30" i="4"/>
  <c r="L16" i="4"/>
  <c r="L28" i="4"/>
  <c r="L20" i="4"/>
  <c r="L3" i="4"/>
  <c r="L4" i="4"/>
  <c r="L8" i="4"/>
  <c r="L24" i="4"/>
  <c r="L9" i="4"/>
  <c r="L19" i="4"/>
  <c r="L15" i="4"/>
  <c r="L23" i="4"/>
  <c r="L17" i="4"/>
  <c r="L5" i="4"/>
  <c r="K2" i="4"/>
  <c r="L12" i="4"/>
  <c r="L7" i="4"/>
  <c r="L11" i="4"/>
  <c r="L21" i="4"/>
  <c r="L6" i="4"/>
  <c r="L26" i="4"/>
  <c r="L25" i="4"/>
  <c r="L27" i="4"/>
  <c r="L2" i="4"/>
  <c r="O2" i="4"/>
  <c r="P2" i="4"/>
  <c r="L13" i="4"/>
  <c r="L29" i="4"/>
  <c r="L10" i="4"/>
  <c r="L14" i="4"/>
  <c r="L18" i="4"/>
  <c r="L22" i="4"/>
  <c r="Z3" i="4"/>
  <c r="K19" i="4"/>
  <c r="O3" i="4"/>
  <c r="O4" i="4"/>
  <c r="P4" i="4"/>
  <c r="Q4" i="4"/>
  <c r="O5" i="4"/>
  <c r="P5" i="4"/>
  <c r="Q5" i="4"/>
  <c r="O6" i="4"/>
  <c r="P6" i="4"/>
  <c r="Q6" i="4"/>
  <c r="O7" i="4"/>
  <c r="P7" i="4"/>
  <c r="Q7" i="4"/>
  <c r="O8" i="4"/>
  <c r="P8" i="4"/>
  <c r="Q8" i="4"/>
  <c r="O11" i="4"/>
  <c r="P11" i="4"/>
  <c r="Q11" i="4"/>
  <c r="O12" i="4"/>
  <c r="P12" i="4"/>
  <c r="Q12" i="4"/>
  <c r="O13" i="4"/>
  <c r="O15" i="4"/>
  <c r="P15" i="4"/>
  <c r="Q15" i="4"/>
  <c r="O16" i="4"/>
  <c r="P16" i="4"/>
  <c r="Q16" i="4"/>
  <c r="O17" i="4"/>
  <c r="O19" i="4"/>
  <c r="P19" i="4"/>
  <c r="Q19" i="4"/>
  <c r="O20" i="4"/>
  <c r="O21" i="4"/>
  <c r="P21" i="4"/>
  <c r="Q21" i="4"/>
  <c r="O22" i="4"/>
  <c r="P22" i="4"/>
  <c r="Q22" i="4"/>
  <c r="O23" i="4"/>
  <c r="P23" i="4"/>
  <c r="Q23" i="4"/>
  <c r="O24" i="4"/>
  <c r="O25" i="4"/>
  <c r="P25" i="4"/>
  <c r="Q25" i="4"/>
  <c r="O26" i="4"/>
  <c r="P26" i="4"/>
  <c r="Q26" i="4"/>
  <c r="O27" i="4"/>
  <c r="P27" i="4"/>
  <c r="Q27" i="4"/>
  <c r="O28" i="4"/>
  <c r="O29" i="4"/>
  <c r="P29" i="4"/>
  <c r="Q29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28" i="4"/>
  <c r="AG28" i="4"/>
  <c r="K17" i="4"/>
  <c r="K18" i="4"/>
  <c r="K20" i="4"/>
  <c r="AG2" i="4"/>
  <c r="K21" i="4"/>
  <c r="K22" i="4"/>
  <c r="K23" i="4"/>
  <c r="K24" i="4"/>
  <c r="AG24" i="4"/>
  <c r="K25" i="4"/>
  <c r="AG11" i="4"/>
  <c r="K26" i="4"/>
  <c r="AG19" i="4"/>
  <c r="K27" i="4"/>
  <c r="K29" i="4"/>
  <c r="AG16" i="4"/>
  <c r="AG22" i="4"/>
  <c r="AG4" i="4"/>
  <c r="AG7" i="4"/>
  <c r="AG8" i="4"/>
  <c r="AG26" i="4"/>
  <c r="AG20" i="4"/>
  <c r="AG27" i="4"/>
  <c r="AG13" i="4"/>
  <c r="AG25" i="4"/>
  <c r="AG17" i="4"/>
  <c r="AG23" i="4"/>
  <c r="AG5" i="4"/>
  <c r="AG18" i="4"/>
  <c r="AG9" i="4"/>
  <c r="AG6" i="4"/>
  <c r="AG3" i="4"/>
  <c r="AG12" i="4"/>
  <c r="AG15" i="4"/>
  <c r="AG14" i="4"/>
  <c r="AG29" i="4"/>
  <c r="AG21" i="4"/>
  <c r="AG10" i="4"/>
  <c r="P3" i="4"/>
  <c r="Q3" i="4"/>
  <c r="M17" i="4"/>
  <c r="N17" i="4"/>
  <c r="M25" i="4"/>
  <c r="N25" i="4"/>
  <c r="M24" i="4"/>
  <c r="N24" i="4"/>
  <c r="M16" i="4"/>
  <c r="N16" i="4"/>
  <c r="M8" i="4"/>
  <c r="N8" i="4"/>
  <c r="M15" i="4"/>
  <c r="N15" i="4"/>
  <c r="Q2" i="4"/>
  <c r="M28" i="4"/>
  <c r="N28" i="4"/>
  <c r="M5" i="4"/>
  <c r="N5" i="4"/>
  <c r="M20" i="4"/>
  <c r="N20" i="4"/>
  <c r="M27" i="4"/>
  <c r="N27" i="4"/>
  <c r="M11" i="4"/>
  <c r="N11" i="4"/>
  <c r="M14" i="4"/>
  <c r="N14" i="4"/>
  <c r="M18" i="4"/>
  <c r="N18" i="4"/>
  <c r="M10" i="4"/>
  <c r="N10" i="4"/>
  <c r="M9" i="4"/>
  <c r="N9" i="4"/>
  <c r="O18" i="4"/>
  <c r="P18" i="4"/>
  <c r="Q18" i="4"/>
  <c r="M26" i="4"/>
  <c r="N26" i="4"/>
  <c r="M4" i="4"/>
  <c r="N4" i="4"/>
  <c r="O10" i="4"/>
  <c r="P10" i="4"/>
  <c r="Q10" i="4"/>
  <c r="M12" i="4"/>
  <c r="N12" i="4"/>
  <c r="O9" i="4"/>
  <c r="P9" i="4"/>
  <c r="Q9" i="4"/>
  <c r="M3" i="4"/>
  <c r="N3" i="4"/>
  <c r="M7" i="4"/>
  <c r="N7" i="4"/>
  <c r="P28" i="4"/>
  <c r="Q28" i="4"/>
  <c r="P20" i="4"/>
  <c r="Q20" i="4"/>
  <c r="M23" i="4"/>
  <c r="N23" i="4"/>
  <c r="M13" i="4"/>
  <c r="N13" i="4"/>
  <c r="M6" i="4"/>
  <c r="N6" i="4"/>
  <c r="M22" i="4"/>
  <c r="N22" i="4"/>
  <c r="M2" i="4"/>
  <c r="N2" i="4"/>
  <c r="M21" i="4"/>
  <c r="N21" i="4"/>
  <c r="O14" i="4"/>
  <c r="P14" i="4"/>
  <c r="Q14" i="4"/>
  <c r="P17" i="4"/>
  <c r="Q17" i="4"/>
  <c r="M29" i="4"/>
  <c r="N29" i="4"/>
  <c r="P13" i="4"/>
  <c r="Q13" i="4"/>
  <c r="P24" i="4"/>
  <c r="Q24" i="4"/>
  <c r="M19" i="4"/>
  <c r="N19" i="4"/>
  <c r="O30" i="4"/>
  <c r="Q30" i="4"/>
  <c r="R9" i="4"/>
  <c r="R2" i="4"/>
  <c r="U2" i="4"/>
  <c r="R18" i="4"/>
  <c r="U18" i="4"/>
  <c r="R17" i="4"/>
  <c r="U17" i="4"/>
  <c r="R11" i="4"/>
  <c r="U11" i="4"/>
  <c r="R25" i="4"/>
  <c r="U25" i="4"/>
  <c r="R23" i="4"/>
  <c r="U23" i="4"/>
  <c r="R15" i="4"/>
  <c r="U15" i="4"/>
  <c r="R4" i="4"/>
  <c r="U4" i="4"/>
  <c r="R27" i="4"/>
  <c r="U27" i="4"/>
  <c r="R16" i="4"/>
  <c r="U16" i="4"/>
  <c r="R19" i="4"/>
  <c r="U19" i="4"/>
  <c r="R5" i="4"/>
  <c r="U5" i="4"/>
  <c r="R26" i="4"/>
  <c r="U26" i="4"/>
  <c r="R29" i="4"/>
  <c r="U29" i="4"/>
  <c r="R7" i="4"/>
  <c r="U7" i="4"/>
  <c r="R12" i="4"/>
  <c r="U12" i="4"/>
  <c r="R6" i="4"/>
  <c r="U6" i="4"/>
  <c r="R22" i="4"/>
  <c r="U22" i="4"/>
  <c r="R8" i="4"/>
  <c r="U8" i="4"/>
  <c r="R21" i="4"/>
  <c r="U21" i="4"/>
  <c r="R14" i="4"/>
  <c r="U14" i="4"/>
  <c r="R13" i="4"/>
  <c r="U13" i="4"/>
  <c r="R28" i="4"/>
  <c r="U28" i="4"/>
  <c r="R3" i="4"/>
  <c r="U3" i="4"/>
  <c r="R10" i="4"/>
  <c r="U10" i="4"/>
  <c r="R24" i="4"/>
  <c r="U24" i="4"/>
  <c r="R20" i="4"/>
  <c r="U20" i="4"/>
  <c r="U9" i="4"/>
  <c r="R30" i="4"/>
  <c r="S14" i="4"/>
  <c r="S23" i="4"/>
  <c r="T23" i="4"/>
  <c r="S6" i="4"/>
  <c r="V6" i="4"/>
  <c r="S17" i="4"/>
  <c r="V17" i="4"/>
  <c r="S25" i="4"/>
  <c r="V25" i="4"/>
  <c r="S22" i="4"/>
  <c r="V22" i="4"/>
  <c r="S16" i="4"/>
  <c r="V16" i="4"/>
  <c r="S18" i="4"/>
  <c r="T18" i="4"/>
  <c r="S3" i="4"/>
  <c r="V3" i="4"/>
  <c r="S20" i="4"/>
  <c r="T20" i="4"/>
  <c r="S12" i="4"/>
  <c r="V12" i="4"/>
  <c r="S13" i="4"/>
  <c r="T13" i="4"/>
  <c r="S21" i="4"/>
  <c r="V21" i="4"/>
  <c r="S26" i="4"/>
  <c r="V26" i="4"/>
  <c r="S27" i="4"/>
  <c r="V27" i="4"/>
  <c r="S15" i="4"/>
  <c r="T15" i="4"/>
  <c r="S7" i="4"/>
  <c r="T7" i="4"/>
  <c r="S9" i="4"/>
  <c r="T9" i="4"/>
  <c r="S2" i="4"/>
  <c r="V2" i="4"/>
  <c r="S19" i="4"/>
  <c r="V19" i="4"/>
  <c r="S11" i="4"/>
  <c r="T11" i="4"/>
  <c r="S8" i="4"/>
  <c r="V8" i="4"/>
  <c r="S4" i="4"/>
  <c r="V4" i="4"/>
  <c r="S24" i="4"/>
  <c r="V24" i="4"/>
  <c r="S28" i="4"/>
  <c r="T28" i="4"/>
  <c r="S29" i="4"/>
  <c r="V29" i="4"/>
  <c r="S10" i="4"/>
  <c r="T10" i="4"/>
  <c r="S5" i="4"/>
  <c r="V5" i="4"/>
  <c r="V14" i="4"/>
  <c r="T14" i="4"/>
  <c r="AH20" i="4"/>
  <c r="AI20" i="4"/>
  <c r="AH7" i="4"/>
  <c r="AI7" i="4"/>
  <c r="AH23" i="4"/>
  <c r="AI23" i="4"/>
  <c r="AH10" i="4"/>
  <c r="AI10" i="4"/>
  <c r="V23" i="4"/>
  <c r="T26" i="4"/>
  <c r="V11" i="4"/>
  <c r="V13" i="4"/>
  <c r="T12" i="4"/>
  <c r="T17" i="4"/>
  <c r="T6" i="4"/>
  <c r="V20" i="4"/>
  <c r="T27" i="4"/>
  <c r="V15" i="4"/>
  <c r="T16" i="4"/>
  <c r="T22" i="4"/>
  <c r="V9" i="4"/>
  <c r="T2" i="4"/>
  <c r="AH2" i="4"/>
  <c r="AI2" i="4"/>
  <c r="T8" i="4"/>
  <c r="AH15" i="4"/>
  <c r="AI15" i="4"/>
  <c r="T25" i="4"/>
  <c r="T21" i="4"/>
  <c r="T4" i="4"/>
  <c r="V18" i="4"/>
  <c r="V7" i="4"/>
  <c r="T19" i="4"/>
  <c r="T3" i="4"/>
  <c r="AH18" i="4"/>
  <c r="AI18" i="4"/>
  <c r="V28" i="4"/>
  <c r="T29" i="4"/>
  <c r="T24" i="4"/>
  <c r="AH24" i="4"/>
  <c r="AI24" i="4"/>
  <c r="V10" i="4"/>
  <c r="T5" i="4"/>
  <c r="S30" i="4"/>
  <c r="AH28" i="4"/>
  <c r="AI28" i="4"/>
  <c r="AH11" i="4"/>
  <c r="AI11" i="4"/>
  <c r="AH14" i="4"/>
  <c r="AI14" i="4"/>
  <c r="AH13" i="4"/>
  <c r="AI13" i="4"/>
  <c r="AH19" i="4"/>
  <c r="AI19" i="4"/>
  <c r="AH8" i="4"/>
  <c r="AI8" i="4"/>
  <c r="AH22" i="4"/>
  <c r="AI22" i="4"/>
  <c r="AH29" i="4"/>
  <c r="AI29" i="4"/>
  <c r="AH4" i="4"/>
  <c r="AI4" i="4"/>
  <c r="AH17" i="4"/>
  <c r="AI17" i="4"/>
  <c r="AH21" i="4"/>
  <c r="AI21" i="4"/>
  <c r="AH27" i="4"/>
  <c r="AI27" i="4"/>
  <c r="AH5" i="4"/>
  <c r="AI5" i="4"/>
  <c r="AH6" i="4"/>
  <c r="AI6" i="4"/>
  <c r="AH12" i="4"/>
  <c r="AI12" i="4"/>
  <c r="AH26" i="4"/>
  <c r="AI26" i="4"/>
  <c r="AH9" i="4"/>
  <c r="AI9" i="4"/>
  <c r="AH25" i="4"/>
  <c r="AI25" i="4"/>
  <c r="AH3" i="4"/>
  <c r="AI3" i="4"/>
  <c r="AH16" i="4"/>
  <c r="AI16" i="4"/>
  <c r="T30" i="4"/>
</calcChain>
</file>

<file path=xl/comments1.xml><?xml version="1.0" encoding="utf-8"?>
<comments xmlns="http://schemas.openxmlformats.org/spreadsheetml/2006/main">
  <authors>
    <author>Brown, Christopher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Brown, Christopher:</t>
        </r>
        <r>
          <rPr>
            <sz val="9"/>
            <color indexed="81"/>
            <rFont val="Tahoma"/>
            <family val="2"/>
          </rPr>
          <t xml:space="preserve">
Includes New Funds.  See columns AE and AF on "Outputs Results" tab</t>
        </r>
      </text>
    </comment>
  </commentList>
</comments>
</file>

<file path=xl/sharedStrings.xml><?xml version="1.0" encoding="utf-8"?>
<sst xmlns="http://schemas.openxmlformats.org/spreadsheetml/2006/main" count="291" uniqueCount="112">
  <si>
    <t>TIER</t>
  </si>
  <si>
    <t>COLLEGE</t>
  </si>
  <si>
    <t>Delta</t>
  </si>
  <si>
    <t>% Delta</t>
  </si>
  <si>
    <t>Total Difference</t>
  </si>
  <si>
    <t>Amount of Total Deficit</t>
  </si>
  <si>
    <t>North Florida College</t>
  </si>
  <si>
    <t>The College of the Florida Keys</t>
  </si>
  <si>
    <t>Chipola College</t>
  </si>
  <si>
    <t>Florida Gateway College</t>
  </si>
  <si>
    <t>South Florida State College</t>
  </si>
  <si>
    <t>Gulf Coast State College</t>
  </si>
  <si>
    <t>Lake-Sumter State College</t>
  </si>
  <si>
    <t>Northwest Florida State College</t>
  </si>
  <si>
    <t>St. Johns River State College</t>
  </si>
  <si>
    <t>College of Central Florida</t>
  </si>
  <si>
    <t>Polk State College</t>
  </si>
  <si>
    <t>Pensacola State College</t>
  </si>
  <si>
    <t>State College of Florida, Manatee-Sarasota</t>
  </si>
  <si>
    <t>Pasco-Hernando State College</t>
  </si>
  <si>
    <t>Tallahassee Community College</t>
  </si>
  <si>
    <t>Santa Fe College</t>
  </si>
  <si>
    <t>Florida SouthWestern State College</t>
  </si>
  <si>
    <t>Daytona State College</t>
  </si>
  <si>
    <t>Eastern Florida State College</t>
  </si>
  <si>
    <t>Indian River State College</t>
  </si>
  <si>
    <t>Seminole State College of Florida</t>
  </si>
  <si>
    <t>Florida State College at Jacksonville</t>
  </si>
  <si>
    <t>St. Petersburg College</t>
  </si>
  <si>
    <t>Hillsborough Community College</t>
  </si>
  <si>
    <t>Palm Beach State College</t>
  </si>
  <si>
    <t>Broward College</t>
  </si>
  <si>
    <t>Valencia College</t>
  </si>
  <si>
    <t>Miami Dade College</t>
  </si>
  <si>
    <t>System</t>
  </si>
  <si>
    <t>Tier</t>
  </si>
  <si>
    <t>Graduates</t>
  </si>
  <si>
    <t>Average Funds per Graduate</t>
  </si>
  <si>
    <t>Recurring Per Graduate</t>
  </si>
  <si>
    <t>This is a restructuring of the tier model by average number of graduates and per graduate average recurring funding.</t>
  </si>
  <si>
    <t>Proportional Share of New Funds by Deficit</t>
  </si>
  <si>
    <t>To Equity</t>
  </si>
  <si>
    <t>Model Proportional Share of New Funds by Grads. (Ratioed to projected funding)</t>
  </si>
  <si>
    <t>Total New Funds</t>
  </si>
  <si>
    <t>New Funding Per Graduate Equity Only</t>
  </si>
  <si>
    <t>.</t>
  </si>
  <si>
    <t>Total New $</t>
  </si>
  <si>
    <t>Change only within these cells.</t>
  </si>
  <si>
    <t>This model compares per graduate recurring funds to total graduate using averages for schools of similar size to generate the curve.</t>
  </si>
  <si>
    <t xml:space="preserve">PSAV grads. </t>
  </si>
  <si>
    <t>Postion</t>
  </si>
  <si>
    <t>Average Graduates</t>
  </si>
  <si>
    <t>Average Recurring Funds Per Graduate</t>
  </si>
  <si>
    <t>EXPECTED Per Graduate Funding</t>
  </si>
  <si>
    <t>To Resort By Tier</t>
  </si>
  <si>
    <t>A.A. Grads</t>
  </si>
  <si>
    <t>A.S. Grads</t>
  </si>
  <si>
    <t>Bacc Grads.</t>
  </si>
  <si>
    <t>*</t>
  </si>
  <si>
    <t>A</t>
  </si>
  <si>
    <t>B</t>
  </si>
  <si>
    <t>y=A*x^B</t>
  </si>
  <si>
    <t xml:space="preserve">EXPECTED Total Funding </t>
  </si>
  <si>
    <t>Universal Funding</t>
  </si>
  <si>
    <t>New Funding Per Graduate Universal</t>
  </si>
  <si>
    <t>General Revenue</t>
  </si>
  <si>
    <t xml:space="preserve">Lottery </t>
  </si>
  <si>
    <t xml:space="preserve">Incentive Funds </t>
  </si>
  <si>
    <t xml:space="preserve"> Recurring Funds Per Graduate</t>
  </si>
  <si>
    <t>NF</t>
  </si>
  <si>
    <t>FSW</t>
  </si>
  <si>
    <t>CF</t>
  </si>
  <si>
    <t>NWF</t>
  </si>
  <si>
    <t>PSC</t>
  </si>
  <si>
    <t>PHSC</t>
  </si>
  <si>
    <t>FGC</t>
  </si>
  <si>
    <t>LSSC</t>
  </si>
  <si>
    <t>DSC</t>
  </si>
  <si>
    <t>HCC</t>
  </si>
  <si>
    <t>EFSC</t>
  </si>
  <si>
    <t>IRSC</t>
  </si>
  <si>
    <t>MDC</t>
  </si>
  <si>
    <t>SFC</t>
  </si>
  <si>
    <t>SCF</t>
  </si>
  <si>
    <t>TCC</t>
  </si>
  <si>
    <t>SPC</t>
  </si>
  <si>
    <t>BC</t>
  </si>
  <si>
    <t>SSCF</t>
  </si>
  <si>
    <t>FSCJ</t>
  </si>
  <si>
    <t>PBSC</t>
  </si>
  <si>
    <t>VC</t>
  </si>
  <si>
    <t>CFK</t>
  </si>
  <si>
    <t>SFSC</t>
  </si>
  <si>
    <t>GCSC</t>
  </si>
  <si>
    <t>CC</t>
  </si>
  <si>
    <t>SJRSC</t>
  </si>
  <si>
    <t>Recurring Funds + New Funds</t>
  </si>
  <si>
    <t>Recurring per graduate (includes new funds)</t>
  </si>
  <si>
    <t xml:space="preserve"> Recurring Funds Per Graduate Including New Distributions</t>
  </si>
  <si>
    <t>5.4.1.T</t>
  </si>
  <si>
    <t>5.4.4.T</t>
  </si>
  <si>
    <t>5.5.4.T</t>
  </si>
  <si>
    <t>5.4.5.T</t>
  </si>
  <si>
    <t>POLK</t>
  </si>
  <si>
    <t xml:space="preserve"> Graduates</t>
  </si>
  <si>
    <t xml:space="preserve">Total Graduates </t>
  </si>
  <si>
    <t xml:space="preserve">Recurring Per Graduate </t>
  </si>
  <si>
    <t xml:space="preserve">Recurring Funds (2021-2022) </t>
  </si>
  <si>
    <t xml:space="preserve">Graduates         Degree Only 2021-2022  (Factbook) </t>
  </si>
  <si>
    <t>recurring funds to total graduate using averages for schools of similar size to generate the curve.</t>
  </si>
  <si>
    <t xml:space="preserve">using averages for schools of similar </t>
  </si>
  <si>
    <t>size to generate the curve.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</si>
</sst>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###,###,##0"/>
    <numFmt numFmtId="167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1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 applyFill="1" applyBorder="1"/>
    <xf numFmtId="0" fontId="0" fillId="2" borderId="0" xfId="0" applyFill="1"/>
    <xf numFmtId="44" fontId="0" fillId="0" borderId="0" xfId="1" applyFont="1"/>
    <xf numFmtId="9" fontId="0" fillId="2" borderId="0" xfId="2" applyFont="1" applyFill="1"/>
    <xf numFmtId="0" fontId="0" fillId="0" borderId="0" xfId="0" applyFill="1"/>
    <xf numFmtId="44" fontId="4" fillId="0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165" fontId="0" fillId="0" borderId="0" xfId="2" applyNumberFormat="1" applyFont="1" applyFill="1"/>
    <xf numFmtId="164" fontId="0" fillId="0" borderId="0" xfId="1" applyNumberFormat="1" applyFont="1" applyFill="1"/>
    <xf numFmtId="44" fontId="0" fillId="0" borderId="0" xfId="1" applyFont="1" applyFill="1"/>
    <xf numFmtId="44" fontId="0" fillId="2" borderId="0" xfId="1" applyFont="1" applyFill="1"/>
    <xf numFmtId="44" fontId="0" fillId="0" borderId="0" xfId="0" applyNumberFormat="1" applyFill="1"/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3" fontId="4" fillId="2" borderId="1" xfId="0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/>
    <xf numFmtId="0" fontId="8" fillId="2" borderId="10" xfId="0" applyFont="1" applyFill="1" applyBorder="1" applyAlignment="1">
      <alignment horizontal="center"/>
    </xf>
    <xf numFmtId="0" fontId="0" fillId="3" borderId="0" xfId="0" applyFill="1"/>
    <xf numFmtId="166" fontId="11" fillId="0" borderId="6" xfId="5" applyNumberFormat="1" applyFont="1" applyFill="1" applyBorder="1" applyAlignment="1">
      <alignment horizontal="right"/>
    </xf>
    <xf numFmtId="9" fontId="0" fillId="3" borderId="0" xfId="2" applyFont="1" applyFill="1"/>
    <xf numFmtId="166" fontId="11" fillId="0" borderId="11" xfId="5" applyNumberFormat="1" applyFont="1" applyFill="1" applyBorder="1" applyAlignment="1">
      <alignment horizontal="right"/>
    </xf>
    <xf numFmtId="166" fontId="11" fillId="0" borderId="8" xfId="5" applyNumberFormat="1" applyFont="1" applyFill="1" applyBorder="1" applyAlignment="1">
      <alignment horizontal="right"/>
    </xf>
    <xf numFmtId="166" fontId="11" fillId="0" borderId="5" xfId="5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166" fontId="11" fillId="0" borderId="0" xfId="5" applyNumberFormat="1" applyFont="1" applyFill="1" applyBorder="1" applyAlignment="1">
      <alignment horizontal="right"/>
    </xf>
    <xf numFmtId="166" fontId="11" fillId="0" borderId="3" xfId="5" applyNumberFormat="1" applyFont="1" applyFill="1" applyBorder="1" applyAlignment="1">
      <alignment horizontal="right"/>
    </xf>
    <xf numFmtId="166" fontId="11" fillId="0" borderId="2" xfId="5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 wrapText="1"/>
    </xf>
    <xf numFmtId="0" fontId="0" fillId="0" borderId="0" xfId="0"/>
    <xf numFmtId="166" fontId="11" fillId="0" borderId="4" xfId="5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6" fontId="11" fillId="0" borderId="9" xfId="5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166" fontId="11" fillId="0" borderId="7" xfId="5" applyNumberFormat="1" applyFont="1" applyFill="1" applyBorder="1" applyAlignment="1">
      <alignment horizontal="right"/>
    </xf>
    <xf numFmtId="0" fontId="0" fillId="2" borderId="12" xfId="0" applyFill="1" applyBorder="1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167" fontId="0" fillId="0" borderId="0" xfId="33" applyNumberFormat="1" applyFont="1"/>
    <xf numFmtId="0" fontId="8" fillId="0" borderId="0" xfId="0" applyFont="1" applyBorder="1" applyAlignment="1">
      <alignment horizontal="center"/>
    </xf>
    <xf numFmtId="167" fontId="0" fillId="0" borderId="0" xfId="33" applyNumberFormat="1" applyFont="1" applyBorder="1"/>
    <xf numFmtId="3" fontId="0" fillId="0" borderId="0" xfId="0" applyNumberFormat="1" applyFill="1"/>
    <xf numFmtId="0" fontId="3" fillId="0" borderId="0" xfId="0" applyFont="1" applyFill="1" applyAlignment="1">
      <alignment horizontal="centerContinuous" vertical="center" wrapText="1"/>
    </xf>
    <xf numFmtId="0" fontId="18" fillId="0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wrapText="1"/>
    </xf>
    <xf numFmtId="0" fontId="0" fillId="0" borderId="0" xfId="0" applyAlignme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" vertical="center" wrapText="1"/>
    </xf>
  </cellXfs>
  <cellStyles count="34">
    <cellStyle name="Comma" xfId="33" builtinId="3"/>
    <cellStyle name="Comma 2" xfId="4"/>
    <cellStyle name="Comma 3" xfId="25"/>
    <cellStyle name="Comma 4" xfId="28"/>
    <cellStyle name="Comma 5" xfId="12"/>
    <cellStyle name="Comma 5 2" xfId="29"/>
    <cellStyle name="Currency" xfId="1" builtinId="4"/>
    <cellStyle name="Currency 2" xfId="14"/>
    <cellStyle name="Currency 2 2" xfId="31"/>
    <cellStyle name="Normal" xfId="0" builtinId="0"/>
    <cellStyle name="Normal 2" xfId="5"/>
    <cellStyle name="Normal 2 2" xfId="3"/>
    <cellStyle name="Normal 2 2 2" xfId="8"/>
    <cellStyle name="Normal 2 3" xfId="21"/>
    <cellStyle name="Normal 2 4" xfId="6"/>
    <cellStyle name="Normal 3" xfId="7"/>
    <cellStyle name="Normal 3 2" xfId="16"/>
    <cellStyle name="Normal 3 3" xfId="18"/>
    <cellStyle name="Normal 4" xfId="9"/>
    <cellStyle name="Normal 4 2" xfId="10"/>
    <cellStyle name="Normal 4 3" xfId="22"/>
    <cellStyle name="Normal 5" xfId="15"/>
    <cellStyle name="Normal 5 2" xfId="23"/>
    <cellStyle name="Normal 6" xfId="17"/>
    <cellStyle name="Normal 6 2" xfId="24"/>
    <cellStyle name="Normal 7" xfId="26"/>
    <cellStyle name="Normal 8" xfId="27"/>
    <cellStyle name="Percent" xfId="2" builtinId="5"/>
    <cellStyle name="Percent 2" xfId="19"/>
    <cellStyle name="Percent 2 2" xfId="20"/>
    <cellStyle name="Percent 2 3" xfId="32"/>
    <cellStyle name="Percent 3" xfId="11"/>
    <cellStyle name="Percent 4" xfId="13"/>
    <cellStyle name="Percent 4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Generation'!$D$4</c:f>
              <c:strCache>
                <c:ptCount val="1"/>
                <c:pt idx="0">
                  <c:v>Average Recurring Funds Per Graduate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'Model Generation'!$C$5:$C$11</c:f>
              <c:numCache>
                <c:formatCode>0</c:formatCode>
                <c:ptCount val="7"/>
                <c:pt idx="0">
                  <c:v>395.33333333333331</c:v>
                </c:pt>
                <c:pt idx="1">
                  <c:v>699.33333333333337</c:v>
                </c:pt>
                <c:pt idx="2">
                  <c:v>1493</c:v>
                </c:pt>
                <c:pt idx="3">
                  <c:v>2527</c:v>
                </c:pt>
                <c:pt idx="4">
                  <c:v>3144.5</c:v>
                </c:pt>
                <c:pt idx="5">
                  <c:v>5163.25</c:v>
                </c:pt>
                <c:pt idx="6">
                  <c:v>9156</c:v>
                </c:pt>
              </c:numCache>
            </c:numRef>
          </c:xVal>
          <c:yVal>
            <c:numRef>
              <c:f>'Model Generation'!$D$5:$D$11</c:f>
              <c:numCache>
                <c:formatCode>_("$"* #,##0.00_);_("$"* \(#,##0.00\);_("$"* "-"??_);_(@_)</c:formatCode>
                <c:ptCount val="7"/>
                <c:pt idx="0">
                  <c:v>24628.628161888701</c:v>
                </c:pt>
                <c:pt idx="1">
                  <c:v>28356.897044804573</c:v>
                </c:pt>
                <c:pt idx="2">
                  <c:v>15105.969189551239</c:v>
                </c:pt>
                <c:pt idx="3">
                  <c:v>13839.354412346656</c:v>
                </c:pt>
                <c:pt idx="4">
                  <c:v>14679.696507128849</c:v>
                </c:pt>
                <c:pt idx="5">
                  <c:v>14351.844526218951</c:v>
                </c:pt>
                <c:pt idx="6">
                  <c:v>13333.800422309598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9-4145-BE20-F0FACE47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54742415553983"/>
          <c:y val="1.3513513513513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'28 Point Models'!$D$4</c:f>
              <c:strCache>
                <c:ptCount val="1"/>
                <c:pt idx="0">
                  <c:v> Recurring Funds Per Graduate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E8AA530-BA52-4979-AE8B-548A7E1CEC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EB-4EAA-9A1D-F2DFFD12C2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E93C8EE-58D7-4909-BB08-3F55CCAF95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EB-4EAA-9A1D-F2DFFD12C2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8B20583-A997-4A25-B7B6-790A5E39D6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EB-4EAA-9A1D-F2DFFD12C2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E58F83D-D08F-4814-B808-847AA23F44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EB-4EAA-9A1D-F2DFFD12C2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4D15ED3-9B22-42C1-8E50-9D41895D99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2EB-4EAA-9A1D-F2DFFD12C2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CAB93BD-A63B-4E59-8827-8C532FC45D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2EB-4EAA-9A1D-F2DFFD12C2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DF759C6-F043-4432-952A-769831BE41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2EB-4EAA-9A1D-F2DFFD12C2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E47BDBF-CD60-4AD9-B87F-EA9D02571B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2EB-4EAA-9A1D-F2DFFD12C2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0B0F123-169B-464F-9A20-B1B7B9FDB6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2EB-4EAA-9A1D-F2DFFD12C2A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F56E846-33BE-4993-84D0-CCCAE331DF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2EB-4EAA-9A1D-F2DFFD12C2A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4E60435-353D-4F56-9AB5-D23FC55AC2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2EB-4EAA-9A1D-F2DFFD12C2A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80C318A-D0AA-408B-9A58-8A4775D20E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2EB-4EAA-9A1D-F2DFFD12C2A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E34402FE-B6DE-49F1-B4E9-48450B6095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2EB-4EAA-9A1D-F2DFFD12C2A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395C9876-016B-4BCF-B1A2-E3C06FD41F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2EB-4EAA-9A1D-F2DFFD12C2A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F0296E71-66BB-4613-B981-2C1DCBF0BB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2EB-4EAA-9A1D-F2DFFD12C2A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95064660-F629-40C8-BBE7-AD2D4A83B3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2EB-4EAA-9A1D-F2DFFD12C2A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0C5FEC97-250A-47BD-8F18-64BAE9FB34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2EB-4EAA-9A1D-F2DFFD12C2A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809D8541-5019-41B0-B964-C4F1892767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2EB-4EAA-9A1D-F2DFFD12C2A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BF9A3BD9-5638-4B09-9F72-79942A1080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2EB-4EAA-9A1D-F2DFFD12C2A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A69C1BC9-90D1-4FEA-A45F-BB414B00A2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2EB-4EAA-9A1D-F2DFFD12C2A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40743074-1F19-4DBF-8DAA-240DCF5E29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2EB-4EAA-9A1D-F2DFFD12C2A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2E4A7F0A-1871-4BC9-BB1E-8C6B8A71B7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2EB-4EAA-9A1D-F2DFFD12C2A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BA3EDABE-0D39-44B8-9CF4-BBE702D589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2EB-4EAA-9A1D-F2DFFD12C2A6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8BB64A2C-6014-4A66-A68C-CF6B808158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2EB-4EAA-9A1D-F2DFFD12C2A6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092EE4FC-B902-4B53-938B-ED28573C12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2EB-4EAA-9A1D-F2DFFD12C2A6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91D89AF-A59C-411F-8D0D-72C215AD03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2EB-4EAA-9A1D-F2DFFD12C2A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D50C518D-FE87-4C94-9282-FBF3FC858C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2EB-4EAA-9A1D-F2DFFD12C2A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95E117FD-D7A9-4350-9A66-52BC46BEE3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42EB-4EAA-9A1D-F2DFFD12C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'28 Point Models'!$C$5:$C$32</c:f>
              <c:numCache>
                <c:formatCode>0</c:formatCode>
                <c:ptCount val="28"/>
                <c:pt idx="0">
                  <c:v>491</c:v>
                </c:pt>
                <c:pt idx="1">
                  <c:v>261</c:v>
                </c:pt>
                <c:pt idx="2" formatCode="General">
                  <c:v>815</c:v>
                </c:pt>
                <c:pt idx="3">
                  <c:v>489</c:v>
                </c:pt>
                <c:pt idx="4" formatCode="General">
                  <c:v>1313</c:v>
                </c:pt>
                <c:pt idx="5" formatCode="General">
                  <c:v>1936</c:v>
                </c:pt>
                <c:pt idx="6">
                  <c:v>1869</c:v>
                </c:pt>
                <c:pt idx="7" formatCode="General">
                  <c:v>436</c:v>
                </c:pt>
                <c:pt idx="8" formatCode="General">
                  <c:v>792</c:v>
                </c:pt>
                <c:pt idx="9">
                  <c:v>4429</c:v>
                </c:pt>
                <c:pt idx="10" formatCode="General">
                  <c:v>2191</c:v>
                </c:pt>
                <c:pt idx="11" formatCode="General">
                  <c:v>2992</c:v>
                </c:pt>
                <c:pt idx="12" formatCode="General">
                  <c:v>10726</c:v>
                </c:pt>
                <c:pt idx="13" formatCode="General">
                  <c:v>3152</c:v>
                </c:pt>
                <c:pt idx="14" formatCode="General">
                  <c:v>984</c:v>
                </c:pt>
                <c:pt idx="15">
                  <c:v>2991</c:v>
                </c:pt>
                <c:pt idx="16" formatCode="General">
                  <c:v>1406</c:v>
                </c:pt>
                <c:pt idx="17" formatCode="General">
                  <c:v>5724</c:v>
                </c:pt>
                <c:pt idx="18" formatCode="General">
                  <c:v>2686</c:v>
                </c:pt>
                <c:pt idx="19" formatCode="General">
                  <c:v>3270</c:v>
                </c:pt>
                <c:pt idx="20" formatCode="General">
                  <c:v>5380</c:v>
                </c:pt>
                <c:pt idx="21">
                  <c:v>5120</c:v>
                </c:pt>
                <c:pt idx="22" formatCode="General">
                  <c:v>7000</c:v>
                </c:pt>
                <c:pt idx="23" formatCode="General">
                  <c:v>3776</c:v>
                </c:pt>
                <c:pt idx="24" formatCode="General">
                  <c:v>2269</c:v>
                </c:pt>
                <c:pt idx="25" formatCode="General">
                  <c:v>9742</c:v>
                </c:pt>
                <c:pt idx="26" formatCode="General">
                  <c:v>3621</c:v>
                </c:pt>
                <c:pt idx="27" formatCode="General">
                  <c:v>3018</c:v>
                </c:pt>
              </c:numCache>
            </c:numRef>
          </c:xVal>
          <c:yVal>
            <c:numRef>
              <c:f>'28 Point Models'!$D$5:$D$32</c:f>
              <c:numCache>
                <c:formatCode>_("$"* #,##0.00_);_("$"* \(#,##0.00\);_("$"* "-"??_);_(@_)</c:formatCode>
                <c:ptCount val="28"/>
                <c:pt idx="0">
                  <c:v>41215.456211812627</c:v>
                </c:pt>
                <c:pt idx="1">
                  <c:v>32470.716475095785</c:v>
                </c:pt>
                <c:pt idx="2">
                  <c:v>30080.426993865032</c:v>
                </c:pt>
                <c:pt idx="3">
                  <c:v>25670.922290388549</c:v>
                </c:pt>
                <c:pt idx="4">
                  <c:v>22303.872048743335</c:v>
                </c:pt>
                <c:pt idx="5">
                  <c:v>19972.671487603307</c:v>
                </c:pt>
                <c:pt idx="6">
                  <c:v>19889.444087747459</c:v>
                </c:pt>
                <c:pt idx="7">
                  <c:v>18765.172018348625</c:v>
                </c:pt>
                <c:pt idx="8">
                  <c:v>18611.657828282827</c:v>
                </c:pt>
                <c:pt idx="9">
                  <c:v>17642.104989839692</c:v>
                </c:pt>
                <c:pt idx="10">
                  <c:v>17439.126882701963</c:v>
                </c:pt>
                <c:pt idx="11">
                  <c:v>17186.821858288771</c:v>
                </c:pt>
                <c:pt idx="12">
                  <c:v>16679.651967182548</c:v>
                </c:pt>
                <c:pt idx="13">
                  <c:v>16561.318210659898</c:v>
                </c:pt>
                <c:pt idx="14">
                  <c:v>15639.486788617885</c:v>
                </c:pt>
                <c:pt idx="15">
                  <c:v>15570.355733868271</c:v>
                </c:pt>
                <c:pt idx="16">
                  <c:v>14598.214082503557</c:v>
                </c:pt>
                <c:pt idx="17">
                  <c:v>13779.994060097833</c:v>
                </c:pt>
                <c:pt idx="18">
                  <c:v>13745.896500372301</c:v>
                </c:pt>
                <c:pt idx="19">
                  <c:v>13594.067889908258</c:v>
                </c:pt>
                <c:pt idx="20">
                  <c:v>13276.684944237919</c:v>
                </c:pt>
                <c:pt idx="21">
                  <c:v>13274.709179687499</c:v>
                </c:pt>
                <c:pt idx="22">
                  <c:v>13163.645714285714</c:v>
                </c:pt>
                <c:pt idx="23">
                  <c:v>12021.33845338983</c:v>
                </c:pt>
                <c:pt idx="24">
                  <c:v>11024.028206258263</c:v>
                </c:pt>
                <c:pt idx="25">
                  <c:v>9772.2606241018275</c:v>
                </c:pt>
                <c:pt idx="26">
                  <c:v>9609.4984810825736</c:v>
                </c:pt>
                <c:pt idx="27">
                  <c:v>8619.8339960238573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'28 Point Models'!$A$5:$A$32</c15:f>
                <c15:dlblRangeCache>
                  <c:ptCount val="28"/>
                  <c:pt idx="0">
                    <c:v>SFSC</c:v>
                  </c:pt>
                  <c:pt idx="1">
                    <c:v>CFK</c:v>
                  </c:pt>
                  <c:pt idx="2">
                    <c:v>GCSC</c:v>
                  </c:pt>
                  <c:pt idx="3">
                    <c:v>CC</c:v>
                  </c:pt>
                  <c:pt idx="4">
                    <c:v>CF</c:v>
                  </c:pt>
                  <c:pt idx="5">
                    <c:v>POLK</c:v>
                  </c:pt>
                  <c:pt idx="6">
                    <c:v>PHSC</c:v>
                  </c:pt>
                  <c:pt idx="7">
                    <c:v>NF</c:v>
                  </c:pt>
                  <c:pt idx="8">
                    <c:v>FGC</c:v>
                  </c:pt>
                  <c:pt idx="9">
                    <c:v>SPC</c:v>
                  </c:pt>
                  <c:pt idx="10">
                    <c:v>PSC</c:v>
                  </c:pt>
                  <c:pt idx="11">
                    <c:v>IRSC</c:v>
                  </c:pt>
                  <c:pt idx="12">
                    <c:v>MDC</c:v>
                  </c:pt>
                  <c:pt idx="13">
                    <c:v>DSC</c:v>
                  </c:pt>
                  <c:pt idx="14">
                    <c:v>LSSC</c:v>
                  </c:pt>
                  <c:pt idx="15">
                    <c:v>SSCF</c:v>
                  </c:pt>
                  <c:pt idx="16">
                    <c:v>NWF</c:v>
                  </c:pt>
                  <c:pt idx="17">
                    <c:v>FSCJ</c:v>
                  </c:pt>
                  <c:pt idx="18">
                    <c:v>FSW</c:v>
                  </c:pt>
                  <c:pt idx="19">
                    <c:v>SFC</c:v>
                  </c:pt>
                  <c:pt idx="20">
                    <c:v>HCC</c:v>
                  </c:pt>
                  <c:pt idx="21">
                    <c:v>PBSC</c:v>
                  </c:pt>
                  <c:pt idx="22">
                    <c:v>BC</c:v>
                  </c:pt>
                  <c:pt idx="23">
                    <c:v>EFSC</c:v>
                  </c:pt>
                  <c:pt idx="24">
                    <c:v>SJRSC</c:v>
                  </c:pt>
                  <c:pt idx="25">
                    <c:v>VC</c:v>
                  </c:pt>
                  <c:pt idx="26">
                    <c:v>TCC</c:v>
                  </c:pt>
                  <c:pt idx="27">
                    <c:v>SCF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98F-4A27-86C5-81CC0082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8454742415553983"/>
          <c:y val="1.3513513513513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'28 Point Models'!$D$38</c:f>
              <c:strCache>
                <c:ptCount val="1"/>
                <c:pt idx="0">
                  <c:v> Recurring Funds Per Graduate Including New Distributions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06A99DB-7EF1-40BF-B7C7-D02807C25D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101-41F4-8187-3965A67F1BC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A6702D4-A511-4EE8-99B7-46561D99F2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101-41F4-8187-3965A67F1BC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16D1A2B-85D3-4F9F-A8F2-2B001C3E60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101-41F4-8187-3965A67F1BC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9F5DE45-805F-4224-9021-20203440B3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101-41F4-8187-3965A67F1BC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81CF2D0-7435-4E15-A218-11BA4871E1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101-41F4-8187-3965A67F1BC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5DCF3DC-170F-4E0D-84B4-239402E12F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101-41F4-8187-3965A67F1BC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86E1463-BE52-4A04-827F-813A6CB17A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101-41F4-8187-3965A67F1BC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FC83421-F69F-4D22-973B-8405AECE2C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101-41F4-8187-3965A67F1BC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C3BF808-D62E-4F00-BBFE-88CEB786AB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101-41F4-8187-3965A67F1BC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33DDE66-F6A3-4521-B628-096DC5394F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101-41F4-8187-3965A67F1BC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38424D0F-AA48-4C60-A96B-64A2F10FCC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101-41F4-8187-3965A67F1BC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EF915A2-DD83-42F6-8569-9DE52CBC2E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101-41F4-8187-3965A67F1BC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31BEF709-04D8-4404-859B-B19D8E0545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101-41F4-8187-3965A67F1BCE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36BD0BDF-B525-4B87-AC23-00EE850B0C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101-41F4-8187-3965A67F1BC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5D6A14C7-9FF9-497C-A66D-312A4C5D4E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101-41F4-8187-3965A67F1BCE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5D87EA9F-265A-473A-97CD-3498948DFA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101-41F4-8187-3965A67F1BCE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8925AFC6-BE4C-4810-9DC4-A0CB84CD19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101-41F4-8187-3965A67F1BCE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812A0D1-34B9-4BB2-9C64-2E90271CBC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101-41F4-8187-3965A67F1BCE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B9F4D9C-0FFA-4288-89EA-17E627329B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101-41F4-8187-3965A67F1BCE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499AC690-307A-428B-BF88-717CEF00EB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101-41F4-8187-3965A67F1BCE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077AF132-CB43-4778-8186-E00149CB6B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101-41F4-8187-3965A67F1BCE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E924B100-75FC-456C-B9E3-8F4B4C9C90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F101-41F4-8187-3965A67F1BCE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F150D48C-4C8B-4CBE-AA9E-5DF86EBCF6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101-41F4-8187-3965A67F1BCE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A836321C-F1FA-4BE8-8609-BF64436849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101-41F4-8187-3965A67F1BCE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59DBDA0-6095-4B5B-B63E-BAAEFF8982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F101-41F4-8187-3965A67F1BCE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D1FF9E7D-A9EE-402D-9CE9-A44C68EC95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101-41F4-8187-3965A67F1BCE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C2118EF2-44FE-4D03-AFB8-63D6E6DB80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101-41F4-8187-3965A67F1BCE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11664B12-B245-45B4-A8AC-F8041BDF2C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F101-41F4-8187-3965A67F1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'28 Point Models'!$C$39:$C$66</c:f>
              <c:numCache>
                <c:formatCode>General</c:formatCode>
                <c:ptCount val="28"/>
                <c:pt idx="0">
                  <c:v>491</c:v>
                </c:pt>
                <c:pt idx="1">
                  <c:v>261</c:v>
                </c:pt>
                <c:pt idx="2">
                  <c:v>815</c:v>
                </c:pt>
                <c:pt idx="3">
                  <c:v>489</c:v>
                </c:pt>
                <c:pt idx="4">
                  <c:v>1313</c:v>
                </c:pt>
                <c:pt idx="5">
                  <c:v>1936</c:v>
                </c:pt>
                <c:pt idx="6">
                  <c:v>1869</c:v>
                </c:pt>
                <c:pt idx="7">
                  <c:v>436</c:v>
                </c:pt>
                <c:pt idx="8">
                  <c:v>792</c:v>
                </c:pt>
                <c:pt idx="9">
                  <c:v>4429</c:v>
                </c:pt>
                <c:pt idx="10">
                  <c:v>2191</c:v>
                </c:pt>
                <c:pt idx="11">
                  <c:v>2992</c:v>
                </c:pt>
                <c:pt idx="12">
                  <c:v>10726</c:v>
                </c:pt>
                <c:pt idx="13">
                  <c:v>3152</c:v>
                </c:pt>
                <c:pt idx="14">
                  <c:v>984</c:v>
                </c:pt>
                <c:pt idx="15">
                  <c:v>2991</c:v>
                </c:pt>
                <c:pt idx="16">
                  <c:v>1406</c:v>
                </c:pt>
                <c:pt idx="17">
                  <c:v>5724</c:v>
                </c:pt>
                <c:pt idx="18">
                  <c:v>2686</c:v>
                </c:pt>
                <c:pt idx="19">
                  <c:v>3270</c:v>
                </c:pt>
                <c:pt idx="20">
                  <c:v>5380</c:v>
                </c:pt>
                <c:pt idx="21">
                  <c:v>5120</c:v>
                </c:pt>
                <c:pt idx="22">
                  <c:v>7000</c:v>
                </c:pt>
                <c:pt idx="23">
                  <c:v>3776</c:v>
                </c:pt>
                <c:pt idx="24">
                  <c:v>2269</c:v>
                </c:pt>
                <c:pt idx="25">
                  <c:v>9742</c:v>
                </c:pt>
                <c:pt idx="26">
                  <c:v>3621</c:v>
                </c:pt>
                <c:pt idx="27">
                  <c:v>3018</c:v>
                </c:pt>
              </c:numCache>
            </c:numRef>
          </c:xVal>
          <c:yVal>
            <c:numRef>
              <c:f>'28 Point Models'!$D$39:$D$66</c:f>
              <c:numCache>
                <c:formatCode>_("$"* #,##0.00_);_("$"* \(#,##0.00\);_("$"* "-"??_);_(@_)</c:formatCode>
                <c:ptCount val="28"/>
                <c:pt idx="0">
                  <c:v>41215.456211812627</c:v>
                </c:pt>
                <c:pt idx="1">
                  <c:v>32470.716475095785</c:v>
                </c:pt>
                <c:pt idx="2">
                  <c:v>30080.426993865032</c:v>
                </c:pt>
                <c:pt idx="3">
                  <c:v>25670.922290388549</c:v>
                </c:pt>
                <c:pt idx="4">
                  <c:v>22303.872048743335</c:v>
                </c:pt>
                <c:pt idx="5">
                  <c:v>19972.671487603307</c:v>
                </c:pt>
                <c:pt idx="6">
                  <c:v>19889.444087747459</c:v>
                </c:pt>
                <c:pt idx="7">
                  <c:v>18765.172018348625</c:v>
                </c:pt>
                <c:pt idx="8">
                  <c:v>18611.657828282827</c:v>
                </c:pt>
                <c:pt idx="9">
                  <c:v>17642.104989839692</c:v>
                </c:pt>
                <c:pt idx="10">
                  <c:v>17439.126882701963</c:v>
                </c:pt>
                <c:pt idx="11">
                  <c:v>17186.821858288771</c:v>
                </c:pt>
                <c:pt idx="12">
                  <c:v>16679.651967182548</c:v>
                </c:pt>
                <c:pt idx="13">
                  <c:v>16561.318210659898</c:v>
                </c:pt>
                <c:pt idx="14">
                  <c:v>15639.486788617885</c:v>
                </c:pt>
                <c:pt idx="15">
                  <c:v>15570.355733868271</c:v>
                </c:pt>
                <c:pt idx="16">
                  <c:v>14598.214082503557</c:v>
                </c:pt>
                <c:pt idx="17">
                  <c:v>13779.994060097833</c:v>
                </c:pt>
                <c:pt idx="18">
                  <c:v>13745.896500372301</c:v>
                </c:pt>
                <c:pt idx="19">
                  <c:v>13594.067889908258</c:v>
                </c:pt>
                <c:pt idx="20">
                  <c:v>13276.684944237919</c:v>
                </c:pt>
                <c:pt idx="21">
                  <c:v>13274.709179687499</c:v>
                </c:pt>
                <c:pt idx="22">
                  <c:v>13163.645714285714</c:v>
                </c:pt>
                <c:pt idx="23">
                  <c:v>12021.33845338983</c:v>
                </c:pt>
                <c:pt idx="24">
                  <c:v>11024.028206258263</c:v>
                </c:pt>
                <c:pt idx="25">
                  <c:v>9772.2606241018275</c:v>
                </c:pt>
                <c:pt idx="26">
                  <c:v>9609.4984810825736</c:v>
                </c:pt>
                <c:pt idx="27">
                  <c:v>8619.8339960238573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'28 Point Models'!$A$5:$A$32</c15:f>
                <c15:dlblRangeCache>
                  <c:ptCount val="28"/>
                  <c:pt idx="0">
                    <c:v>SFSC</c:v>
                  </c:pt>
                  <c:pt idx="1">
                    <c:v>CFK</c:v>
                  </c:pt>
                  <c:pt idx="2">
                    <c:v>GCSC</c:v>
                  </c:pt>
                  <c:pt idx="3">
                    <c:v>CC</c:v>
                  </c:pt>
                  <c:pt idx="4">
                    <c:v>CF</c:v>
                  </c:pt>
                  <c:pt idx="5">
                    <c:v>POLK</c:v>
                  </c:pt>
                  <c:pt idx="6">
                    <c:v>PHSC</c:v>
                  </c:pt>
                  <c:pt idx="7">
                    <c:v>NF</c:v>
                  </c:pt>
                  <c:pt idx="8">
                    <c:v>FGC</c:v>
                  </c:pt>
                  <c:pt idx="9">
                    <c:v>SPC</c:v>
                  </c:pt>
                  <c:pt idx="10">
                    <c:v>PSC</c:v>
                  </c:pt>
                  <c:pt idx="11">
                    <c:v>IRSC</c:v>
                  </c:pt>
                  <c:pt idx="12">
                    <c:v>MDC</c:v>
                  </c:pt>
                  <c:pt idx="13">
                    <c:v>DSC</c:v>
                  </c:pt>
                  <c:pt idx="14">
                    <c:v>LSSC</c:v>
                  </c:pt>
                  <c:pt idx="15">
                    <c:v>SSCF</c:v>
                  </c:pt>
                  <c:pt idx="16">
                    <c:v>NWF</c:v>
                  </c:pt>
                  <c:pt idx="17">
                    <c:v>FSCJ</c:v>
                  </c:pt>
                  <c:pt idx="18">
                    <c:v>FSW</c:v>
                  </c:pt>
                  <c:pt idx="19">
                    <c:v>SFC</c:v>
                  </c:pt>
                  <c:pt idx="20">
                    <c:v>HCC</c:v>
                  </c:pt>
                  <c:pt idx="21">
                    <c:v>PBSC</c:v>
                  </c:pt>
                  <c:pt idx="22">
                    <c:v>BC</c:v>
                  </c:pt>
                  <c:pt idx="23">
                    <c:v>EFSC</c:v>
                  </c:pt>
                  <c:pt idx="24">
                    <c:v>SJRSC</c:v>
                  </c:pt>
                  <c:pt idx="25">
                    <c:v>VC</c:v>
                  </c:pt>
                  <c:pt idx="26">
                    <c:v>TCC</c:v>
                  </c:pt>
                  <c:pt idx="27">
                    <c:v>SCF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F101-41F4-8187-3965A67F1B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586154</xdr:colOff>
      <xdr:row>14</xdr:row>
      <xdr:rowOff>36635</xdr:rowOff>
    </xdr:to>
    <xdr:graphicFrame macro="">
      <xdr:nvGraphicFramePr>
        <xdr:cNvPr id="2" name="Chart 1" descr="Chart showing the Average recurring funds per graduate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295273</xdr:colOff>
      <xdr:row>5</xdr:row>
      <xdr:rowOff>76199</xdr:rowOff>
    </xdr:from>
    <xdr:to>
      <xdr:col>24</xdr:col>
      <xdr:colOff>57150</xdr:colOff>
      <xdr:row>33</xdr:row>
      <xdr:rowOff>104775</xdr:rowOff>
    </xdr:to>
    <xdr:graphicFrame macro="">
      <xdr:nvGraphicFramePr>
        <xdr:cNvPr id="2" name="Chart 1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39</xdr:row>
      <xdr:rowOff>76200</xdr:rowOff>
    </xdr:from>
    <xdr:to>
      <xdr:col>24</xdr:col>
      <xdr:colOff>66677</xdr:colOff>
      <xdr:row>67</xdr:row>
      <xdr:rowOff>104776</xdr:rowOff>
    </xdr:to>
    <xdr:graphicFrame macro="">
      <xdr:nvGraphicFramePr>
        <xdr:cNvPr id="11" name="Chart 10" descr="Chart showing the Recurring funds per graduate including the new distribution amounts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60"/>
  <sheetViews>
    <sheetView tabSelected="1" zoomScale="76" workbookViewId="0"/>
  </sheetViews>
  <sheetFormatPr defaultRowHeight="15"/>
  <cols>
    <col min="1" max="1" width="8.85546875" style="31"/>
    <col min="4" max="4" width="37.7109375" bestFit="1" customWidth="1"/>
    <col min="5" max="5" width="18.42578125" customWidth="1"/>
    <col min="6" max="8" width="18.42578125" style="31" customWidth="1"/>
    <col min="9" max="9" width="18.42578125" customWidth="1"/>
    <col min="10" max="10" width="17.28515625" customWidth="1"/>
    <col min="11" max="11" width="16.28515625" customWidth="1"/>
    <col min="12" max="13" width="9.7109375" customWidth="1"/>
    <col min="14" max="14" width="8.85546875" customWidth="1"/>
    <col min="15" max="15" width="16.5703125" bestFit="1" customWidth="1"/>
    <col min="16" max="17" width="15.28515625" customWidth="1"/>
    <col min="18" max="18" width="17.42578125" bestFit="1" customWidth="1"/>
    <col min="19" max="19" width="15.7109375" bestFit="1" customWidth="1"/>
    <col min="20" max="20" width="15.28515625" customWidth="1"/>
    <col min="21" max="21" width="12.5703125" customWidth="1"/>
    <col min="22" max="22" width="12.85546875" customWidth="1"/>
    <col min="23" max="23" width="10.7109375" bestFit="1" customWidth="1"/>
    <col min="24" max="24" width="17.28515625" bestFit="1" customWidth="1"/>
    <col min="25" max="25" width="14.140625" customWidth="1"/>
    <col min="26" max="26" width="16.42578125" bestFit="1" customWidth="1"/>
    <col min="28" max="28" width="6.5703125" style="31" customWidth="1"/>
    <col min="29" max="30" width="5.5703125" style="31" customWidth="1"/>
    <col min="31" max="31" width="40.42578125" customWidth="1"/>
    <col min="32" max="32" width="13.85546875" style="31" customWidth="1"/>
    <col min="33" max="33" width="18.28515625" style="31" customWidth="1"/>
    <col min="34" max="34" width="18.28515625" customWidth="1"/>
    <col min="35" max="35" width="21.42578125" customWidth="1"/>
  </cols>
  <sheetData>
    <row r="1" spans="1:36" s="7" customFormat="1" ht="107.25" customHeight="1">
      <c r="A1" s="16" t="s">
        <v>54</v>
      </c>
      <c r="B1" s="38" t="s">
        <v>0</v>
      </c>
      <c r="C1" s="38" t="s">
        <v>50</v>
      </c>
      <c r="D1" s="38" t="s">
        <v>1</v>
      </c>
      <c r="E1" s="16" t="s">
        <v>108</v>
      </c>
      <c r="F1" s="15" t="s">
        <v>55</v>
      </c>
      <c r="G1" s="15" t="s">
        <v>56</v>
      </c>
      <c r="H1" s="15" t="s">
        <v>57</v>
      </c>
      <c r="I1" s="15" t="s">
        <v>49</v>
      </c>
      <c r="J1" s="16" t="s">
        <v>107</v>
      </c>
      <c r="K1" s="15" t="s">
        <v>38</v>
      </c>
      <c r="L1" s="15" t="s">
        <v>53</v>
      </c>
      <c r="M1" s="15" t="s">
        <v>2</v>
      </c>
      <c r="N1" s="15" t="s">
        <v>3</v>
      </c>
      <c r="O1" s="15" t="s">
        <v>62</v>
      </c>
      <c r="P1" s="15" t="s">
        <v>4</v>
      </c>
      <c r="Q1" s="15" t="s">
        <v>5</v>
      </c>
      <c r="R1" s="15" t="s">
        <v>40</v>
      </c>
      <c r="S1" s="15" t="s">
        <v>42</v>
      </c>
      <c r="T1" s="15" t="s">
        <v>43</v>
      </c>
      <c r="U1" s="15" t="s">
        <v>44</v>
      </c>
      <c r="V1" s="15" t="s">
        <v>64</v>
      </c>
      <c r="X1" s="47" t="s">
        <v>47</v>
      </c>
      <c r="Y1" s="47"/>
      <c r="Z1" s="20"/>
      <c r="AB1" s="42"/>
      <c r="AC1" s="42"/>
      <c r="AD1" s="42"/>
      <c r="AF1" s="15" t="s">
        <v>105</v>
      </c>
      <c r="AG1" s="15" t="s">
        <v>106</v>
      </c>
      <c r="AH1" s="15" t="s">
        <v>96</v>
      </c>
      <c r="AI1" s="15" t="s">
        <v>97</v>
      </c>
    </row>
    <row r="2" spans="1:36" s="7" customFormat="1" ht="14.65" customHeight="1">
      <c r="A2" s="4">
        <v>1</v>
      </c>
      <c r="B2" s="38">
        <v>1</v>
      </c>
      <c r="C2" s="38">
        <v>16</v>
      </c>
      <c r="D2" s="38" t="s">
        <v>6</v>
      </c>
      <c r="E2" s="17">
        <f>SUM(F2:I2)</f>
        <v>436</v>
      </c>
      <c r="F2" s="24">
        <v>156</v>
      </c>
      <c r="G2" s="24">
        <v>67</v>
      </c>
      <c r="H2" s="29">
        <v>130</v>
      </c>
      <c r="I2" s="23">
        <v>83</v>
      </c>
      <c r="J2" s="18">
        <v>8181615</v>
      </c>
      <c r="K2" s="8">
        <f>J2/E2</f>
        <v>18765.172018348625</v>
      </c>
      <c r="L2" s="3">
        <f>'Model Generation'!$M$5*'Outputs Results'!E2^'Model Generation'!$N$5</f>
        <v>28005.647871337882</v>
      </c>
      <c r="M2" s="9">
        <f>K2-L2</f>
        <v>-9240.475852989257</v>
      </c>
      <c r="N2" s="10">
        <f>M2/L2</f>
        <v>-0.32995044054832723</v>
      </c>
      <c r="O2" s="11">
        <f>L2*E2</f>
        <v>12210462.471903317</v>
      </c>
      <c r="P2" s="9">
        <f>O2-J2</f>
        <v>4028847.4719033167</v>
      </c>
      <c r="Q2" s="9">
        <f>IF(P2&gt;0,P2,"")</f>
        <v>4028847.4719033167</v>
      </c>
      <c r="R2" s="9">
        <f>IFERROR((Q2/$Q$30)*$X$3*$Y$3,"0")</f>
        <v>0</v>
      </c>
      <c r="S2" s="9">
        <f>($X$3-$R$30) * ( O2 / $O$30 )</f>
        <v>0</v>
      </c>
      <c r="T2" s="9">
        <f>R2+S2</f>
        <v>0</v>
      </c>
      <c r="U2" s="9">
        <f>R2/E2</f>
        <v>0</v>
      </c>
      <c r="V2" s="14">
        <f>S2/E2</f>
        <v>0</v>
      </c>
      <c r="X2" s="16" t="s">
        <v>46</v>
      </c>
      <c r="Y2" s="4" t="s">
        <v>41</v>
      </c>
      <c r="Z2" s="20" t="s">
        <v>63</v>
      </c>
      <c r="AB2" s="38">
        <v>1</v>
      </c>
      <c r="AC2" s="41">
        <v>16</v>
      </c>
      <c r="AD2" s="31" t="s">
        <v>69</v>
      </c>
      <c r="AE2" s="38" t="s">
        <v>6</v>
      </c>
      <c r="AF2" s="44">
        <f t="shared" ref="AF2:AF29" si="0">E2</f>
        <v>436</v>
      </c>
      <c r="AG2" s="14">
        <f t="shared" ref="AG2:AG29" si="1">K2</f>
        <v>18765.172018348625</v>
      </c>
      <c r="AH2" s="9">
        <f t="shared" ref="AH2:AH29" si="2">J2+T2</f>
        <v>8181615</v>
      </c>
      <c r="AI2" s="14">
        <f t="shared" ref="AI2:AI29" si="3">AH2/E2</f>
        <v>18765.172018348625</v>
      </c>
    </row>
    <row r="3" spans="1:36" s="7" customFormat="1" ht="14.65" customHeight="1">
      <c r="A3" s="4">
        <v>2</v>
      </c>
      <c r="B3" s="38">
        <v>1</v>
      </c>
      <c r="C3" s="38">
        <v>8</v>
      </c>
      <c r="D3" s="38" t="s">
        <v>7</v>
      </c>
      <c r="E3" s="17">
        <f>SUM(F3:I3)</f>
        <v>261</v>
      </c>
      <c r="F3" s="36">
        <v>73</v>
      </c>
      <c r="G3" s="36">
        <v>104</v>
      </c>
      <c r="H3" s="25">
        <v>27</v>
      </c>
      <c r="I3" s="28">
        <v>57</v>
      </c>
      <c r="J3" s="18">
        <v>8474857</v>
      </c>
      <c r="K3" s="8">
        <f>J3/E3</f>
        <v>32470.716475095785</v>
      </c>
      <c r="L3" s="3">
        <f>'Model Generation'!$M$5*'Outputs Results'!E3^'Model Generation'!$N$5</f>
        <v>32117.778678994116</v>
      </c>
      <c r="M3" s="9">
        <f>K3-L3</f>
        <v>352.93779610166894</v>
      </c>
      <c r="N3" s="10">
        <f>M3/L3</f>
        <v>1.0988860706375676E-2</v>
      </c>
      <c r="O3" s="11">
        <f>L3*E3</f>
        <v>8382740.2352174642</v>
      </c>
      <c r="P3" s="9">
        <f>O3-J3</f>
        <v>-92116.764782535844</v>
      </c>
      <c r="Q3" s="9" t="str">
        <f>IF(P3&gt;0,P3,"")</f>
        <v/>
      </c>
      <c r="R3" s="9" t="str">
        <f>IFERROR((Q3/$Q$30)*$X$3*$Y$3,"0")</f>
        <v>0</v>
      </c>
      <c r="S3" s="9">
        <f>($X$3-$R$30) * ( O3 / $O$30 )</f>
        <v>0</v>
      </c>
      <c r="T3" s="9">
        <f>R3+S3</f>
        <v>0</v>
      </c>
      <c r="U3" s="9">
        <f>R3/E3</f>
        <v>0</v>
      </c>
      <c r="V3" s="14">
        <f>S3/E3</f>
        <v>0</v>
      </c>
      <c r="X3" s="13">
        <v>0</v>
      </c>
      <c r="Y3" s="6">
        <v>0.5</v>
      </c>
      <c r="Z3" s="22">
        <f>1-Y3</f>
        <v>0.5</v>
      </c>
      <c r="AB3" s="38">
        <v>2</v>
      </c>
      <c r="AC3" s="41">
        <v>8</v>
      </c>
      <c r="AD3" s="31" t="s">
        <v>91</v>
      </c>
      <c r="AE3" s="38" t="s">
        <v>7</v>
      </c>
      <c r="AF3" s="44">
        <f t="shared" si="0"/>
        <v>261</v>
      </c>
      <c r="AG3" s="14">
        <f t="shared" si="1"/>
        <v>32470.716475095785</v>
      </c>
      <c r="AH3" s="9">
        <f t="shared" si="2"/>
        <v>8474857</v>
      </c>
      <c r="AI3" s="14">
        <f t="shared" si="3"/>
        <v>32470.716475095785</v>
      </c>
      <c r="AJ3" s="31"/>
    </row>
    <row r="4" spans="1:36" s="7" customFormat="1" ht="14.65" customHeight="1">
      <c r="A4" s="4">
        <v>3</v>
      </c>
      <c r="B4" s="38">
        <v>1</v>
      </c>
      <c r="C4" s="38">
        <v>4</v>
      </c>
      <c r="D4" s="38" t="s">
        <v>8</v>
      </c>
      <c r="E4" s="17">
        <f>SUM(F4:I4)</f>
        <v>489</v>
      </c>
      <c r="F4" s="36">
        <v>221</v>
      </c>
      <c r="G4" s="36">
        <v>68</v>
      </c>
      <c r="H4" s="25">
        <v>87</v>
      </c>
      <c r="I4" s="28">
        <v>113</v>
      </c>
      <c r="J4" s="18">
        <v>12553081</v>
      </c>
      <c r="K4" s="8">
        <f>J4/E4</f>
        <v>25670.922290388549</v>
      </c>
      <c r="L4" s="3">
        <f>'Model Generation'!$M$5*'Outputs Results'!E4^'Model Generation'!$N$5</f>
        <v>27160.830867502838</v>
      </c>
      <c r="M4" s="9">
        <f>K4-L4</f>
        <v>-1489.9085771142891</v>
      </c>
      <c r="N4" s="10">
        <f>M4/L4</f>
        <v>-5.4855044176756844E-2</v>
      </c>
      <c r="O4" s="11">
        <f>L4*E4</f>
        <v>13281646.294208888</v>
      </c>
      <c r="P4" s="9">
        <f>O4-J4</f>
        <v>728565.29420888796</v>
      </c>
      <c r="Q4" s="9">
        <f>IF(P4&gt;0,P4,"")</f>
        <v>728565.29420888796</v>
      </c>
      <c r="R4" s="9">
        <f>IFERROR((Q4/$Q$30)*$X$3*$Y$3,"0")</f>
        <v>0</v>
      </c>
      <c r="S4" s="9">
        <f>($X$3-$R$30) * ( O4 / $O$30 )</f>
        <v>0</v>
      </c>
      <c r="T4" s="9">
        <f>R4+S4</f>
        <v>0</v>
      </c>
      <c r="U4" s="9">
        <f>R4/E4</f>
        <v>0</v>
      </c>
      <c r="V4" s="14">
        <f>S4/E4</f>
        <v>0</v>
      </c>
      <c r="Y4" s="7" t="s">
        <v>45</v>
      </c>
      <c r="AB4" s="41">
        <v>3</v>
      </c>
      <c r="AC4" s="43">
        <v>4</v>
      </c>
      <c r="AD4" s="31" t="s">
        <v>94</v>
      </c>
      <c r="AE4" s="38" t="s">
        <v>8</v>
      </c>
      <c r="AF4" s="44">
        <f t="shared" si="0"/>
        <v>489</v>
      </c>
      <c r="AG4" s="14">
        <f t="shared" si="1"/>
        <v>25670.922290388549</v>
      </c>
      <c r="AH4" s="9">
        <f t="shared" si="2"/>
        <v>12553081</v>
      </c>
      <c r="AI4" s="14">
        <f t="shared" si="3"/>
        <v>25670.922290388549</v>
      </c>
    </row>
    <row r="5" spans="1:36" s="7" customFormat="1" ht="14.65" customHeight="1">
      <c r="A5" s="4">
        <v>4</v>
      </c>
      <c r="B5" s="38">
        <v>2</v>
      </c>
      <c r="C5" s="38">
        <v>12</v>
      </c>
      <c r="D5" s="38" t="s">
        <v>9</v>
      </c>
      <c r="E5" s="17">
        <f>SUM(F5:I5)</f>
        <v>792</v>
      </c>
      <c r="F5" s="36">
        <v>308</v>
      </c>
      <c r="G5" s="36">
        <v>161</v>
      </c>
      <c r="H5" s="25">
        <v>70</v>
      </c>
      <c r="I5" s="28">
        <v>253</v>
      </c>
      <c r="J5" s="18">
        <v>14740433</v>
      </c>
      <c r="K5" s="8">
        <f>J5/E5</f>
        <v>18611.657828282827</v>
      </c>
      <c r="L5" s="3">
        <f>'Model Generation'!$M$5*'Outputs Results'!E5^'Model Generation'!$N$5</f>
        <v>23879.701462715257</v>
      </c>
      <c r="M5" s="9">
        <f>K5-L5</f>
        <v>-5268.0436344324298</v>
      </c>
      <c r="N5" s="10">
        <f>M5/L5</f>
        <v>-0.22060760025236192</v>
      </c>
      <c r="O5" s="11">
        <f>L5*E5</f>
        <v>18912723.558470484</v>
      </c>
      <c r="P5" s="9">
        <f>O5-J5</f>
        <v>4172290.5584704839</v>
      </c>
      <c r="Q5" s="9">
        <f>IF(P5&gt;0,P5,"")</f>
        <v>4172290.5584704839</v>
      </c>
      <c r="R5" s="9">
        <f>IFERROR((Q5/$Q$30)*$X$3*$Y$3,"0")</f>
        <v>0</v>
      </c>
      <c r="S5" s="9">
        <f>($X$3-$R$30) * ( O5 / $O$30 )</f>
        <v>0</v>
      </c>
      <c r="T5" s="9">
        <f>R5+S5</f>
        <v>0</v>
      </c>
      <c r="U5" s="9">
        <f>R5/E5</f>
        <v>0</v>
      </c>
      <c r="V5" s="14">
        <f>S5/E5</f>
        <v>0</v>
      </c>
      <c r="X5" s="46" t="s">
        <v>48</v>
      </c>
      <c r="Y5" s="46"/>
      <c r="Z5" s="46"/>
      <c r="AA5" s="30"/>
      <c r="AB5" s="38">
        <v>4</v>
      </c>
      <c r="AC5" s="41">
        <v>12</v>
      </c>
      <c r="AD5" s="31" t="s">
        <v>75</v>
      </c>
      <c r="AE5" s="38" t="s">
        <v>9</v>
      </c>
      <c r="AF5" s="44">
        <f t="shared" si="0"/>
        <v>792</v>
      </c>
      <c r="AG5" s="14">
        <f t="shared" si="1"/>
        <v>18611.657828282827</v>
      </c>
      <c r="AH5" s="9">
        <f t="shared" si="2"/>
        <v>14740433</v>
      </c>
      <c r="AI5" s="14">
        <f t="shared" si="3"/>
        <v>18611.657828282827</v>
      </c>
    </row>
    <row r="6" spans="1:36" s="7" customFormat="1" ht="14.65" customHeight="1">
      <c r="A6" s="4">
        <v>5</v>
      </c>
      <c r="B6" s="38">
        <v>2</v>
      </c>
      <c r="C6" s="38">
        <v>26</v>
      </c>
      <c r="D6" s="38" t="s">
        <v>10</v>
      </c>
      <c r="E6" s="17">
        <f>SUM(F6:I6)</f>
        <v>491</v>
      </c>
      <c r="F6" s="36">
        <v>224</v>
      </c>
      <c r="G6" s="36">
        <v>111</v>
      </c>
      <c r="H6" s="25">
        <v>24</v>
      </c>
      <c r="I6" s="28">
        <v>132</v>
      </c>
      <c r="J6" s="18">
        <v>20236789</v>
      </c>
      <c r="K6" s="8">
        <f>J6/E6</f>
        <v>41215.456211812627</v>
      </c>
      <c r="L6" s="3">
        <f>'Model Generation'!$M$5*'Outputs Results'!E6^'Model Generation'!$N$5</f>
        <v>27131.247186827761</v>
      </c>
      <c r="M6" s="9">
        <f>K6-L6</f>
        <v>14084.209024984866</v>
      </c>
      <c r="N6" s="10">
        <f>M6/L6</f>
        <v>0.51911395476956768</v>
      </c>
      <c r="O6" s="11">
        <f>L6*E6</f>
        <v>13321442.36873243</v>
      </c>
      <c r="P6" s="9">
        <f>O6-J6</f>
        <v>-6915346.63126757</v>
      </c>
      <c r="Q6" s="9" t="str">
        <f>IF(P6&gt;0,P6,"")</f>
        <v/>
      </c>
      <c r="R6" s="9" t="str">
        <f>IFERROR((Q6/$Q$30)*$X$3*$Y$3,"0")</f>
        <v>0</v>
      </c>
      <c r="S6" s="9">
        <f>($X$3-$R$30) * ( O6 / $O$30 )</f>
        <v>0</v>
      </c>
      <c r="T6" s="9">
        <f>R6+S6</f>
        <v>0</v>
      </c>
      <c r="U6" s="9">
        <f>R6/E6</f>
        <v>0</v>
      </c>
      <c r="V6" s="14">
        <f>S6/E6</f>
        <v>0</v>
      </c>
      <c r="X6" s="46" t="s">
        <v>109</v>
      </c>
      <c r="Y6" s="46"/>
      <c r="Z6" s="46"/>
      <c r="AA6" s="30"/>
      <c r="AB6" s="31">
        <v>5</v>
      </c>
      <c r="AC6" s="38">
        <v>26</v>
      </c>
      <c r="AD6" s="31" t="s">
        <v>92</v>
      </c>
      <c r="AE6" s="38" t="s">
        <v>10</v>
      </c>
      <c r="AF6" s="44">
        <f t="shared" si="0"/>
        <v>491</v>
      </c>
      <c r="AG6" s="14">
        <f t="shared" si="1"/>
        <v>41215.456211812627</v>
      </c>
      <c r="AH6" s="9">
        <f t="shared" si="2"/>
        <v>20236789</v>
      </c>
      <c r="AI6" s="14">
        <f t="shared" si="3"/>
        <v>41215.456211812627</v>
      </c>
    </row>
    <row r="7" spans="1:36" s="7" customFormat="1" ht="14.65" customHeight="1">
      <c r="A7" s="4">
        <v>6</v>
      </c>
      <c r="B7" s="38">
        <v>2</v>
      </c>
      <c r="C7" s="38">
        <v>9</v>
      </c>
      <c r="D7" s="38" t="s">
        <v>11</v>
      </c>
      <c r="E7" s="17">
        <f>SUM(F7:I7)</f>
        <v>815</v>
      </c>
      <c r="F7" s="36">
        <v>383</v>
      </c>
      <c r="G7" s="36">
        <v>254</v>
      </c>
      <c r="H7" s="25">
        <v>79</v>
      </c>
      <c r="I7" s="28">
        <v>99</v>
      </c>
      <c r="J7" s="18">
        <v>24515548</v>
      </c>
      <c r="K7" s="8">
        <f>J7/E7</f>
        <v>30080.426993865032</v>
      </c>
      <c r="L7" s="3">
        <f>'Model Generation'!$M$5*'Outputs Results'!E7^'Model Generation'!$N$5</f>
        <v>23697.876672836595</v>
      </c>
      <c r="M7" s="9">
        <f>K7-L7</f>
        <v>6382.5503210284369</v>
      </c>
      <c r="N7" s="10">
        <f>M7/L7</f>
        <v>0.26933005049960268</v>
      </c>
      <c r="O7" s="11">
        <f>L7*E7</f>
        <v>19313769.488361824</v>
      </c>
      <c r="P7" s="9">
        <f>O7-J7</f>
        <v>-5201778.5116381757</v>
      </c>
      <c r="Q7" s="9" t="str">
        <f>IF(P7&gt;0,P7,"")</f>
        <v/>
      </c>
      <c r="R7" s="9" t="str">
        <f>IFERROR((Q7/$Q$30)*$X$3*$Y$3,"0")</f>
        <v>0</v>
      </c>
      <c r="S7" s="9">
        <f>($X$3-$R$30) * ( O7 / $O$30 )</f>
        <v>0</v>
      </c>
      <c r="T7" s="9">
        <f>R7+S7</f>
        <v>0</v>
      </c>
      <c r="U7" s="9">
        <f>R7/E7</f>
        <v>0</v>
      </c>
      <c r="V7" s="14">
        <f>S7/E7</f>
        <v>0</v>
      </c>
      <c r="X7" s="46" t="s">
        <v>110</v>
      </c>
      <c r="Y7" s="46"/>
      <c r="Z7" s="46"/>
      <c r="AA7" s="30"/>
      <c r="AB7" s="38">
        <v>6</v>
      </c>
      <c r="AC7" s="38">
        <v>9</v>
      </c>
      <c r="AD7" s="31" t="s">
        <v>93</v>
      </c>
      <c r="AE7" s="38" t="s">
        <v>11</v>
      </c>
      <c r="AF7" s="44">
        <f t="shared" si="0"/>
        <v>815</v>
      </c>
      <c r="AG7" s="14">
        <f t="shared" si="1"/>
        <v>30080.426993865032</v>
      </c>
      <c r="AH7" s="9">
        <f t="shared" si="2"/>
        <v>24515548</v>
      </c>
      <c r="AI7" s="14">
        <f t="shared" si="3"/>
        <v>30080.426993865032</v>
      </c>
    </row>
    <row r="8" spans="1:36" s="7" customFormat="1" ht="14.65" customHeight="1">
      <c r="A8" s="4">
        <v>7</v>
      </c>
      <c r="B8" s="38">
        <v>3</v>
      </c>
      <c r="C8" s="38">
        <v>13</v>
      </c>
      <c r="D8" s="38" t="s">
        <v>12</v>
      </c>
      <c r="E8" s="17">
        <f>SUM(F8:I8)</f>
        <v>984</v>
      </c>
      <c r="F8" s="36">
        <v>612</v>
      </c>
      <c r="G8" s="36">
        <v>93</v>
      </c>
      <c r="H8" s="25">
        <v>279</v>
      </c>
      <c r="I8" s="26" t="s">
        <v>58</v>
      </c>
      <c r="J8" s="18">
        <v>15389255</v>
      </c>
      <c r="K8" s="8">
        <f>J8/E8</f>
        <v>15639.486788617885</v>
      </c>
      <c r="L8" s="3">
        <f>'Model Generation'!$M$5*'Outputs Results'!E8^'Model Generation'!$N$5</f>
        <v>22535.06552835547</v>
      </c>
      <c r="M8" s="9">
        <f>K8-L8</f>
        <v>-6895.5787397375843</v>
      </c>
      <c r="N8" s="10">
        <f>M8/L8</f>
        <v>-0.30599328548927451</v>
      </c>
      <c r="O8" s="11">
        <f>L8*E8</f>
        <v>22174504.479901783</v>
      </c>
      <c r="P8" s="9">
        <f>O8-J8</f>
        <v>6785249.4799017832</v>
      </c>
      <c r="Q8" s="9">
        <f>IF(P8&gt;0,P8,"")</f>
        <v>6785249.4799017832</v>
      </c>
      <c r="R8" s="9">
        <f>IFERROR((Q8/$Q$30)*$X$3*$Y$3,"0")</f>
        <v>0</v>
      </c>
      <c r="S8" s="9">
        <f>($X$3-$R$30) * ( O8 / $O$30 )</f>
        <v>0</v>
      </c>
      <c r="T8" s="9">
        <f>R8+S8</f>
        <v>0</v>
      </c>
      <c r="U8" s="9">
        <f>R8/E8</f>
        <v>0</v>
      </c>
      <c r="V8" s="14">
        <f>S8/E8</f>
        <v>0</v>
      </c>
      <c r="X8" s="46" t="s">
        <v>111</v>
      </c>
      <c r="Y8" s="46"/>
      <c r="Z8" s="46"/>
      <c r="AA8" s="30"/>
      <c r="AB8" s="38">
        <v>7</v>
      </c>
      <c r="AC8" s="38">
        <v>13</v>
      </c>
      <c r="AD8" s="31" t="s">
        <v>76</v>
      </c>
      <c r="AE8" s="38" t="s">
        <v>12</v>
      </c>
      <c r="AF8" s="44">
        <f t="shared" si="0"/>
        <v>984</v>
      </c>
      <c r="AG8" s="14">
        <f t="shared" si="1"/>
        <v>15639.486788617885</v>
      </c>
      <c r="AH8" s="9">
        <f t="shared" si="2"/>
        <v>15389255</v>
      </c>
      <c r="AI8" s="14">
        <f t="shared" si="3"/>
        <v>15639.486788617885</v>
      </c>
      <c r="AJ8" s="31"/>
    </row>
    <row r="9" spans="1:36" s="7" customFormat="1" ht="14.65" customHeight="1">
      <c r="A9" s="4">
        <v>8</v>
      </c>
      <c r="B9" s="38">
        <v>3</v>
      </c>
      <c r="C9" s="38">
        <v>17</v>
      </c>
      <c r="D9" s="38" t="s">
        <v>13</v>
      </c>
      <c r="E9" s="17">
        <f>SUM(F9:I9)</f>
        <v>1406</v>
      </c>
      <c r="F9" s="36">
        <v>718</v>
      </c>
      <c r="G9" s="36">
        <v>167</v>
      </c>
      <c r="H9" s="25">
        <v>413</v>
      </c>
      <c r="I9" s="28">
        <v>108</v>
      </c>
      <c r="J9" s="18">
        <v>20525089</v>
      </c>
      <c r="K9" s="8">
        <f>J9/E9</f>
        <v>14598.214082503557</v>
      </c>
      <c r="L9" s="3">
        <f>'Model Generation'!$M$5*'Outputs Results'!E9^'Model Generation'!$N$5</f>
        <v>20486.908884871526</v>
      </c>
      <c r="M9" s="9">
        <f>K9-L9</f>
        <v>-5888.6948023679688</v>
      </c>
      <c r="N9" s="10">
        <f>M9/L9</f>
        <v>-0.28743695964384608</v>
      </c>
      <c r="O9" s="11">
        <f>L9*E9</f>
        <v>28804593.892129365</v>
      </c>
      <c r="P9" s="9">
        <f>O9-J9</f>
        <v>8279504.8921293654</v>
      </c>
      <c r="Q9" s="9">
        <f>IF(P9&gt;0,P9,"")</f>
        <v>8279504.8921293654</v>
      </c>
      <c r="R9" s="9">
        <f>IFERROR((Q9/$Q$30)*$X$3*$Y$3,"0")</f>
        <v>0</v>
      </c>
      <c r="S9" s="9">
        <f>($X$3-$R$30) * ( O9 / $O$30 )</f>
        <v>0</v>
      </c>
      <c r="T9" s="9">
        <f>R9+S9</f>
        <v>0</v>
      </c>
      <c r="U9" s="9">
        <f>R9/E9</f>
        <v>0</v>
      </c>
      <c r="V9" s="14">
        <f>S9/E9</f>
        <v>0</v>
      </c>
      <c r="X9" s="45"/>
      <c r="Y9" s="45"/>
      <c r="Z9" s="45"/>
      <c r="AA9" s="30"/>
      <c r="AB9" s="38">
        <v>8</v>
      </c>
      <c r="AC9" s="38">
        <v>17</v>
      </c>
      <c r="AD9" s="31" t="s">
        <v>72</v>
      </c>
      <c r="AE9" s="38" t="s">
        <v>13</v>
      </c>
      <c r="AF9" s="44">
        <f t="shared" si="0"/>
        <v>1406</v>
      </c>
      <c r="AG9" s="14">
        <f t="shared" si="1"/>
        <v>14598.214082503557</v>
      </c>
      <c r="AH9" s="9">
        <f t="shared" si="2"/>
        <v>20525089</v>
      </c>
      <c r="AI9" s="14">
        <f t="shared" si="3"/>
        <v>14598.214082503557</v>
      </c>
    </row>
    <row r="10" spans="1:36" s="7" customFormat="1" ht="14.65" customHeight="1">
      <c r="A10" s="4">
        <v>9</v>
      </c>
      <c r="B10" s="38">
        <v>3</v>
      </c>
      <c r="C10" s="38">
        <v>22</v>
      </c>
      <c r="D10" s="38" t="s">
        <v>14</v>
      </c>
      <c r="E10" s="17">
        <f>SUM(F10:I10)</f>
        <v>2269</v>
      </c>
      <c r="F10" s="36">
        <v>769</v>
      </c>
      <c r="G10" s="36">
        <v>206</v>
      </c>
      <c r="H10" s="25">
        <v>1178</v>
      </c>
      <c r="I10" s="28">
        <v>116</v>
      </c>
      <c r="J10" s="18">
        <v>25013520</v>
      </c>
      <c r="K10" s="8">
        <f>J10/E10</f>
        <v>11024.028206258263</v>
      </c>
      <c r="L10" s="3">
        <f>'Model Generation'!$M$5*'Outputs Results'!E10^'Model Generation'!$N$5</f>
        <v>18029.376422461759</v>
      </c>
      <c r="M10" s="9">
        <f>K10-L10</f>
        <v>-7005.3482162034961</v>
      </c>
      <c r="N10" s="10">
        <f>M10/L10</f>
        <v>-0.38855188621365394</v>
      </c>
      <c r="O10" s="11">
        <f>L10*E10</f>
        <v>40908655.102565728</v>
      </c>
      <c r="P10" s="9">
        <f>O10-J10</f>
        <v>15895135.102565728</v>
      </c>
      <c r="Q10" s="9">
        <f>IF(P10&gt;0,P10,"")</f>
        <v>15895135.102565728</v>
      </c>
      <c r="R10" s="9">
        <f>IFERROR((Q10/$Q$30)*$X$3*$Y$3,"0")</f>
        <v>0</v>
      </c>
      <c r="S10" s="9">
        <f>($X$3-$R$30) * ( O10 / $O$30 )</f>
        <v>0</v>
      </c>
      <c r="T10" s="9">
        <f>R10+S10</f>
        <v>0</v>
      </c>
      <c r="U10" s="9">
        <f>R10/E10</f>
        <v>0</v>
      </c>
      <c r="V10" s="14">
        <f>S10/E10</f>
        <v>0</v>
      </c>
      <c r="X10" s="45"/>
      <c r="Y10" s="45"/>
      <c r="Z10" s="45"/>
      <c r="AA10" s="30"/>
      <c r="AB10" s="31">
        <v>9</v>
      </c>
      <c r="AC10" s="38">
        <v>22</v>
      </c>
      <c r="AD10" s="31" t="s">
        <v>95</v>
      </c>
      <c r="AE10" s="38" t="s">
        <v>14</v>
      </c>
      <c r="AF10" s="44">
        <f t="shared" si="0"/>
        <v>2269</v>
      </c>
      <c r="AG10" s="14">
        <f t="shared" si="1"/>
        <v>11024.028206258263</v>
      </c>
      <c r="AH10" s="9">
        <f t="shared" si="2"/>
        <v>25013520</v>
      </c>
      <c r="AI10" s="14">
        <f t="shared" si="3"/>
        <v>11024.028206258263</v>
      </c>
    </row>
    <row r="11" spans="1:36" s="7" customFormat="1" ht="14.65" customHeight="1">
      <c r="A11" s="4">
        <v>10</v>
      </c>
      <c r="B11" s="38">
        <v>3</v>
      </c>
      <c r="C11" s="38">
        <v>3</v>
      </c>
      <c r="D11" s="38" t="s">
        <v>15</v>
      </c>
      <c r="E11" s="17">
        <f>SUM(F11:I11)</f>
        <v>1313</v>
      </c>
      <c r="F11" s="36">
        <v>730</v>
      </c>
      <c r="G11" s="36">
        <v>289</v>
      </c>
      <c r="H11" s="27">
        <v>187</v>
      </c>
      <c r="I11" s="28">
        <v>107</v>
      </c>
      <c r="J11" s="18">
        <v>29284984</v>
      </c>
      <c r="K11" s="8">
        <f>J11/E11</f>
        <v>22303.872048743335</v>
      </c>
      <c r="L11" s="3">
        <f>'Model Generation'!$M$5*'Outputs Results'!E11^'Model Generation'!$N$5</f>
        <v>20864.685108151047</v>
      </c>
      <c r="M11" s="9">
        <f>K11-L11</f>
        <v>1439.186940592288</v>
      </c>
      <c r="N11" s="10">
        <f>M11/L11</f>
        <v>6.8977170426121212E-2</v>
      </c>
      <c r="O11" s="11">
        <f>L11*E11</f>
        <v>27395331.547002323</v>
      </c>
      <c r="P11" s="9">
        <f>O11-J11</f>
        <v>-1889652.452997677</v>
      </c>
      <c r="Q11" s="9" t="str">
        <f>IF(P11&gt;0,P11,"")</f>
        <v/>
      </c>
      <c r="R11" s="9" t="str">
        <f>IFERROR((Q11/$Q$30)*$X$3*$Y$3,"0")</f>
        <v>0</v>
      </c>
      <c r="S11" s="9">
        <f>($X$3-$R$30) * ( O11 / $O$30 )</f>
        <v>0</v>
      </c>
      <c r="T11" s="9">
        <f>R11+S11</f>
        <v>0</v>
      </c>
      <c r="U11" s="9">
        <f>R11/E11</f>
        <v>0</v>
      </c>
      <c r="V11" s="14">
        <f>S11/E11</f>
        <v>0</v>
      </c>
      <c r="X11" s="45"/>
      <c r="Y11" s="45"/>
      <c r="Z11" s="45"/>
      <c r="AA11" s="30"/>
      <c r="AB11" s="43">
        <v>10</v>
      </c>
      <c r="AC11" s="38">
        <v>3</v>
      </c>
      <c r="AD11" s="31" t="s">
        <v>71</v>
      </c>
      <c r="AE11" s="38" t="s">
        <v>15</v>
      </c>
      <c r="AF11" s="44">
        <f t="shared" si="0"/>
        <v>1313</v>
      </c>
      <c r="AG11" s="14">
        <f t="shared" si="1"/>
        <v>22303.872048743335</v>
      </c>
      <c r="AH11" s="9">
        <f t="shared" si="2"/>
        <v>29284984</v>
      </c>
      <c r="AI11" s="14">
        <f t="shared" si="3"/>
        <v>22303.872048743335</v>
      </c>
      <c r="AJ11" s="31"/>
    </row>
    <row r="12" spans="1:36" s="7" customFormat="1" ht="14.65" customHeight="1">
      <c r="A12" s="4">
        <v>11</v>
      </c>
      <c r="B12" s="38">
        <v>4</v>
      </c>
      <c r="C12" s="38">
        <v>21</v>
      </c>
      <c r="D12" s="38" t="s">
        <v>16</v>
      </c>
      <c r="E12" s="17">
        <f>SUM(F12:I12)</f>
        <v>1936</v>
      </c>
      <c r="F12" s="36">
        <v>1212</v>
      </c>
      <c r="G12" s="36">
        <v>396</v>
      </c>
      <c r="H12" s="25">
        <v>136</v>
      </c>
      <c r="I12" s="28">
        <v>192</v>
      </c>
      <c r="J12" s="18">
        <v>38667092</v>
      </c>
      <c r="K12" s="8">
        <f>J12/E12</f>
        <v>19972.671487603307</v>
      </c>
      <c r="L12" s="3">
        <f>'Model Generation'!$M$5*'Outputs Results'!E12^'Model Generation'!$N$5</f>
        <v>18809.826397180561</v>
      </c>
      <c r="M12" s="9">
        <f>K12-L12</f>
        <v>1162.8450904227466</v>
      </c>
      <c r="N12" s="10">
        <f>M12/L12</f>
        <v>6.1821149534747835E-2</v>
      </c>
      <c r="O12" s="11">
        <f>L12*E12</f>
        <v>36415823.904941566</v>
      </c>
      <c r="P12" s="9">
        <f>O12-J12</f>
        <v>-2251268.0950584337</v>
      </c>
      <c r="Q12" s="9" t="str">
        <f>IF(P12&gt;0,P12,"")</f>
        <v/>
      </c>
      <c r="R12" s="9" t="str">
        <f>IFERROR((Q12/$Q$30)*$X$3*$Y$3,"0")</f>
        <v>0</v>
      </c>
      <c r="S12" s="9">
        <f>($X$3-$R$30) * ( O12 / $O$30 )</f>
        <v>0</v>
      </c>
      <c r="T12" s="9">
        <f>R12+S12</f>
        <v>0</v>
      </c>
      <c r="U12" s="9">
        <f>R12/E12</f>
        <v>0</v>
      </c>
      <c r="V12" s="14">
        <f>S12/E12</f>
        <v>0</v>
      </c>
      <c r="X12" s="45"/>
      <c r="Y12" s="45"/>
      <c r="Z12" s="45"/>
      <c r="AA12" s="30"/>
      <c r="AB12" s="31">
        <v>11</v>
      </c>
      <c r="AC12" s="38">
        <v>21</v>
      </c>
      <c r="AD12" s="31" t="s">
        <v>103</v>
      </c>
      <c r="AE12" s="38" t="s">
        <v>16</v>
      </c>
      <c r="AF12" s="44">
        <f t="shared" si="0"/>
        <v>1936</v>
      </c>
      <c r="AG12" s="14">
        <f t="shared" si="1"/>
        <v>19972.671487603307</v>
      </c>
      <c r="AH12" s="9">
        <f t="shared" si="2"/>
        <v>38667092</v>
      </c>
      <c r="AI12" s="14">
        <f t="shared" si="3"/>
        <v>19972.671487603307</v>
      </c>
    </row>
    <row r="13" spans="1:36" s="7" customFormat="1" ht="14.65" customHeight="1">
      <c r="A13" s="4">
        <v>12</v>
      </c>
      <c r="B13" s="38">
        <v>4</v>
      </c>
      <c r="C13" s="38">
        <v>20</v>
      </c>
      <c r="D13" s="38" t="s">
        <v>17</v>
      </c>
      <c r="E13" s="17">
        <f>SUM(F13:I13)</f>
        <v>2191</v>
      </c>
      <c r="F13" s="36">
        <v>1036</v>
      </c>
      <c r="G13" s="36">
        <v>454</v>
      </c>
      <c r="H13" s="25">
        <v>439</v>
      </c>
      <c r="I13" s="28">
        <v>262</v>
      </c>
      <c r="J13" s="18">
        <v>38209127</v>
      </c>
      <c r="K13" s="8">
        <f>J13/E13</f>
        <v>17439.126882701963</v>
      </c>
      <c r="L13" s="3">
        <f>'Model Generation'!$M$5*'Outputs Results'!E13^'Model Generation'!$N$5</f>
        <v>18198.559030999022</v>
      </c>
      <c r="M13" s="9">
        <f>K13-L13</f>
        <v>-759.43214829705903</v>
      </c>
      <c r="N13" s="10">
        <f>M13/L13</f>
        <v>-4.1730345078610849E-2</v>
      </c>
      <c r="O13" s="11">
        <f>L13*E13</f>
        <v>39873042.836918861</v>
      </c>
      <c r="P13" s="9">
        <f>O13-J13</f>
        <v>1663915.8369188607</v>
      </c>
      <c r="Q13" s="9">
        <f>IF(P13&gt;0,P13,"")</f>
        <v>1663915.8369188607</v>
      </c>
      <c r="R13" s="9">
        <f>IFERROR((Q13/$Q$30)*$X$3*$Y$3,"0")</f>
        <v>0</v>
      </c>
      <c r="S13" s="9">
        <f>($X$3-$R$30) * ( O13 / $O$30 )</f>
        <v>0</v>
      </c>
      <c r="T13" s="9">
        <f>R13+S13</f>
        <v>0</v>
      </c>
      <c r="U13" s="9">
        <f>R13/E13</f>
        <v>0</v>
      </c>
      <c r="V13" s="14">
        <f>S13/E13</f>
        <v>0</v>
      </c>
      <c r="X13" s="30"/>
      <c r="Y13" s="30"/>
      <c r="Z13" s="30"/>
      <c r="AB13" s="38">
        <v>12</v>
      </c>
      <c r="AC13" s="38">
        <v>20</v>
      </c>
      <c r="AD13" s="31" t="s">
        <v>73</v>
      </c>
      <c r="AE13" s="38" t="s">
        <v>17</v>
      </c>
      <c r="AF13" s="44">
        <f t="shared" si="0"/>
        <v>2191</v>
      </c>
      <c r="AG13" s="14">
        <f t="shared" si="1"/>
        <v>17439.126882701963</v>
      </c>
      <c r="AH13" s="9">
        <f t="shared" si="2"/>
        <v>38209127</v>
      </c>
      <c r="AI13" s="14">
        <f t="shared" si="3"/>
        <v>17439.126882701963</v>
      </c>
    </row>
    <row r="14" spans="1:36" s="7" customFormat="1" ht="14.65" customHeight="1">
      <c r="A14" s="4">
        <v>13</v>
      </c>
      <c r="B14" s="38">
        <v>4</v>
      </c>
      <c r="C14" s="38">
        <v>14</v>
      </c>
      <c r="D14" s="38" t="s">
        <v>18</v>
      </c>
      <c r="E14" s="17">
        <f>SUM(F14:I14)</f>
        <v>3018</v>
      </c>
      <c r="F14" s="36">
        <v>1237</v>
      </c>
      <c r="G14" s="36">
        <v>395</v>
      </c>
      <c r="H14" s="25">
        <v>1386</v>
      </c>
      <c r="I14" s="33" t="s">
        <v>58</v>
      </c>
      <c r="J14" s="18">
        <v>26014659</v>
      </c>
      <c r="K14" s="8">
        <f>J14/E14</f>
        <v>8619.8339960238573</v>
      </c>
      <c r="L14" s="3">
        <f>'Model Generation'!$M$5*'Outputs Results'!E14^'Model Generation'!$N$5</f>
        <v>16707.192658269054</v>
      </c>
      <c r="M14" s="9">
        <f>K14-L14</f>
        <v>-8087.3586622451967</v>
      </c>
      <c r="N14" s="10">
        <f>M14/L14</f>
        <v>-0.4840644881318491</v>
      </c>
      <c r="O14" s="11">
        <f>L14*E14</f>
        <v>50422307.442656003</v>
      </c>
      <c r="P14" s="9">
        <f>O14-J14</f>
        <v>24407648.442656003</v>
      </c>
      <c r="Q14" s="9">
        <f>IF(P14&gt;0,P14,"")</f>
        <v>24407648.442656003</v>
      </c>
      <c r="R14" s="9">
        <f>IFERROR((Q14/$Q$30)*$X$3*$Y$3,"0")</f>
        <v>0</v>
      </c>
      <c r="S14" s="9">
        <f>($X$3-$R$30) * ( O14 / $O$30 )</f>
        <v>0</v>
      </c>
      <c r="T14" s="9">
        <f>R14+S14</f>
        <v>0</v>
      </c>
      <c r="U14" s="9">
        <f>R14/E14</f>
        <v>0</v>
      </c>
      <c r="V14" s="14">
        <f>S14/E14</f>
        <v>0</v>
      </c>
      <c r="AB14" s="38">
        <v>13</v>
      </c>
      <c r="AC14" s="38">
        <v>14</v>
      </c>
      <c r="AD14" s="31" t="s">
        <v>83</v>
      </c>
      <c r="AE14" s="38" t="s">
        <v>18</v>
      </c>
      <c r="AF14" s="44">
        <f t="shared" si="0"/>
        <v>3018</v>
      </c>
      <c r="AG14" s="14">
        <f t="shared" si="1"/>
        <v>8619.8339960238573</v>
      </c>
      <c r="AH14" s="9">
        <f t="shared" si="2"/>
        <v>26014659</v>
      </c>
      <c r="AI14" s="14">
        <f t="shared" si="3"/>
        <v>8619.8339960238573</v>
      </c>
    </row>
    <row r="15" spans="1:36" s="7" customFormat="1" ht="14.65" customHeight="1">
      <c r="A15" s="4">
        <v>14</v>
      </c>
      <c r="B15" s="38">
        <v>4</v>
      </c>
      <c r="C15" s="38">
        <v>19</v>
      </c>
      <c r="D15" s="38" t="s">
        <v>19</v>
      </c>
      <c r="E15" s="17">
        <f>SUM(F15:I15)</f>
        <v>1869</v>
      </c>
      <c r="F15" s="36">
        <v>1144</v>
      </c>
      <c r="G15" s="36">
        <v>249</v>
      </c>
      <c r="H15" s="25">
        <v>249</v>
      </c>
      <c r="I15" s="27">
        <v>227</v>
      </c>
      <c r="J15" s="18">
        <v>37173371</v>
      </c>
      <c r="K15" s="8">
        <f>J15/E15</f>
        <v>19889.444087747459</v>
      </c>
      <c r="L15" s="3">
        <f>'Model Generation'!$M$5*'Outputs Results'!E15^'Model Generation'!$N$5</f>
        <v>18987.545740692789</v>
      </c>
      <c r="M15" s="9">
        <f>K15-L15</f>
        <v>901.89834705467001</v>
      </c>
      <c r="N15" s="10">
        <f>M15/L15</f>
        <v>4.7499469355946518E-2</v>
      </c>
      <c r="O15" s="11">
        <f>L15*E15</f>
        <v>35487722.989354819</v>
      </c>
      <c r="P15" s="9">
        <f>O15-J15</f>
        <v>-1685648.0106451809</v>
      </c>
      <c r="Q15" s="9" t="str">
        <f>IF(P15&gt;0,P15,"")</f>
        <v/>
      </c>
      <c r="R15" s="9" t="str">
        <f>IFERROR((Q15/$Q$30)*$X$3*$Y$3,"0")</f>
        <v>0</v>
      </c>
      <c r="S15" s="9">
        <f>($X$3-$R$30) * ( O15 / $O$30 )</f>
        <v>0</v>
      </c>
      <c r="T15" s="9">
        <f>R15+S15</f>
        <v>0</v>
      </c>
      <c r="U15" s="9">
        <f>R15/E15</f>
        <v>0</v>
      </c>
      <c r="V15" s="14">
        <f>S15/E15</f>
        <v>0</v>
      </c>
      <c r="AB15" s="38">
        <v>14</v>
      </c>
      <c r="AC15" s="38">
        <v>19</v>
      </c>
      <c r="AD15" s="31" t="s">
        <v>74</v>
      </c>
      <c r="AE15" s="38" t="s">
        <v>19</v>
      </c>
      <c r="AF15" s="44">
        <f t="shared" si="0"/>
        <v>1869</v>
      </c>
      <c r="AG15" s="14">
        <f t="shared" si="1"/>
        <v>19889.444087747459</v>
      </c>
      <c r="AH15" s="9">
        <f t="shared" si="2"/>
        <v>37173371</v>
      </c>
      <c r="AI15" s="14">
        <f t="shared" si="3"/>
        <v>19889.444087747459</v>
      </c>
    </row>
    <row r="16" spans="1:36" s="7" customFormat="1" ht="14.65" customHeight="1">
      <c r="A16" s="4">
        <v>15</v>
      </c>
      <c r="B16" s="38">
        <v>4</v>
      </c>
      <c r="C16" s="38">
        <v>27</v>
      </c>
      <c r="D16" s="38" t="s">
        <v>20</v>
      </c>
      <c r="E16" s="17">
        <f>SUM(F16:I16)</f>
        <v>3621</v>
      </c>
      <c r="F16" s="36">
        <v>2182</v>
      </c>
      <c r="G16" s="36">
        <v>352</v>
      </c>
      <c r="H16" s="25">
        <v>764</v>
      </c>
      <c r="I16" s="28">
        <v>323</v>
      </c>
      <c r="J16" s="18">
        <v>34795994</v>
      </c>
      <c r="K16" s="8">
        <f>J16/E16</f>
        <v>9609.4984810825736</v>
      </c>
      <c r="L16" s="3">
        <f>'Model Generation'!$M$5*'Outputs Results'!E16^'Model Generation'!$N$5</f>
        <v>15914.071333655947</v>
      </c>
      <c r="M16" s="9">
        <f>K16-L16</f>
        <v>-6304.5728525733739</v>
      </c>
      <c r="N16" s="10">
        <f>M16/L16</f>
        <v>-0.39616341540710071</v>
      </c>
      <c r="O16" s="11">
        <f>L16*E16</f>
        <v>57624852.299168184</v>
      </c>
      <c r="P16" s="9">
        <f>O16-J16</f>
        <v>22828858.299168184</v>
      </c>
      <c r="Q16" s="9">
        <f>IF(P16&gt;0,P16,"")</f>
        <v>22828858.299168184</v>
      </c>
      <c r="R16" s="9">
        <f>IFERROR((Q16/$Q$30)*$X$3*$Y$3,"0")</f>
        <v>0</v>
      </c>
      <c r="S16" s="9">
        <f>($X$3-$R$30) * ( O16 / $O$30 )</f>
        <v>0</v>
      </c>
      <c r="T16" s="9">
        <f>R16+S16</f>
        <v>0</v>
      </c>
      <c r="U16" s="9">
        <f>R16/E16</f>
        <v>0</v>
      </c>
      <c r="V16" s="14">
        <f>S16/E16</f>
        <v>0</v>
      </c>
      <c r="AB16" s="31">
        <v>15</v>
      </c>
      <c r="AC16" s="38">
        <v>27</v>
      </c>
      <c r="AD16" s="31" t="s">
        <v>84</v>
      </c>
      <c r="AE16" s="38" t="s">
        <v>20</v>
      </c>
      <c r="AF16" s="44">
        <f t="shared" si="0"/>
        <v>3621</v>
      </c>
      <c r="AG16" s="14">
        <f t="shared" si="1"/>
        <v>9609.4984810825736</v>
      </c>
      <c r="AH16" s="9">
        <f t="shared" si="2"/>
        <v>34795994</v>
      </c>
      <c r="AI16" s="14">
        <f t="shared" si="3"/>
        <v>9609.4984810825736</v>
      </c>
      <c r="AJ16" s="31"/>
    </row>
    <row r="17" spans="1:36" s="7" customFormat="1" ht="14.65" customHeight="1">
      <c r="A17" s="4">
        <v>16</v>
      </c>
      <c r="B17" s="38">
        <v>5</v>
      </c>
      <c r="C17" s="38">
        <v>24</v>
      </c>
      <c r="D17" s="38" t="s">
        <v>21</v>
      </c>
      <c r="E17" s="17">
        <f>SUM(F17:I17)</f>
        <v>3270</v>
      </c>
      <c r="F17" s="36">
        <v>2041</v>
      </c>
      <c r="G17" s="36">
        <v>475</v>
      </c>
      <c r="H17" s="25">
        <v>553</v>
      </c>
      <c r="I17" s="28">
        <v>201</v>
      </c>
      <c r="J17" s="18">
        <v>44452602</v>
      </c>
      <c r="K17" s="8">
        <f>J17/E17</f>
        <v>13594.067889908258</v>
      </c>
      <c r="L17" s="3">
        <f>'Model Generation'!$M$5*'Outputs Results'!E17^'Model Generation'!$N$5</f>
        <v>16353.257174044849</v>
      </c>
      <c r="M17" s="9">
        <f>K17-L17</f>
        <v>-2759.1892841365916</v>
      </c>
      <c r="N17" s="10">
        <f>M17/L17</f>
        <v>-0.16872414191075355</v>
      </c>
      <c r="O17" s="11">
        <f>L17*E17</f>
        <v>53475150.959126659</v>
      </c>
      <c r="P17" s="9">
        <f>O17-J17</f>
        <v>9022548.9591266587</v>
      </c>
      <c r="Q17" s="9">
        <f>IF(P17&gt;0,P17,"")</f>
        <v>9022548.9591266587</v>
      </c>
      <c r="R17" s="9">
        <f>IFERROR((Q17/$Q$30)*$X$3*$Y$3,"0")</f>
        <v>0</v>
      </c>
      <c r="S17" s="9">
        <f>($X$3-$R$30) * ( O17 / $O$30 )</f>
        <v>0</v>
      </c>
      <c r="T17" s="9">
        <f>R17+S17</f>
        <v>0</v>
      </c>
      <c r="U17" s="9">
        <f>R17/E17</f>
        <v>0</v>
      </c>
      <c r="V17" s="14">
        <f>S17/E17</f>
        <v>0</v>
      </c>
      <c r="AB17" s="31">
        <v>16</v>
      </c>
      <c r="AC17" s="38">
        <v>24</v>
      </c>
      <c r="AD17" s="31" t="s">
        <v>82</v>
      </c>
      <c r="AE17" s="38" t="s">
        <v>21</v>
      </c>
      <c r="AF17" s="44">
        <f t="shared" si="0"/>
        <v>3270</v>
      </c>
      <c r="AG17" s="14">
        <f t="shared" si="1"/>
        <v>13594.067889908258</v>
      </c>
      <c r="AH17" s="9">
        <f t="shared" si="2"/>
        <v>44452602</v>
      </c>
      <c r="AI17" s="14">
        <f t="shared" si="3"/>
        <v>13594.067889908258</v>
      </c>
    </row>
    <row r="18" spans="1:36" s="7" customFormat="1" ht="14.65" customHeight="1">
      <c r="A18" s="4">
        <v>17</v>
      </c>
      <c r="B18" s="38">
        <v>5</v>
      </c>
      <c r="C18" s="38">
        <v>6</v>
      </c>
      <c r="D18" s="38" t="s">
        <v>22</v>
      </c>
      <c r="E18" s="17">
        <f>SUM(F18:I18)</f>
        <v>2686</v>
      </c>
      <c r="F18" s="36">
        <v>1658</v>
      </c>
      <c r="G18" s="36">
        <v>583</v>
      </c>
      <c r="H18" s="25">
        <v>371</v>
      </c>
      <c r="I18" s="28">
        <v>74</v>
      </c>
      <c r="J18" s="18">
        <v>36921478</v>
      </c>
      <c r="K18" s="8">
        <f>J18/E18</f>
        <v>13745.896500372301</v>
      </c>
      <c r="L18" s="3">
        <f>'Model Generation'!$M$5*'Outputs Results'!E18^'Model Generation'!$N$5</f>
        <v>17235.235118876957</v>
      </c>
      <c r="M18" s="9">
        <f>K18-L18</f>
        <v>-3489.3386185046566</v>
      </c>
      <c r="N18" s="10">
        <f>M18/L18</f>
        <v>-0.2024537869334283</v>
      </c>
      <c r="O18" s="11">
        <f>L18*E18</f>
        <v>46293841.529303506</v>
      </c>
      <c r="P18" s="9">
        <f>O18-J18</f>
        <v>9372363.529303506</v>
      </c>
      <c r="Q18" s="9">
        <f>IF(P18&gt;0,P18,"")</f>
        <v>9372363.529303506</v>
      </c>
      <c r="R18" s="9">
        <f>IFERROR((Q18/$Q$30)*$X$3*$Y$3,"0")</f>
        <v>0</v>
      </c>
      <c r="S18" s="9">
        <f>($X$3-$R$30) * ( O18 / $O$30 )</f>
        <v>0</v>
      </c>
      <c r="T18" s="9">
        <f>R18+S18</f>
        <v>0</v>
      </c>
      <c r="U18" s="9">
        <f>R18/E18</f>
        <v>0</v>
      </c>
      <c r="V18" s="14">
        <f>S18/E18</f>
        <v>0</v>
      </c>
      <c r="AB18" s="38">
        <v>17</v>
      </c>
      <c r="AC18" s="38">
        <v>6</v>
      </c>
      <c r="AD18" s="31" t="s">
        <v>70</v>
      </c>
      <c r="AE18" s="38" t="s">
        <v>22</v>
      </c>
      <c r="AF18" s="44">
        <f t="shared" si="0"/>
        <v>2686</v>
      </c>
      <c r="AG18" s="14">
        <f t="shared" si="1"/>
        <v>13745.896500372301</v>
      </c>
      <c r="AH18" s="9">
        <f t="shared" si="2"/>
        <v>36921478</v>
      </c>
      <c r="AI18" s="14">
        <f t="shared" si="3"/>
        <v>13745.896500372301</v>
      </c>
    </row>
    <row r="19" spans="1:36" s="7" customFormat="1" ht="14.65" customHeight="1">
      <c r="A19" s="4">
        <v>18</v>
      </c>
      <c r="B19" s="38">
        <v>5</v>
      </c>
      <c r="C19" s="38">
        <v>5</v>
      </c>
      <c r="D19" s="38" t="s">
        <v>23</v>
      </c>
      <c r="E19" s="17">
        <f>SUM(F19:I19)</f>
        <v>3152</v>
      </c>
      <c r="F19" s="36">
        <v>1463</v>
      </c>
      <c r="G19" s="36">
        <v>612</v>
      </c>
      <c r="H19" s="25">
        <v>523</v>
      </c>
      <c r="I19" s="28">
        <v>554</v>
      </c>
      <c r="J19" s="18">
        <v>52201275</v>
      </c>
      <c r="K19" s="8">
        <f>J19/E19</f>
        <v>16561.318210659898</v>
      </c>
      <c r="L19" s="3">
        <f>'Model Generation'!$M$5*'Outputs Results'!E19^'Model Generation'!$N$5</f>
        <v>16514.521654007931</v>
      </c>
      <c r="M19" s="9">
        <f>K19-L19</f>
        <v>46.796556651966966</v>
      </c>
      <c r="N19" s="10">
        <f>M19/L19</f>
        <v>2.8336610428319519E-3</v>
      </c>
      <c r="O19" s="11">
        <f>L19*E19</f>
        <v>52053772.253432997</v>
      </c>
      <c r="P19" s="9">
        <f>O19-J19</f>
        <v>-147502.74656700343</v>
      </c>
      <c r="Q19" s="9" t="str">
        <f>IF(P19&gt;0,P19,"")</f>
        <v/>
      </c>
      <c r="R19" s="9" t="str">
        <f>IFERROR((Q19/$Q$30)*$X$3*$Y$3,"0")</f>
        <v>0</v>
      </c>
      <c r="S19" s="9">
        <f>($X$3-$R$30) * ( O19 / $O$30 )</f>
        <v>0</v>
      </c>
      <c r="T19" s="9">
        <f>R19+S19</f>
        <v>0</v>
      </c>
      <c r="U19" s="9">
        <f>R19/E19</f>
        <v>0</v>
      </c>
      <c r="V19" s="14">
        <f>S19/E19</f>
        <v>0</v>
      </c>
      <c r="AB19" s="38">
        <v>18</v>
      </c>
      <c r="AC19" s="38">
        <v>5</v>
      </c>
      <c r="AD19" s="31" t="s">
        <v>77</v>
      </c>
      <c r="AE19" s="38" t="s">
        <v>23</v>
      </c>
      <c r="AF19" s="44">
        <f t="shared" si="0"/>
        <v>3152</v>
      </c>
      <c r="AG19" s="14">
        <f t="shared" si="1"/>
        <v>16561.318210659898</v>
      </c>
      <c r="AH19" s="9">
        <f t="shared" si="2"/>
        <v>52201275</v>
      </c>
      <c r="AI19" s="14">
        <f t="shared" si="3"/>
        <v>16561.318210659898</v>
      </c>
      <c r="AJ19" s="31"/>
    </row>
    <row r="20" spans="1:36" s="7" customFormat="1" ht="14.65" customHeight="1">
      <c r="A20" s="4">
        <v>19</v>
      </c>
      <c r="B20" s="38">
        <v>5</v>
      </c>
      <c r="C20" s="38">
        <v>1</v>
      </c>
      <c r="D20" s="38" t="s">
        <v>24</v>
      </c>
      <c r="E20" s="17">
        <f>SUM(F20:I20)</f>
        <v>3776</v>
      </c>
      <c r="F20" s="36">
        <v>1996</v>
      </c>
      <c r="G20" s="36">
        <v>639</v>
      </c>
      <c r="H20" s="25">
        <v>660</v>
      </c>
      <c r="I20" s="28">
        <v>481</v>
      </c>
      <c r="J20" s="18">
        <v>45392574</v>
      </c>
      <c r="K20" s="8">
        <f>J20/E20</f>
        <v>12021.33845338983</v>
      </c>
      <c r="L20" s="3">
        <f>'Model Generation'!$M$5*'Outputs Results'!E20^'Model Generation'!$N$5</f>
        <v>15736.964908115155</v>
      </c>
      <c r="M20" s="9">
        <f>K20-L20</f>
        <v>-3715.6264547253249</v>
      </c>
      <c r="N20" s="10">
        <f>M20/L20</f>
        <v>-0.23610819979710765</v>
      </c>
      <c r="O20" s="11">
        <f>L20*E20</f>
        <v>59422779.493042827</v>
      </c>
      <c r="P20" s="9">
        <f>O20-J20</f>
        <v>14030205.493042827</v>
      </c>
      <c r="Q20" s="9">
        <f>IF(P20&gt;0,P20,"")</f>
        <v>14030205.493042827</v>
      </c>
      <c r="R20" s="9">
        <f>IFERROR((Q20/$Q$30)*$X$3*$Y$3,"0")</f>
        <v>0</v>
      </c>
      <c r="S20" s="9">
        <f>($X$3-$R$30) * ( O20 / $O$30 )</f>
        <v>0</v>
      </c>
      <c r="T20" s="9">
        <f>R20+S20</f>
        <v>0</v>
      </c>
      <c r="U20" s="9">
        <f>R20/E20</f>
        <v>0</v>
      </c>
      <c r="V20" s="14">
        <f>S20/E20</f>
        <v>0</v>
      </c>
      <c r="AB20" s="41">
        <v>19</v>
      </c>
      <c r="AC20" s="38">
        <v>1</v>
      </c>
      <c r="AD20" s="31" t="s">
        <v>79</v>
      </c>
      <c r="AE20" s="38" t="s">
        <v>24</v>
      </c>
      <c r="AF20" s="44">
        <f t="shared" si="0"/>
        <v>3776</v>
      </c>
      <c r="AG20" s="14">
        <f t="shared" si="1"/>
        <v>12021.33845338983</v>
      </c>
      <c r="AH20" s="9">
        <f t="shared" si="2"/>
        <v>45392574</v>
      </c>
      <c r="AI20" s="14">
        <f t="shared" si="3"/>
        <v>12021.33845338983</v>
      </c>
    </row>
    <row r="21" spans="1:36" s="7" customFormat="1">
      <c r="A21" s="4">
        <v>20</v>
      </c>
      <c r="B21" s="38">
        <v>5</v>
      </c>
      <c r="C21" s="38">
        <v>11</v>
      </c>
      <c r="D21" s="38" t="s">
        <v>25</v>
      </c>
      <c r="E21" s="17">
        <f>SUM(F21:I21)</f>
        <v>2992</v>
      </c>
      <c r="F21" s="36">
        <v>1761</v>
      </c>
      <c r="G21" s="36">
        <v>518</v>
      </c>
      <c r="H21" s="25">
        <v>62</v>
      </c>
      <c r="I21" s="28">
        <v>651</v>
      </c>
      <c r="J21" s="18">
        <v>51422971</v>
      </c>
      <c r="K21" s="8">
        <f>J21/E21</f>
        <v>17186.821858288771</v>
      </c>
      <c r="L21" s="3">
        <f>'Model Generation'!$M$5*'Outputs Results'!E21^'Model Generation'!$N$5</f>
        <v>16745.83363231285</v>
      </c>
      <c r="M21" s="9">
        <f>K21-L21</f>
        <v>440.98822597592152</v>
      </c>
      <c r="N21" s="10">
        <f>M21/L21</f>
        <v>2.6334205609506851E-2</v>
      </c>
      <c r="O21" s="11">
        <f>L21*E21</f>
        <v>50103534.227880046</v>
      </c>
      <c r="P21" s="9">
        <f>O21-J21</f>
        <v>-1319436.7721199542</v>
      </c>
      <c r="Q21" s="9" t="str">
        <f>IF(P21&gt;0,P21,"")</f>
        <v/>
      </c>
      <c r="R21" s="9" t="str">
        <f>IFERROR((Q21/$Q$30)*$X$3*$Y$3,"0")</f>
        <v>0</v>
      </c>
      <c r="S21" s="9">
        <f>($X$3-$R$30) * ( O21 / $O$30 )</f>
        <v>0</v>
      </c>
      <c r="T21" s="9">
        <f>R21+S21</f>
        <v>0</v>
      </c>
      <c r="U21" s="9">
        <f>R21/E21</f>
        <v>0</v>
      </c>
      <c r="V21" s="14">
        <f>S21/E21</f>
        <v>0</v>
      </c>
      <c r="AB21" s="38">
        <v>20</v>
      </c>
      <c r="AC21" s="38">
        <v>11</v>
      </c>
      <c r="AD21" s="31" t="s">
        <v>80</v>
      </c>
      <c r="AE21" s="38" t="s">
        <v>25</v>
      </c>
      <c r="AF21" s="44">
        <f t="shared" si="0"/>
        <v>2992</v>
      </c>
      <c r="AG21" s="14">
        <f t="shared" si="1"/>
        <v>17186.821858288771</v>
      </c>
      <c r="AH21" s="9">
        <f t="shared" si="2"/>
        <v>51422971</v>
      </c>
      <c r="AI21" s="14">
        <f t="shared" si="3"/>
        <v>17186.821858288771</v>
      </c>
    </row>
    <row r="22" spans="1:36">
      <c r="A22" s="4">
        <v>21</v>
      </c>
      <c r="B22" s="38">
        <v>5</v>
      </c>
      <c r="C22" s="38">
        <v>25</v>
      </c>
      <c r="D22" s="38" t="s">
        <v>26</v>
      </c>
      <c r="E22" s="17">
        <f>SUM(F22:I22)</f>
        <v>2991</v>
      </c>
      <c r="F22" s="36">
        <v>1948</v>
      </c>
      <c r="G22" s="36">
        <v>675</v>
      </c>
      <c r="H22" s="25">
        <v>65</v>
      </c>
      <c r="I22" s="28">
        <v>303</v>
      </c>
      <c r="J22" s="18">
        <v>46570934</v>
      </c>
      <c r="K22" s="8">
        <f>J22/E22</f>
        <v>15570.355733868271</v>
      </c>
      <c r="L22" s="3">
        <f>'Model Generation'!$M$5*'Outputs Results'!E22^'Model Generation'!$N$5</f>
        <v>16747.328312960803</v>
      </c>
      <c r="M22" s="9">
        <f>K22-L22</f>
        <v>-1176.9725790925313</v>
      </c>
      <c r="N22" s="10">
        <f>M22/L22</f>
        <v>-7.0278229285185095E-2</v>
      </c>
      <c r="O22" s="11">
        <f>L22*E22</f>
        <v>50091258.984065764</v>
      </c>
      <c r="P22" s="9">
        <f>O22-J22</f>
        <v>3520324.9840657637</v>
      </c>
      <c r="Q22" s="9">
        <f>IF(P22&gt;0,P22,"")</f>
        <v>3520324.9840657637</v>
      </c>
      <c r="R22" s="9">
        <f>IFERROR((Q22/$Q$30)*$X$3*$Y$3,"0")</f>
        <v>0</v>
      </c>
      <c r="S22" s="9">
        <f>($X$3-$R$30) * ( O22 / $O$30 )</f>
        <v>0</v>
      </c>
      <c r="T22" s="9">
        <f>R22+S22</f>
        <v>0</v>
      </c>
      <c r="U22" s="9">
        <f>R22/E22</f>
        <v>0</v>
      </c>
      <c r="V22" s="14">
        <f>S22/E22</f>
        <v>0</v>
      </c>
      <c r="AB22" s="31">
        <v>21</v>
      </c>
      <c r="AC22" s="31">
        <v>25</v>
      </c>
      <c r="AD22" s="31" t="s">
        <v>87</v>
      </c>
      <c r="AE22" s="38" t="s">
        <v>26</v>
      </c>
      <c r="AF22" s="44">
        <f t="shared" si="0"/>
        <v>2991</v>
      </c>
      <c r="AG22" s="14">
        <f t="shared" si="1"/>
        <v>15570.355733868271</v>
      </c>
      <c r="AH22" s="9">
        <f t="shared" si="2"/>
        <v>46570934</v>
      </c>
      <c r="AI22" s="14">
        <f t="shared" si="3"/>
        <v>15570.355733868271</v>
      </c>
      <c r="AJ22" s="38"/>
    </row>
    <row r="23" spans="1:36">
      <c r="A23" s="4">
        <v>22</v>
      </c>
      <c r="B23" s="38">
        <v>6</v>
      </c>
      <c r="C23" s="38">
        <v>7</v>
      </c>
      <c r="D23" s="38" t="s">
        <v>27</v>
      </c>
      <c r="E23" s="17">
        <f>SUM(F23:I23)</f>
        <v>5724</v>
      </c>
      <c r="F23" s="36">
        <v>2141</v>
      </c>
      <c r="G23" s="36">
        <v>1071</v>
      </c>
      <c r="H23" s="25">
        <v>1112</v>
      </c>
      <c r="I23" s="28">
        <v>1400</v>
      </c>
      <c r="J23" s="18">
        <v>78876686</v>
      </c>
      <c r="K23" s="8">
        <f>J23/E23</f>
        <v>13779.994060097833</v>
      </c>
      <c r="L23" s="3">
        <f>'Model Generation'!$M$5*'Outputs Results'!E23^'Model Generation'!$N$5</f>
        <v>14082.595876127683</v>
      </c>
      <c r="M23" s="9">
        <f>K23-L23</f>
        <v>-302.60181602984994</v>
      </c>
      <c r="N23" s="10">
        <f>M23/L23</f>
        <v>-2.1487644656679371E-2</v>
      </c>
      <c r="O23" s="11">
        <f>L23*E23</f>
        <v>80608778.794954866</v>
      </c>
      <c r="P23" s="9">
        <f>O23-J23</f>
        <v>1732092.7949548662</v>
      </c>
      <c r="Q23" s="9">
        <f>IF(P23&gt;0,P23,"")</f>
        <v>1732092.7949548662</v>
      </c>
      <c r="R23" s="9">
        <f>IFERROR((Q23/$Q$30)*$X$3*$Y$3,"0")</f>
        <v>0</v>
      </c>
      <c r="S23" s="9">
        <f>($X$3-$R$30) * ( O23 / $O$30 )</f>
        <v>0</v>
      </c>
      <c r="T23" s="9">
        <f>R23+S23</f>
        <v>0</v>
      </c>
      <c r="U23" s="9">
        <f>R23/E23</f>
        <v>0</v>
      </c>
      <c r="V23" s="14">
        <f>S23/E23</f>
        <v>0</v>
      </c>
      <c r="AB23" s="38">
        <v>22</v>
      </c>
      <c r="AC23" s="31">
        <v>7</v>
      </c>
      <c r="AD23" s="31" t="s">
        <v>88</v>
      </c>
      <c r="AE23" s="38" t="s">
        <v>27</v>
      </c>
      <c r="AF23" s="44">
        <f t="shared" si="0"/>
        <v>5724</v>
      </c>
      <c r="AG23" s="14">
        <f t="shared" si="1"/>
        <v>13779.994060097833</v>
      </c>
      <c r="AH23" s="9">
        <f t="shared" si="2"/>
        <v>78876686</v>
      </c>
      <c r="AI23" s="14">
        <f t="shared" si="3"/>
        <v>13779.994060097833</v>
      </c>
      <c r="AJ23" s="38"/>
    </row>
    <row r="24" spans="1:36">
      <c r="A24" s="4">
        <v>23</v>
      </c>
      <c r="B24" s="38">
        <v>6</v>
      </c>
      <c r="C24" s="38">
        <v>23</v>
      </c>
      <c r="D24" s="38" t="s">
        <v>28</v>
      </c>
      <c r="E24" s="17">
        <f>SUM(F24:I24)</f>
        <v>4429</v>
      </c>
      <c r="F24" s="36">
        <v>2935</v>
      </c>
      <c r="G24" s="36">
        <v>1052</v>
      </c>
      <c r="H24" s="25">
        <v>213</v>
      </c>
      <c r="I24" s="28">
        <v>229</v>
      </c>
      <c r="J24" s="18">
        <v>78136883</v>
      </c>
      <c r="K24" s="8">
        <f>J24/E24</f>
        <v>17642.104989839692</v>
      </c>
      <c r="L24" s="3">
        <f>'Model Generation'!$M$5*'Outputs Results'!E24^'Model Generation'!$N$5</f>
        <v>15080.818039381906</v>
      </c>
      <c r="M24" s="9">
        <f>K24-L24</f>
        <v>2561.2869504577866</v>
      </c>
      <c r="N24" s="10">
        <f>M24/L24</f>
        <v>0.16983740164288608</v>
      </c>
      <c r="O24" s="11">
        <f>L24*E24</f>
        <v>66792943.096422464</v>
      </c>
      <c r="P24" s="9">
        <f>O24-J24</f>
        <v>-11343939.903577536</v>
      </c>
      <c r="Q24" s="9" t="str">
        <f>IF(P24&gt;0,P24,"")</f>
        <v/>
      </c>
      <c r="R24" s="9" t="str">
        <f>IFERROR((Q24/$Q$30)*$X$3*$Y$3,"0")</f>
        <v>0</v>
      </c>
      <c r="S24" s="9">
        <f>($X$3-$R$30) * ( O24 / $O$30 )</f>
        <v>0</v>
      </c>
      <c r="T24" s="9">
        <f>R24+S24</f>
        <v>0</v>
      </c>
      <c r="U24" s="9">
        <f>R24/E24</f>
        <v>0</v>
      </c>
      <c r="V24" s="14">
        <f>S24/E24</f>
        <v>0</v>
      </c>
      <c r="AB24" s="31">
        <v>23</v>
      </c>
      <c r="AC24" s="31">
        <v>23</v>
      </c>
      <c r="AD24" s="31" t="s">
        <v>85</v>
      </c>
      <c r="AE24" s="38" t="s">
        <v>28</v>
      </c>
      <c r="AF24" s="44">
        <f t="shared" si="0"/>
        <v>4429</v>
      </c>
      <c r="AG24" s="14">
        <f t="shared" si="1"/>
        <v>17642.104989839692</v>
      </c>
      <c r="AH24" s="9">
        <f t="shared" si="2"/>
        <v>78136883</v>
      </c>
      <c r="AI24" s="14">
        <f t="shared" si="3"/>
        <v>17642.104989839692</v>
      </c>
    </row>
    <row r="25" spans="1:36">
      <c r="A25" s="4">
        <v>24</v>
      </c>
      <c r="B25" s="38">
        <v>6</v>
      </c>
      <c r="C25" s="38">
        <v>10</v>
      </c>
      <c r="D25" s="38" t="s">
        <v>29</v>
      </c>
      <c r="E25" s="17">
        <f>SUM(F25:I25)</f>
        <v>5380</v>
      </c>
      <c r="F25" s="36">
        <v>3266</v>
      </c>
      <c r="G25" s="36">
        <v>823</v>
      </c>
      <c r="H25" s="35">
        <v>712</v>
      </c>
      <c r="I25" s="28">
        <v>579</v>
      </c>
      <c r="J25" s="18">
        <v>71428565</v>
      </c>
      <c r="K25" s="8">
        <f>J25/E25</f>
        <v>13276.684944237919</v>
      </c>
      <c r="L25" s="3">
        <f>'Model Generation'!$M$5*'Outputs Results'!E25^'Model Generation'!$N$5</f>
        <v>14317.581006079725</v>
      </c>
      <c r="M25" s="9">
        <f>K25-L25</f>
        <v>-1040.8960618418059</v>
      </c>
      <c r="N25" s="10">
        <f>M25/L25</f>
        <v>-7.2700553354634878E-2</v>
      </c>
      <c r="O25" s="11">
        <f>L25*E25</f>
        <v>77028585.812708914</v>
      </c>
      <c r="P25" s="9">
        <f>O25-J25</f>
        <v>5600020.8127089143</v>
      </c>
      <c r="Q25" s="9">
        <f>IF(P25&gt;0,P25,"")</f>
        <v>5600020.8127089143</v>
      </c>
      <c r="R25" s="9">
        <f>IFERROR((Q25/$Q$30)*$X$3*$Y$3,"0")</f>
        <v>0</v>
      </c>
      <c r="S25" s="9">
        <f>($X$3-$R$30) * ( O25 / $O$30 )</f>
        <v>0</v>
      </c>
      <c r="T25" s="9">
        <f>R25+S25</f>
        <v>0</v>
      </c>
      <c r="U25" s="9">
        <f>R25/E25</f>
        <v>0</v>
      </c>
      <c r="V25" s="14">
        <f>S25/E25</f>
        <v>0</v>
      </c>
      <c r="AB25" s="38">
        <v>24</v>
      </c>
      <c r="AC25" s="31">
        <v>10</v>
      </c>
      <c r="AD25" s="31" t="s">
        <v>78</v>
      </c>
      <c r="AE25" s="38" t="s">
        <v>29</v>
      </c>
      <c r="AF25" s="44">
        <f t="shared" si="0"/>
        <v>5380</v>
      </c>
      <c r="AG25" s="14">
        <f t="shared" si="1"/>
        <v>13276.684944237919</v>
      </c>
      <c r="AH25" s="9">
        <f t="shared" si="2"/>
        <v>71428565</v>
      </c>
      <c r="AI25" s="14">
        <f t="shared" si="3"/>
        <v>13276.684944237919</v>
      </c>
      <c r="AJ25" s="38"/>
    </row>
    <row r="26" spans="1:36">
      <c r="A26" s="4">
        <v>25</v>
      </c>
      <c r="B26" s="38">
        <v>6</v>
      </c>
      <c r="C26" s="38">
        <v>18</v>
      </c>
      <c r="D26" s="38" t="s">
        <v>30</v>
      </c>
      <c r="E26" s="17">
        <f>SUM(F26:I26)</f>
        <v>5120</v>
      </c>
      <c r="F26" s="36">
        <v>3535</v>
      </c>
      <c r="G26" s="36">
        <v>591</v>
      </c>
      <c r="H26" s="25">
        <v>186</v>
      </c>
      <c r="I26" s="28">
        <v>808</v>
      </c>
      <c r="J26" s="18">
        <v>67966511</v>
      </c>
      <c r="K26" s="8">
        <f>J26/E26</f>
        <v>13274.709179687499</v>
      </c>
      <c r="L26" s="3">
        <f>'Model Generation'!$M$5*'Outputs Results'!E26^'Model Generation'!$N$5</f>
        <v>14508.196764107659</v>
      </c>
      <c r="M26" s="9">
        <f>K26-L26</f>
        <v>-1233.4875844201597</v>
      </c>
      <c r="N26" s="10">
        <f>M26/L26</f>
        <v>-8.5020047940880444E-2</v>
      </c>
      <c r="O26" s="11">
        <f>L26*E26</f>
        <v>74281967.432231218</v>
      </c>
      <c r="P26" s="9">
        <f>O26-J26</f>
        <v>6315456.4322312176</v>
      </c>
      <c r="Q26" s="9">
        <f>IF(P26&gt;0,P26,"")</f>
        <v>6315456.4322312176</v>
      </c>
      <c r="R26" s="9">
        <f>IFERROR((Q26/$Q$30)*$X$3*$Y$3,"0")</f>
        <v>0</v>
      </c>
      <c r="S26" s="9">
        <f>($X$3-$R$30) * ( O26 / $O$30 )</f>
        <v>0</v>
      </c>
      <c r="T26" s="9">
        <f>R26+S26</f>
        <v>0</v>
      </c>
      <c r="U26" s="9">
        <f>R26/E26</f>
        <v>0</v>
      </c>
      <c r="V26" s="14">
        <f>S26/E26</f>
        <v>0</v>
      </c>
      <c r="AB26" s="38">
        <v>25</v>
      </c>
      <c r="AC26" s="31">
        <v>18</v>
      </c>
      <c r="AD26" s="31" t="s">
        <v>89</v>
      </c>
      <c r="AE26" s="38" t="s">
        <v>30</v>
      </c>
      <c r="AF26" s="44">
        <f t="shared" si="0"/>
        <v>5120</v>
      </c>
      <c r="AG26" s="14">
        <f t="shared" si="1"/>
        <v>13274.709179687499</v>
      </c>
      <c r="AH26" s="9">
        <f t="shared" si="2"/>
        <v>67966511</v>
      </c>
      <c r="AI26" s="14">
        <f t="shared" si="3"/>
        <v>13274.709179687499</v>
      </c>
    </row>
    <row r="27" spans="1:36">
      <c r="A27" s="4">
        <v>26</v>
      </c>
      <c r="B27" s="38">
        <v>7</v>
      </c>
      <c r="C27" s="38">
        <v>2</v>
      </c>
      <c r="D27" s="38" t="s">
        <v>31</v>
      </c>
      <c r="E27" s="17">
        <f>SUM(F27:I27)</f>
        <v>7000</v>
      </c>
      <c r="F27" s="36">
        <v>4861</v>
      </c>
      <c r="G27" s="36">
        <v>1363</v>
      </c>
      <c r="H27" s="25">
        <v>670</v>
      </c>
      <c r="I27" s="28">
        <v>106</v>
      </c>
      <c r="J27" s="18">
        <v>92145520</v>
      </c>
      <c r="K27" s="8">
        <f>J27/E27</f>
        <v>13163.645714285714</v>
      </c>
      <c r="L27" s="3">
        <f>'Model Generation'!$M$5*'Outputs Results'!E27^'Model Generation'!$N$5</f>
        <v>13345.883819998377</v>
      </c>
      <c r="M27" s="9">
        <f>K27-L27</f>
        <v>-182.23810571266222</v>
      </c>
      <c r="N27" s="10">
        <f>M27/L27</f>
        <v>-1.3655004656910342E-2</v>
      </c>
      <c r="O27" s="11">
        <f>L27*E27</f>
        <v>93421186.73998864</v>
      </c>
      <c r="P27" s="9">
        <f>O27-J27</f>
        <v>1275666.73998864</v>
      </c>
      <c r="Q27" s="9">
        <f>IF(P27&gt;0,P27,"")</f>
        <v>1275666.73998864</v>
      </c>
      <c r="R27" s="9">
        <f>IFERROR((Q27/$Q$30)*$X$3*$Y$3,"0")</f>
        <v>0</v>
      </c>
      <c r="S27" s="9">
        <f>($X$3-$R$30) * ( O27 / $O$30 )</f>
        <v>0</v>
      </c>
      <c r="T27" s="9">
        <f>R27+S27</f>
        <v>0</v>
      </c>
      <c r="U27" s="9">
        <f>R27/E27</f>
        <v>0</v>
      </c>
      <c r="V27" s="14">
        <f>S27/E27</f>
        <v>0</v>
      </c>
      <c r="AB27" s="41">
        <v>26</v>
      </c>
      <c r="AC27" s="31">
        <v>2</v>
      </c>
      <c r="AD27" s="31" t="s">
        <v>86</v>
      </c>
      <c r="AE27" s="38" t="s">
        <v>31</v>
      </c>
      <c r="AF27" s="44">
        <f t="shared" si="0"/>
        <v>7000</v>
      </c>
      <c r="AG27" s="14">
        <f t="shared" si="1"/>
        <v>13163.645714285714</v>
      </c>
      <c r="AH27" s="9">
        <f t="shared" si="2"/>
        <v>92145520</v>
      </c>
      <c r="AI27" s="14">
        <f t="shared" si="3"/>
        <v>13163.645714285714</v>
      </c>
      <c r="AJ27" s="38"/>
    </row>
    <row r="28" spans="1:36">
      <c r="A28" s="4">
        <v>27</v>
      </c>
      <c r="B28" s="38">
        <v>7</v>
      </c>
      <c r="C28" s="38">
        <v>28</v>
      </c>
      <c r="D28" s="38" t="s">
        <v>32</v>
      </c>
      <c r="E28" s="17">
        <f>SUM(F28:I28)</f>
        <v>9742</v>
      </c>
      <c r="F28" s="36">
        <v>7351</v>
      </c>
      <c r="G28" s="36">
        <v>1480</v>
      </c>
      <c r="H28" s="25">
        <v>644</v>
      </c>
      <c r="I28" s="28">
        <v>267</v>
      </c>
      <c r="J28" s="18">
        <v>95201363</v>
      </c>
      <c r="K28" s="8">
        <f>J28/E28</f>
        <v>9772.2606241018275</v>
      </c>
      <c r="L28" s="3">
        <f>'Model Generation'!$M$5*'Outputs Results'!E28^'Model Generation'!$N$5</f>
        <v>12218.544281698991</v>
      </c>
      <c r="M28" s="9">
        <f>K28-L28</f>
        <v>-2446.2836575971633</v>
      </c>
      <c r="N28" s="10">
        <f>M28/L28</f>
        <v>-0.20021072897048969</v>
      </c>
      <c r="O28" s="11">
        <f>L28*E28</f>
        <v>119033058.39231157</v>
      </c>
      <c r="P28" s="9">
        <f>O28-J28</f>
        <v>23831695.392311573</v>
      </c>
      <c r="Q28" s="9">
        <f>IF(P28&gt;0,P28,"")</f>
        <v>23831695.392311573</v>
      </c>
      <c r="R28" s="9">
        <f>IFERROR((Q28/$Q$30)*$X$3*$Y$3,"0")</f>
        <v>0</v>
      </c>
      <c r="S28" s="9">
        <f>($X$3-$R$30) * ( O28 / $O$30 )</f>
        <v>0</v>
      </c>
      <c r="T28" s="9">
        <f>R28+S28</f>
        <v>0</v>
      </c>
      <c r="U28" s="9">
        <f>R28/E28</f>
        <v>0</v>
      </c>
      <c r="V28" s="14">
        <f>S28/E28</f>
        <v>0</v>
      </c>
      <c r="AB28" s="31">
        <v>27</v>
      </c>
      <c r="AC28" s="31">
        <v>28</v>
      </c>
      <c r="AD28" s="31" t="s">
        <v>90</v>
      </c>
      <c r="AE28" s="38" t="s">
        <v>32</v>
      </c>
      <c r="AF28" s="44">
        <f t="shared" si="0"/>
        <v>9742</v>
      </c>
      <c r="AG28" s="14">
        <f t="shared" si="1"/>
        <v>9772.2606241018275</v>
      </c>
      <c r="AH28" s="9">
        <f t="shared" si="2"/>
        <v>95201363</v>
      </c>
      <c r="AI28" s="14">
        <f t="shared" si="3"/>
        <v>9772.2606241018275</v>
      </c>
      <c r="AJ28" s="38"/>
    </row>
    <row r="29" spans="1:36" ht="15.75" thickBot="1">
      <c r="A29" s="4">
        <v>28</v>
      </c>
      <c r="B29" s="38">
        <v>7</v>
      </c>
      <c r="C29" s="38">
        <v>15</v>
      </c>
      <c r="D29" s="38" t="s">
        <v>33</v>
      </c>
      <c r="E29" s="17">
        <f>SUM(F29:I29)</f>
        <v>10726</v>
      </c>
      <c r="F29" s="34">
        <v>8584</v>
      </c>
      <c r="G29" s="34">
        <v>1814</v>
      </c>
      <c r="H29" s="21">
        <v>45</v>
      </c>
      <c r="I29" s="32">
        <v>283</v>
      </c>
      <c r="J29" s="18">
        <v>178905947</v>
      </c>
      <c r="K29" s="8">
        <f>J29/E29</f>
        <v>16679.651967182548</v>
      </c>
      <c r="L29" s="3">
        <f>'Model Generation'!$M$5*'Outputs Results'!E29^'Model Generation'!$N$5</f>
        <v>11908.625172214652</v>
      </c>
      <c r="M29" s="9">
        <f>K29-L29</f>
        <v>4771.0267949678964</v>
      </c>
      <c r="N29" s="10">
        <f>M29/L29</f>
        <v>0.40063623852228669</v>
      </c>
      <c r="O29" s="11">
        <f>L29*E29</f>
        <v>127731913.59717436</v>
      </c>
      <c r="P29" s="9">
        <f>O29-J29</f>
        <v>-51174033.402825639</v>
      </c>
      <c r="Q29" s="9" t="str">
        <f>IF(P29&gt;0,P29,"")</f>
        <v/>
      </c>
      <c r="R29" s="9" t="str">
        <f>IFERROR((Q29/$Q$30)*$X$3*$Y$3,"0")</f>
        <v>0</v>
      </c>
      <c r="S29" s="9">
        <f>($X$3-$R$30) * ( O29 / $O$30 )</f>
        <v>0</v>
      </c>
      <c r="T29" s="9">
        <f>R29+S29</f>
        <v>0</v>
      </c>
      <c r="U29" s="9">
        <f>R29/E29</f>
        <v>0</v>
      </c>
      <c r="V29" s="14">
        <f>S29/E29</f>
        <v>0</v>
      </c>
      <c r="AB29" s="38">
        <v>28</v>
      </c>
      <c r="AC29" s="31">
        <v>15</v>
      </c>
      <c r="AD29" s="31" t="s">
        <v>81</v>
      </c>
      <c r="AE29" s="38" t="s">
        <v>33</v>
      </c>
      <c r="AF29" s="44">
        <f t="shared" si="0"/>
        <v>10726</v>
      </c>
      <c r="AG29" s="14">
        <f t="shared" si="1"/>
        <v>16679.651967182548</v>
      </c>
      <c r="AH29" s="9">
        <f t="shared" si="2"/>
        <v>178905947</v>
      </c>
      <c r="AI29" s="14">
        <f t="shared" si="3"/>
        <v>16679.651967182548</v>
      </c>
    </row>
    <row r="30" spans="1:36">
      <c r="A30" s="38"/>
      <c r="B30" s="38"/>
      <c r="C30" s="38"/>
      <c r="D30" s="38" t="s">
        <v>34</v>
      </c>
      <c r="E30" s="39">
        <f>SUM(E2:E29)</f>
        <v>88879</v>
      </c>
      <c r="F30" s="39"/>
      <c r="G30" s="39"/>
      <c r="H30" s="39"/>
      <c r="I30" s="39"/>
      <c r="J30" s="3">
        <f>SUM(J2:J29)</f>
        <v>1293398723</v>
      </c>
      <c r="K30" s="14"/>
      <c r="L30" s="38"/>
      <c r="M30" s="38"/>
      <c r="N30" s="38"/>
      <c r="O30" s="9">
        <f>SUM(O2:O29)</f>
        <v>1374868390.2241766</v>
      </c>
      <c r="P30" s="9"/>
      <c r="Q30" s="9">
        <f>SUM(Q2:Q29)</f>
        <v>163490390.51565659</v>
      </c>
      <c r="R30" s="9">
        <f>SUM(R2:R29)</f>
        <v>0</v>
      </c>
      <c r="S30" s="9">
        <f>SUM(S2:S29)</f>
        <v>0</v>
      </c>
      <c r="T30" s="9">
        <f>SUM(T2:T29)</f>
        <v>0</v>
      </c>
      <c r="U30" s="38"/>
      <c r="V30" s="38"/>
      <c r="AH30" s="9"/>
    </row>
    <row r="31" spans="1:36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P31" s="38"/>
      <c r="R31" s="12"/>
      <c r="S31" s="12"/>
      <c r="T31" s="12"/>
      <c r="U31" s="38"/>
      <c r="V31" s="38"/>
    </row>
    <row r="33" spans="6:32">
      <c r="F33" s="31" t="s">
        <v>99</v>
      </c>
      <c r="G33" s="31" t="s">
        <v>100</v>
      </c>
      <c r="H33" s="31" t="s">
        <v>101</v>
      </c>
      <c r="I33" t="s">
        <v>102</v>
      </c>
      <c r="J33" s="40" t="s">
        <v>65</v>
      </c>
      <c r="AD33" s="38">
        <v>16</v>
      </c>
      <c r="AE33" s="38" t="s">
        <v>6</v>
      </c>
      <c r="AF33" s="9"/>
    </row>
    <row r="34" spans="6:32">
      <c r="J34" s="40" t="s">
        <v>66</v>
      </c>
      <c r="AD34" s="31">
        <v>8</v>
      </c>
      <c r="AE34" s="38" t="s">
        <v>7</v>
      </c>
      <c r="AF34" s="9"/>
    </row>
    <row r="35" spans="6:32">
      <c r="J35" s="40" t="s">
        <v>67</v>
      </c>
      <c r="AD35" s="38">
        <v>4</v>
      </c>
      <c r="AE35" s="38" t="s">
        <v>8</v>
      </c>
      <c r="AF35" s="9"/>
    </row>
    <row r="36" spans="6:32">
      <c r="J36" s="40"/>
      <c r="AD36" s="43">
        <v>12</v>
      </c>
      <c r="AE36" s="38" t="s">
        <v>9</v>
      </c>
      <c r="AF36" s="9"/>
    </row>
    <row r="37" spans="6:32">
      <c r="J37" s="40"/>
      <c r="AD37" s="38">
        <v>26</v>
      </c>
      <c r="AE37" s="38" t="s">
        <v>10</v>
      </c>
      <c r="AF37" s="9"/>
    </row>
    <row r="38" spans="6:32">
      <c r="AD38" s="38">
        <v>9</v>
      </c>
      <c r="AE38" s="38" t="s">
        <v>11</v>
      </c>
      <c r="AF38" s="9"/>
    </row>
    <row r="39" spans="6:32">
      <c r="AD39" s="31">
        <v>13</v>
      </c>
      <c r="AE39" s="38" t="s">
        <v>12</v>
      </c>
      <c r="AF39" s="9"/>
    </row>
    <row r="40" spans="6:32">
      <c r="AD40" s="41">
        <v>17</v>
      </c>
      <c r="AE40" s="38" t="s">
        <v>13</v>
      </c>
      <c r="AF40" s="9"/>
    </row>
    <row r="41" spans="6:32">
      <c r="AD41" s="38">
        <v>22</v>
      </c>
      <c r="AE41" s="38" t="s">
        <v>14</v>
      </c>
      <c r="AF41" s="9"/>
    </row>
    <row r="42" spans="6:32">
      <c r="AD42" s="31">
        <v>3</v>
      </c>
      <c r="AE42" s="38" t="s">
        <v>15</v>
      </c>
      <c r="AF42" s="9"/>
    </row>
    <row r="43" spans="6:32">
      <c r="AD43" s="38">
        <v>21</v>
      </c>
      <c r="AE43" s="38" t="s">
        <v>16</v>
      </c>
      <c r="AF43" s="9"/>
    </row>
    <row r="44" spans="6:32">
      <c r="AD44" s="41">
        <v>20</v>
      </c>
      <c r="AE44" s="38" t="s">
        <v>17</v>
      </c>
      <c r="AF44" s="9"/>
    </row>
    <row r="45" spans="6:32">
      <c r="AD45" s="38">
        <v>14</v>
      </c>
      <c r="AE45" s="38" t="s">
        <v>18</v>
      </c>
      <c r="AF45" s="9"/>
    </row>
    <row r="46" spans="6:32">
      <c r="AD46" s="38">
        <v>19</v>
      </c>
      <c r="AE46" s="38" t="s">
        <v>19</v>
      </c>
      <c r="AF46" s="9"/>
    </row>
    <row r="47" spans="6:32">
      <c r="AD47" s="31">
        <v>27</v>
      </c>
      <c r="AE47" s="38" t="s">
        <v>20</v>
      </c>
      <c r="AF47" s="9"/>
    </row>
    <row r="48" spans="6:32">
      <c r="AD48" s="41">
        <v>24</v>
      </c>
      <c r="AE48" s="38" t="s">
        <v>21</v>
      </c>
      <c r="AF48" s="9"/>
    </row>
    <row r="49" spans="30:32">
      <c r="AD49" s="38">
        <v>6</v>
      </c>
      <c r="AE49" s="38" t="s">
        <v>22</v>
      </c>
      <c r="AF49" s="9"/>
    </row>
    <row r="50" spans="30:32">
      <c r="AD50" s="31">
        <v>5</v>
      </c>
      <c r="AE50" s="38" t="s">
        <v>23</v>
      </c>
      <c r="AF50" s="9"/>
    </row>
    <row r="51" spans="30:32">
      <c r="AD51" s="38">
        <v>1</v>
      </c>
      <c r="AE51" s="38" t="s">
        <v>24</v>
      </c>
      <c r="AF51" s="9"/>
    </row>
    <row r="52" spans="30:32">
      <c r="AD52" s="38">
        <v>11</v>
      </c>
      <c r="AE52" s="38" t="s">
        <v>25</v>
      </c>
      <c r="AF52" s="9"/>
    </row>
    <row r="53" spans="30:32">
      <c r="AD53" s="38">
        <v>25</v>
      </c>
      <c r="AE53" s="38" t="s">
        <v>26</v>
      </c>
      <c r="AF53" s="9"/>
    </row>
    <row r="54" spans="30:32">
      <c r="AD54" s="38">
        <v>7</v>
      </c>
      <c r="AE54" s="38" t="s">
        <v>27</v>
      </c>
      <c r="AF54" s="9"/>
    </row>
    <row r="55" spans="30:32">
      <c r="AD55" s="31">
        <v>23</v>
      </c>
      <c r="AE55" s="38" t="s">
        <v>28</v>
      </c>
      <c r="AF55" s="9"/>
    </row>
    <row r="56" spans="30:32">
      <c r="AD56" s="38">
        <v>10</v>
      </c>
      <c r="AE56" s="38" t="s">
        <v>29</v>
      </c>
      <c r="AF56" s="9"/>
    </row>
    <row r="57" spans="30:32">
      <c r="AD57" s="31">
        <v>18</v>
      </c>
      <c r="AE57" s="38" t="s">
        <v>30</v>
      </c>
      <c r="AF57" s="9"/>
    </row>
    <row r="58" spans="30:32">
      <c r="AD58" s="38">
        <v>2</v>
      </c>
      <c r="AE58" s="38" t="s">
        <v>31</v>
      </c>
      <c r="AF58" s="9"/>
    </row>
    <row r="59" spans="30:32">
      <c r="AD59" s="38">
        <v>28</v>
      </c>
      <c r="AE59" s="38" t="s">
        <v>32</v>
      </c>
      <c r="AF59" s="9"/>
    </row>
    <row r="60" spans="30:32">
      <c r="AD60" s="31">
        <v>15</v>
      </c>
      <c r="AE60" s="38" t="s">
        <v>33</v>
      </c>
      <c r="AF60" s="9"/>
    </row>
  </sheetData>
  <autoFilter ref="A1:V30">
    <sortState ref="A2:V30">
      <sortCondition ref="A1:A30"/>
    </sortState>
  </autoFilter>
  <sortState ref="AD33:AF60">
    <sortCondition ref="AD33:AD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zoomScale="104" workbookViewId="0"/>
  </sheetViews>
  <sheetFormatPr defaultRowHeight="15"/>
  <cols>
    <col min="2" max="2" width="9.140625" customWidth="1"/>
    <col min="3" max="3" width="17.42578125" bestFit="1" customWidth="1"/>
    <col min="4" max="4" width="14.5703125" customWidth="1"/>
    <col min="9" max="9" width="10" bestFit="1" customWidth="1"/>
  </cols>
  <sheetData>
    <row r="2" spans="2:14">
      <c r="M2" s="49"/>
      <c r="N2" s="49"/>
    </row>
    <row r="3" spans="2:14">
      <c r="M3" s="49" t="s">
        <v>61</v>
      </c>
      <c r="N3" s="49"/>
    </row>
    <row r="4" spans="2:14" ht="60.75" thickBot="1">
      <c r="B4" t="s">
        <v>0</v>
      </c>
      <c r="C4" t="s">
        <v>51</v>
      </c>
      <c r="D4" s="2" t="s">
        <v>52</v>
      </c>
      <c r="M4" s="19" t="s">
        <v>59</v>
      </c>
      <c r="N4" s="19" t="s">
        <v>60</v>
      </c>
    </row>
    <row r="5" spans="2:14" ht="15.75" thickBot="1">
      <c r="B5">
        <v>1</v>
      </c>
      <c r="C5" s="1">
        <f>AVERAGE('Outputs Results'!E2:E4)</f>
        <v>395.33333333333331</v>
      </c>
      <c r="D5" s="5">
        <f>AVERAGE('Outputs Results'!J2:J4)/C5</f>
        <v>24628.628161888701</v>
      </c>
      <c r="M5" s="37">
        <v>141902</v>
      </c>
      <c r="N5" s="37">
        <v>-0.26700000000000002</v>
      </c>
    </row>
    <row r="6" spans="2:14">
      <c r="B6">
        <v>2</v>
      </c>
      <c r="C6" s="1">
        <f>AVERAGE('Outputs Results'!E5:E7)</f>
        <v>699.33333333333337</v>
      </c>
      <c r="D6" s="5">
        <f>AVERAGE('Outputs Results'!J5:J7)/C6</f>
        <v>28356.897044804573</v>
      </c>
    </row>
    <row r="7" spans="2:14">
      <c r="B7">
        <v>3</v>
      </c>
      <c r="C7" s="1">
        <f>AVERAGE('Outputs Results'!E8:E11)</f>
        <v>1493</v>
      </c>
      <c r="D7" s="5">
        <f>AVERAGE('Outputs Results'!J8:J11)/C7</f>
        <v>15105.969189551239</v>
      </c>
    </row>
    <row r="8" spans="2:14">
      <c r="B8">
        <v>4</v>
      </c>
      <c r="C8" s="1">
        <f>AVERAGE('Outputs Results'!E12:E16)</f>
        <v>2527</v>
      </c>
      <c r="D8" s="5">
        <f>AVERAGE('Outputs Results'!J12:J16)/C8</f>
        <v>13839.354412346656</v>
      </c>
    </row>
    <row r="9" spans="2:14">
      <c r="B9">
        <v>5</v>
      </c>
      <c r="C9" s="1">
        <f>AVERAGE('Outputs Results'!E17:E22)</f>
        <v>3144.5</v>
      </c>
      <c r="D9" s="5">
        <f>AVERAGE('Outputs Results'!J17:J22)/C9</f>
        <v>14679.696507128849</v>
      </c>
    </row>
    <row r="10" spans="2:14">
      <c r="B10">
        <v>6</v>
      </c>
      <c r="C10" s="1">
        <f>AVERAGE('Outputs Results'!E23:E26)</f>
        <v>5163.25</v>
      </c>
      <c r="D10" s="5">
        <f>AVERAGE('Outputs Results'!J23:J26)/C10</f>
        <v>14351.844526218951</v>
      </c>
    </row>
    <row r="11" spans="2:14">
      <c r="B11">
        <v>7</v>
      </c>
      <c r="C11" s="1">
        <f>AVERAGE('Outputs Results'!E27:E29)</f>
        <v>9156</v>
      </c>
      <c r="D11" s="5">
        <f>AVERAGE('Outputs Results'!J27:J29)/C11</f>
        <v>13333.800422309598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66"/>
  <sheetViews>
    <sheetView zoomScaleNormal="100" workbookViewId="0"/>
  </sheetViews>
  <sheetFormatPr defaultRowHeight="15"/>
  <cols>
    <col min="1" max="1" width="9.140625" style="31"/>
    <col min="2" max="2" width="29.28515625" style="31" customWidth="1"/>
    <col min="3" max="3" width="12.5703125" style="31" customWidth="1"/>
    <col min="4" max="4" width="14.5703125" style="31" customWidth="1"/>
    <col min="5" max="8" width="9.140625" style="31"/>
    <col min="9" max="9" width="10" style="31" bestFit="1" customWidth="1"/>
    <col min="10" max="16384" width="9.140625" style="31"/>
  </cols>
  <sheetData>
    <row r="2" spans="1:14">
      <c r="M2" s="48"/>
      <c r="N2" s="48"/>
    </row>
    <row r="3" spans="1:14">
      <c r="M3" s="49" t="s">
        <v>61</v>
      </c>
      <c r="N3" s="49"/>
    </row>
    <row r="4" spans="1:14" ht="45.75" thickBot="1">
      <c r="B4" s="31" t="s">
        <v>0</v>
      </c>
      <c r="C4" s="2" t="s">
        <v>104</v>
      </c>
      <c r="D4" s="2" t="s">
        <v>68</v>
      </c>
      <c r="M4" s="19" t="s">
        <v>59</v>
      </c>
      <c r="N4" s="19" t="s">
        <v>60</v>
      </c>
    </row>
    <row r="5" spans="1:14" ht="15.75" thickBot="1">
      <c r="A5" s="31" t="s">
        <v>92</v>
      </c>
      <c r="B5" s="38" t="s">
        <v>10</v>
      </c>
      <c r="C5" s="1">
        <v>491</v>
      </c>
      <c r="D5" s="5">
        <v>41215.456211812627</v>
      </c>
      <c r="M5" s="37">
        <v>133906</v>
      </c>
      <c r="N5" s="37">
        <v>0.5212</v>
      </c>
    </row>
    <row r="6" spans="1:14">
      <c r="A6" s="31" t="s">
        <v>91</v>
      </c>
      <c r="B6" s="38" t="s">
        <v>7</v>
      </c>
      <c r="C6" s="1">
        <v>261</v>
      </c>
      <c r="D6" s="5">
        <v>32470.716475095785</v>
      </c>
    </row>
    <row r="7" spans="1:14">
      <c r="A7" s="31" t="s">
        <v>93</v>
      </c>
      <c r="B7" s="38" t="s">
        <v>11</v>
      </c>
      <c r="C7" s="31">
        <v>815</v>
      </c>
      <c r="D7" s="5">
        <v>30080.426993865032</v>
      </c>
    </row>
    <row r="8" spans="1:14">
      <c r="A8" s="31" t="s">
        <v>94</v>
      </c>
      <c r="B8" s="38" t="s">
        <v>8</v>
      </c>
      <c r="C8" s="1">
        <v>489</v>
      </c>
      <c r="D8" s="5">
        <v>25670.922290388549</v>
      </c>
    </row>
    <row r="9" spans="1:14">
      <c r="A9" s="31" t="s">
        <v>71</v>
      </c>
      <c r="B9" s="38" t="s">
        <v>15</v>
      </c>
      <c r="C9" s="31">
        <v>1313</v>
      </c>
      <c r="D9" s="5">
        <v>22303.872048743335</v>
      </c>
    </row>
    <row r="10" spans="1:14">
      <c r="A10" s="31" t="s">
        <v>103</v>
      </c>
      <c r="B10" s="38" t="s">
        <v>16</v>
      </c>
      <c r="C10" s="31">
        <v>1936</v>
      </c>
      <c r="D10" s="5">
        <v>19972.671487603307</v>
      </c>
    </row>
    <row r="11" spans="1:14">
      <c r="A11" s="31" t="s">
        <v>74</v>
      </c>
      <c r="B11" s="38" t="s">
        <v>19</v>
      </c>
      <c r="C11" s="1">
        <v>1869</v>
      </c>
      <c r="D11" s="5">
        <v>19889.444087747459</v>
      </c>
    </row>
    <row r="12" spans="1:14">
      <c r="A12" s="31" t="s">
        <v>69</v>
      </c>
      <c r="B12" s="38" t="s">
        <v>6</v>
      </c>
      <c r="C12" s="31">
        <v>436</v>
      </c>
      <c r="D12" s="5">
        <v>18765.172018348625</v>
      </c>
    </row>
    <row r="13" spans="1:14">
      <c r="A13" s="31" t="s">
        <v>75</v>
      </c>
      <c r="B13" s="38" t="s">
        <v>9</v>
      </c>
      <c r="C13" s="31">
        <v>792</v>
      </c>
      <c r="D13" s="5">
        <v>18611.657828282827</v>
      </c>
    </row>
    <row r="14" spans="1:14">
      <c r="A14" s="31" t="s">
        <v>85</v>
      </c>
      <c r="B14" s="38" t="s">
        <v>28</v>
      </c>
      <c r="C14" s="1">
        <v>4429</v>
      </c>
      <c r="D14" s="5">
        <v>17642.104989839692</v>
      </c>
    </row>
    <row r="15" spans="1:14">
      <c r="A15" s="31" t="s">
        <v>73</v>
      </c>
      <c r="B15" s="38" t="s">
        <v>17</v>
      </c>
      <c r="C15" s="31">
        <v>2191</v>
      </c>
      <c r="D15" s="5">
        <v>17439.126882701963</v>
      </c>
    </row>
    <row r="16" spans="1:14">
      <c r="A16" s="31" t="s">
        <v>80</v>
      </c>
      <c r="B16" s="38" t="s">
        <v>25</v>
      </c>
      <c r="C16" s="31">
        <v>2992</v>
      </c>
      <c r="D16" s="5">
        <v>17186.821858288771</v>
      </c>
    </row>
    <row r="17" spans="1:4">
      <c r="A17" s="31" t="s">
        <v>81</v>
      </c>
      <c r="B17" s="38" t="s">
        <v>33</v>
      </c>
      <c r="C17" s="31">
        <v>10726</v>
      </c>
      <c r="D17" s="5">
        <v>16679.651967182548</v>
      </c>
    </row>
    <row r="18" spans="1:4">
      <c r="A18" s="31" t="s">
        <v>77</v>
      </c>
      <c r="B18" s="38" t="s">
        <v>23</v>
      </c>
      <c r="C18" s="31">
        <v>3152</v>
      </c>
      <c r="D18" s="5">
        <v>16561.318210659898</v>
      </c>
    </row>
    <row r="19" spans="1:4">
      <c r="A19" s="31" t="s">
        <v>76</v>
      </c>
      <c r="B19" s="38" t="s">
        <v>12</v>
      </c>
      <c r="C19" s="31">
        <v>984</v>
      </c>
      <c r="D19" s="5">
        <v>15639.486788617885</v>
      </c>
    </row>
    <row r="20" spans="1:4">
      <c r="A20" s="31" t="s">
        <v>87</v>
      </c>
      <c r="B20" s="38" t="s">
        <v>26</v>
      </c>
      <c r="C20" s="1">
        <v>2991</v>
      </c>
      <c r="D20" s="5">
        <v>15570.355733868271</v>
      </c>
    </row>
    <row r="21" spans="1:4">
      <c r="A21" s="31" t="s">
        <v>72</v>
      </c>
      <c r="B21" s="38" t="s">
        <v>13</v>
      </c>
      <c r="C21" s="31">
        <v>1406</v>
      </c>
      <c r="D21" s="5">
        <v>14598.214082503557</v>
      </c>
    </row>
    <row r="22" spans="1:4">
      <c r="A22" s="31" t="s">
        <v>88</v>
      </c>
      <c r="B22" s="38" t="s">
        <v>27</v>
      </c>
      <c r="C22" s="31">
        <v>5724</v>
      </c>
      <c r="D22" s="5">
        <v>13779.994060097833</v>
      </c>
    </row>
    <row r="23" spans="1:4">
      <c r="A23" s="31" t="s">
        <v>70</v>
      </c>
      <c r="B23" s="38" t="s">
        <v>22</v>
      </c>
      <c r="C23" s="31">
        <v>2686</v>
      </c>
      <c r="D23" s="5">
        <v>13745.896500372301</v>
      </c>
    </row>
    <row r="24" spans="1:4">
      <c r="A24" s="31" t="s">
        <v>82</v>
      </c>
      <c r="B24" s="38" t="s">
        <v>21</v>
      </c>
      <c r="C24" s="31">
        <v>3270</v>
      </c>
      <c r="D24" s="5">
        <v>13594.067889908258</v>
      </c>
    </row>
    <row r="25" spans="1:4">
      <c r="A25" s="31" t="s">
        <v>78</v>
      </c>
      <c r="B25" s="38" t="s">
        <v>29</v>
      </c>
      <c r="C25" s="31">
        <v>5380</v>
      </c>
      <c r="D25" s="5">
        <v>13276.684944237919</v>
      </c>
    </row>
    <row r="26" spans="1:4">
      <c r="A26" s="31" t="s">
        <v>89</v>
      </c>
      <c r="B26" s="38" t="s">
        <v>30</v>
      </c>
      <c r="C26" s="1">
        <v>5120</v>
      </c>
      <c r="D26" s="5">
        <v>13274.709179687499</v>
      </c>
    </row>
    <row r="27" spans="1:4">
      <c r="A27" s="31" t="s">
        <v>86</v>
      </c>
      <c r="B27" s="38" t="s">
        <v>31</v>
      </c>
      <c r="C27" s="31">
        <v>7000</v>
      </c>
      <c r="D27" s="5">
        <v>13163.645714285714</v>
      </c>
    </row>
    <row r="28" spans="1:4">
      <c r="A28" s="31" t="s">
        <v>79</v>
      </c>
      <c r="B28" s="38" t="s">
        <v>24</v>
      </c>
      <c r="C28" s="31">
        <v>3776</v>
      </c>
      <c r="D28" s="5">
        <v>12021.33845338983</v>
      </c>
    </row>
    <row r="29" spans="1:4">
      <c r="A29" s="31" t="s">
        <v>95</v>
      </c>
      <c r="B29" s="38" t="s">
        <v>14</v>
      </c>
      <c r="C29" s="31">
        <v>2269</v>
      </c>
      <c r="D29" s="5">
        <v>11024.028206258263</v>
      </c>
    </row>
    <row r="30" spans="1:4">
      <c r="A30" s="31" t="s">
        <v>90</v>
      </c>
      <c r="B30" s="38" t="s">
        <v>32</v>
      </c>
      <c r="C30" s="31">
        <v>9742</v>
      </c>
      <c r="D30" s="5">
        <v>9772.2606241018275</v>
      </c>
    </row>
    <row r="31" spans="1:4">
      <c r="A31" s="31" t="s">
        <v>84</v>
      </c>
      <c r="B31" s="38" t="s">
        <v>20</v>
      </c>
      <c r="C31" s="31">
        <v>3621</v>
      </c>
      <c r="D31" s="5">
        <v>9609.4984810825736</v>
      </c>
    </row>
    <row r="32" spans="1:4">
      <c r="A32" s="31" t="s">
        <v>83</v>
      </c>
      <c r="B32" s="38" t="s">
        <v>18</v>
      </c>
      <c r="C32" s="31">
        <v>3018</v>
      </c>
      <c r="D32" s="5">
        <v>8619.8339960238573</v>
      </c>
    </row>
    <row r="36" spans="1:14">
      <c r="M36" s="48"/>
      <c r="N36" s="48"/>
    </row>
    <row r="37" spans="1:14">
      <c r="M37" s="49" t="s">
        <v>61</v>
      </c>
      <c r="N37" s="49"/>
    </row>
    <row r="38" spans="1:14" ht="75.75" thickBot="1">
      <c r="B38" s="31" t="s">
        <v>0</v>
      </c>
      <c r="C38" s="2" t="s">
        <v>104</v>
      </c>
      <c r="D38" s="2" t="s">
        <v>98</v>
      </c>
      <c r="M38" s="19" t="s">
        <v>59</v>
      </c>
      <c r="N38" s="19" t="s">
        <v>60</v>
      </c>
    </row>
    <row r="39" spans="1:14" ht="15.75" thickBot="1">
      <c r="A39" s="31" t="s">
        <v>92</v>
      </c>
      <c r="B39" s="38" t="s">
        <v>10</v>
      </c>
      <c r="C39" s="31">
        <v>491</v>
      </c>
      <c r="D39" s="5">
        <v>41215.456211812627</v>
      </c>
      <c r="M39" s="37">
        <v>133906</v>
      </c>
      <c r="N39" s="37">
        <v>0.5212</v>
      </c>
    </row>
    <row r="40" spans="1:14">
      <c r="A40" s="31" t="s">
        <v>91</v>
      </c>
      <c r="B40" s="38" t="s">
        <v>7</v>
      </c>
      <c r="C40" s="31">
        <v>261</v>
      </c>
      <c r="D40" s="5">
        <v>32470.716475095785</v>
      </c>
    </row>
    <row r="41" spans="1:14">
      <c r="A41" s="31" t="s">
        <v>93</v>
      </c>
      <c r="B41" s="38" t="s">
        <v>11</v>
      </c>
      <c r="C41" s="31">
        <v>815</v>
      </c>
      <c r="D41" s="5">
        <v>30080.426993865032</v>
      </c>
    </row>
    <row r="42" spans="1:14">
      <c r="A42" s="31" t="s">
        <v>94</v>
      </c>
      <c r="B42" s="38" t="s">
        <v>8</v>
      </c>
      <c r="C42" s="31">
        <v>489</v>
      </c>
      <c r="D42" s="5">
        <v>25670.922290388549</v>
      </c>
    </row>
    <row r="43" spans="1:14">
      <c r="A43" s="31" t="s">
        <v>71</v>
      </c>
      <c r="B43" s="38" t="s">
        <v>15</v>
      </c>
      <c r="C43" s="31">
        <v>1313</v>
      </c>
      <c r="D43" s="5">
        <v>22303.872048743335</v>
      </c>
    </row>
    <row r="44" spans="1:14">
      <c r="A44" s="31" t="s">
        <v>103</v>
      </c>
      <c r="B44" s="38" t="s">
        <v>16</v>
      </c>
      <c r="C44" s="31">
        <v>1936</v>
      </c>
      <c r="D44" s="5">
        <v>19972.671487603307</v>
      </c>
    </row>
    <row r="45" spans="1:14">
      <c r="A45" s="31" t="s">
        <v>74</v>
      </c>
      <c r="B45" s="38" t="s">
        <v>19</v>
      </c>
      <c r="C45" s="31">
        <v>1869</v>
      </c>
      <c r="D45" s="5">
        <v>19889.444087747459</v>
      </c>
    </row>
    <row r="46" spans="1:14">
      <c r="A46" s="31" t="s">
        <v>69</v>
      </c>
      <c r="B46" s="38" t="s">
        <v>6</v>
      </c>
      <c r="C46" s="31">
        <v>436</v>
      </c>
      <c r="D46" s="5">
        <v>18765.172018348625</v>
      </c>
    </row>
    <row r="47" spans="1:14">
      <c r="A47" s="31" t="s">
        <v>75</v>
      </c>
      <c r="B47" s="38" t="s">
        <v>9</v>
      </c>
      <c r="C47" s="31">
        <v>792</v>
      </c>
      <c r="D47" s="5">
        <v>18611.657828282827</v>
      </c>
    </row>
    <row r="48" spans="1:14">
      <c r="A48" s="31" t="s">
        <v>85</v>
      </c>
      <c r="B48" s="38" t="s">
        <v>28</v>
      </c>
      <c r="C48" s="31">
        <v>4429</v>
      </c>
      <c r="D48" s="5">
        <v>17642.104989839692</v>
      </c>
    </row>
    <row r="49" spans="1:4">
      <c r="A49" s="31" t="s">
        <v>73</v>
      </c>
      <c r="B49" s="38" t="s">
        <v>17</v>
      </c>
      <c r="C49" s="31">
        <v>2191</v>
      </c>
      <c r="D49" s="5">
        <v>17439.126882701963</v>
      </c>
    </row>
    <row r="50" spans="1:4">
      <c r="A50" s="31" t="s">
        <v>80</v>
      </c>
      <c r="B50" s="38" t="s">
        <v>25</v>
      </c>
      <c r="C50" s="31">
        <v>2992</v>
      </c>
      <c r="D50" s="5">
        <v>17186.821858288771</v>
      </c>
    </row>
    <row r="51" spans="1:4">
      <c r="A51" s="31" t="s">
        <v>81</v>
      </c>
      <c r="B51" s="38" t="s">
        <v>33</v>
      </c>
      <c r="C51" s="31">
        <v>10726</v>
      </c>
      <c r="D51" s="5">
        <v>16679.651967182548</v>
      </c>
    </row>
    <row r="52" spans="1:4">
      <c r="A52" s="31" t="s">
        <v>77</v>
      </c>
      <c r="B52" s="38" t="s">
        <v>23</v>
      </c>
      <c r="C52" s="31">
        <v>3152</v>
      </c>
      <c r="D52" s="5">
        <v>16561.318210659898</v>
      </c>
    </row>
    <row r="53" spans="1:4">
      <c r="A53" s="31" t="s">
        <v>76</v>
      </c>
      <c r="B53" s="38" t="s">
        <v>12</v>
      </c>
      <c r="C53" s="31">
        <v>984</v>
      </c>
      <c r="D53" s="5">
        <v>15639.486788617885</v>
      </c>
    </row>
    <row r="54" spans="1:4">
      <c r="A54" s="31" t="s">
        <v>87</v>
      </c>
      <c r="B54" s="38" t="s">
        <v>26</v>
      </c>
      <c r="C54" s="31">
        <v>2991</v>
      </c>
      <c r="D54" s="5">
        <v>15570.355733868271</v>
      </c>
    </row>
    <row r="55" spans="1:4">
      <c r="A55" s="31" t="s">
        <v>72</v>
      </c>
      <c r="B55" s="38" t="s">
        <v>13</v>
      </c>
      <c r="C55" s="31">
        <v>1406</v>
      </c>
      <c r="D55" s="5">
        <v>14598.214082503557</v>
      </c>
    </row>
    <row r="56" spans="1:4">
      <c r="A56" s="31" t="s">
        <v>88</v>
      </c>
      <c r="B56" s="38" t="s">
        <v>27</v>
      </c>
      <c r="C56" s="31">
        <v>5724</v>
      </c>
      <c r="D56" s="5">
        <v>13779.994060097833</v>
      </c>
    </row>
    <row r="57" spans="1:4">
      <c r="A57" s="31" t="s">
        <v>70</v>
      </c>
      <c r="B57" s="38" t="s">
        <v>22</v>
      </c>
      <c r="C57" s="31">
        <v>2686</v>
      </c>
      <c r="D57" s="5">
        <v>13745.896500372301</v>
      </c>
    </row>
    <row r="58" spans="1:4">
      <c r="A58" s="31" t="s">
        <v>82</v>
      </c>
      <c r="B58" s="38" t="s">
        <v>21</v>
      </c>
      <c r="C58" s="31">
        <v>3270</v>
      </c>
      <c r="D58" s="5">
        <v>13594.067889908258</v>
      </c>
    </row>
    <row r="59" spans="1:4">
      <c r="A59" s="31" t="s">
        <v>78</v>
      </c>
      <c r="B59" s="38" t="s">
        <v>29</v>
      </c>
      <c r="C59" s="31">
        <v>5380</v>
      </c>
      <c r="D59" s="5">
        <v>13276.684944237919</v>
      </c>
    </row>
    <row r="60" spans="1:4">
      <c r="A60" s="31" t="s">
        <v>89</v>
      </c>
      <c r="B60" s="38" t="s">
        <v>30</v>
      </c>
      <c r="C60" s="31">
        <v>5120</v>
      </c>
      <c r="D60" s="5">
        <v>13274.709179687499</v>
      </c>
    </row>
    <row r="61" spans="1:4">
      <c r="A61" s="31" t="s">
        <v>86</v>
      </c>
      <c r="B61" s="38" t="s">
        <v>31</v>
      </c>
      <c r="C61" s="31">
        <v>7000</v>
      </c>
      <c r="D61" s="5">
        <v>13163.645714285714</v>
      </c>
    </row>
    <row r="62" spans="1:4">
      <c r="A62" s="31" t="s">
        <v>79</v>
      </c>
      <c r="B62" s="38" t="s">
        <v>24</v>
      </c>
      <c r="C62" s="31">
        <v>3776</v>
      </c>
      <c r="D62" s="5">
        <v>12021.33845338983</v>
      </c>
    </row>
    <row r="63" spans="1:4">
      <c r="A63" s="31" t="s">
        <v>95</v>
      </c>
      <c r="B63" s="38" t="s">
        <v>14</v>
      </c>
      <c r="C63" s="31">
        <v>2269</v>
      </c>
      <c r="D63" s="5">
        <v>11024.028206258263</v>
      </c>
    </row>
    <row r="64" spans="1:4">
      <c r="A64" s="31" t="s">
        <v>90</v>
      </c>
      <c r="B64" s="38" t="s">
        <v>32</v>
      </c>
      <c r="C64" s="31">
        <v>9742</v>
      </c>
      <c r="D64" s="5">
        <v>9772.2606241018275</v>
      </c>
    </row>
    <row r="65" spans="1:4">
      <c r="A65" s="31" t="s">
        <v>84</v>
      </c>
      <c r="B65" s="38" t="s">
        <v>20</v>
      </c>
      <c r="C65" s="31">
        <v>3621</v>
      </c>
      <c r="D65" s="5">
        <v>9609.4984810825736</v>
      </c>
    </row>
    <row r="66" spans="1:4">
      <c r="A66" s="31" t="s">
        <v>83</v>
      </c>
      <c r="B66" s="38" t="s">
        <v>18</v>
      </c>
      <c r="C66" s="31">
        <v>3018</v>
      </c>
      <c r="D66" s="5">
        <v>8619.8339960238573</v>
      </c>
    </row>
  </sheetData>
  <sortState ref="A39:D66">
    <sortCondition descending="1" ref="D39:D66"/>
  </sortState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25" sqref="G25"/>
    </sheetView>
  </sheetViews>
  <sheetFormatPr defaultRowHeight="15"/>
  <cols>
    <col min="2" max="2" width="11.42578125" customWidth="1"/>
    <col min="3" max="3" width="14.28515625" customWidth="1"/>
  </cols>
  <sheetData>
    <row r="1" spans="1:5" ht="30">
      <c r="A1" s="2" t="s">
        <v>35</v>
      </c>
      <c r="B1" s="2" t="s">
        <v>36</v>
      </c>
      <c r="C1" s="2" t="s">
        <v>37</v>
      </c>
      <c r="D1" s="2"/>
      <c r="E1" s="2"/>
    </row>
    <row r="2" spans="1:5">
      <c r="A2">
        <v>1</v>
      </c>
      <c r="B2">
        <v>271</v>
      </c>
      <c r="C2">
        <v>35884</v>
      </c>
    </row>
    <row r="3" spans="1:5">
      <c r="A3">
        <v>2</v>
      </c>
      <c r="B3">
        <v>618</v>
      </c>
      <c r="C3">
        <v>31532</v>
      </c>
    </row>
    <row r="4" spans="1:5">
      <c r="A4">
        <v>3</v>
      </c>
      <c r="B4">
        <v>1136</v>
      </c>
      <c r="C4">
        <v>19862</v>
      </c>
    </row>
    <row r="5" spans="1:5">
      <c r="A5">
        <v>4</v>
      </c>
      <c r="B5">
        <v>2167</v>
      </c>
      <c r="C5">
        <v>16092</v>
      </c>
    </row>
    <row r="6" spans="1:5">
      <c r="A6">
        <v>5</v>
      </c>
      <c r="B6">
        <v>3145</v>
      </c>
      <c r="C6">
        <v>14639</v>
      </c>
    </row>
    <row r="7" spans="1:5">
      <c r="A7">
        <v>6</v>
      </c>
      <c r="B7">
        <v>4365</v>
      </c>
      <c r="C7">
        <v>16946</v>
      </c>
    </row>
    <row r="8" spans="1:5">
      <c r="A8">
        <v>7</v>
      </c>
      <c r="B8">
        <v>9394</v>
      </c>
      <c r="C8">
        <v>12996</v>
      </c>
    </row>
    <row r="12" spans="1:5">
      <c r="A12" s="50" t="s">
        <v>39</v>
      </c>
      <c r="B12" s="50"/>
      <c r="C12" s="50"/>
      <c r="D12" s="50"/>
    </row>
    <row r="13" spans="1:5">
      <c r="A13" s="50"/>
      <c r="B13" s="50"/>
      <c r="C13" s="50"/>
      <c r="D13" s="50"/>
    </row>
    <row r="14" spans="1:5">
      <c r="A14" s="50"/>
      <c r="B14" s="50"/>
      <c r="C14" s="50"/>
      <c r="D14" s="50"/>
    </row>
    <row r="15" spans="1:5">
      <c r="A15" s="50"/>
      <c r="B15" s="50"/>
      <c r="C15" s="50"/>
      <c r="D15" s="50"/>
    </row>
    <row r="16" spans="1:5">
      <c r="A16" s="50"/>
      <c r="B16" s="50"/>
      <c r="C16" s="50"/>
      <c r="D16" s="50"/>
    </row>
    <row r="17" spans="1:4">
      <c r="A17" s="50"/>
      <c r="B17" s="50"/>
      <c r="C17" s="50"/>
      <c r="D17" s="50"/>
    </row>
    <row r="18" spans="1:4">
      <c r="A18" s="50"/>
      <c r="B18" s="50"/>
      <c r="C18" s="50"/>
      <c r="D18" s="50"/>
    </row>
  </sheetData>
  <mergeCells count="1">
    <mergeCell ref="A12:D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2288968AE7C049B7B11A9750850B10" ma:contentTypeVersion="4" ma:contentTypeDescription="Create a new document." ma:contentTypeScope="" ma:versionID="d61fed4109eb8b9a8d112d3233972f64">
  <xsd:schema xmlns:xsd="http://www.w3.org/2001/XMLSchema" xmlns:xs="http://www.w3.org/2001/XMLSchema" xmlns:p="http://schemas.microsoft.com/office/2006/metadata/properties" xmlns:ns3="9a5abe50-b523-4702-8af2-903dc9767712" targetNamespace="http://schemas.microsoft.com/office/2006/metadata/properties" ma:root="true" ma:fieldsID="7b4249a247cdada1fac4957f106fdf4f" ns3:_="">
    <xsd:import namespace="9a5abe50-b523-4702-8af2-903dc97677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be50-b523-4702-8af2-903dc9767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6DD45-C231-41A5-B579-8E21DD589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abe50-b523-4702-8af2-903dc9767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01DE3B-89A5-4D3E-874E-4077D423BF2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a5abe50-b523-4702-8af2-903dc976771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4416B8-4B2A-4D10-90AF-86C5DA88A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Outputs Results</vt:lpstr>
      <vt:lpstr>Model Generation</vt:lpstr>
      <vt:lpstr>28 Point Models</vt:lpstr>
      <vt:lpstr>Tiers by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Hale, Ryan</dc:creator>
  <cp:keywords/>
  <dc:description/>
  <cp:lastModifiedBy>Sisley, Dottie</cp:lastModifiedBy>
  <cp:revision/>
  <cp:lastPrinted>2022-05-27T02:59:32Z</cp:lastPrinted>
  <dcterms:created xsi:type="dcterms:W3CDTF">2021-10-31T23:08:04Z</dcterms:created>
  <dcterms:modified xsi:type="dcterms:W3CDTF">2022-07-26T18:47:33Z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0x010100142288968AE7C049B7B11A9750850B10</vt:lpwstr>
  </property>
</Properties>
</file>