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Finance\Session\Session 2022\Tier Model\Model options\Presentations\Original Model versions\"/>
    </mc:Choice>
  </mc:AlternateContent>
  <bookViews>
    <workbookView xWindow="-105" yWindow="-105" windowWidth="23250" windowHeight="12570"/>
  </bookViews>
  <sheets>
    <sheet name="Outputs Results" sheetId="4" r:id="rId1"/>
    <sheet name="SPSS Output 4" sheetId="6" r:id="rId2"/>
    <sheet name="Tiers by Output" sheetId="7" state="hidden" r:id="rId3"/>
    <sheet name="System vs. Expected" sheetId="11" r:id="rId4"/>
  </sheets>
  <definedNames>
    <definedName name="_xlnm._FilterDatabase" localSheetId="0" hidden="1">'Outputs Results'!$A$1:$AF$29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1" i="4" l="1"/>
  <c r="G47" i="11"/>
  <c r="G48" i="11"/>
  <c r="G37" i="11"/>
  <c r="G38" i="11"/>
  <c r="G39" i="11"/>
  <c r="G40" i="11"/>
  <c r="G41" i="11"/>
  <c r="G42" i="11"/>
  <c r="G43" i="11"/>
  <c r="G44" i="11"/>
  <c r="G45" i="11"/>
  <c r="G46" i="11"/>
  <c r="G36" i="11"/>
  <c r="AN3" i="4" l="1"/>
  <c r="C30" i="4" l="1"/>
  <c r="E30" i="4" s="1"/>
  <c r="M16" i="4"/>
  <c r="M6" i="4"/>
  <c r="M7" i="4"/>
  <c r="M22" i="4"/>
  <c r="M24" i="4"/>
  <c r="M19" i="4"/>
  <c r="E19" i="4"/>
  <c r="Z3" i="4" l="1"/>
  <c r="AC3" i="4" s="1"/>
  <c r="AD3" i="4" s="1"/>
  <c r="AE3" i="4" s="1"/>
  <c r="Z4" i="4"/>
  <c r="AC4" i="4" s="1"/>
  <c r="AD4" i="4" s="1"/>
  <c r="AE4" i="4" s="1"/>
  <c r="Z5" i="4"/>
  <c r="AC5" i="4" s="1"/>
  <c r="AD5" i="4" s="1"/>
  <c r="AE5" i="4" s="1"/>
  <c r="Z6" i="4"/>
  <c r="AC6" i="4" s="1"/>
  <c r="AD6" i="4" s="1"/>
  <c r="AE6" i="4" s="1"/>
  <c r="Z7" i="4"/>
  <c r="AC7" i="4" s="1"/>
  <c r="AD7" i="4" s="1"/>
  <c r="AE7" i="4" s="1"/>
  <c r="Z8" i="4"/>
  <c r="AC8" i="4" s="1"/>
  <c r="AD8" i="4" s="1"/>
  <c r="AE8" i="4" s="1"/>
  <c r="Z9" i="4"/>
  <c r="Z10" i="4"/>
  <c r="Z11" i="4"/>
  <c r="AC11" i="4" s="1"/>
  <c r="AD11" i="4" s="1"/>
  <c r="AE11" i="4" s="1"/>
  <c r="Z12" i="4"/>
  <c r="AC12" i="4" s="1"/>
  <c r="AD12" i="4" s="1"/>
  <c r="AE12" i="4" s="1"/>
  <c r="Z13" i="4"/>
  <c r="AC13" i="4" s="1"/>
  <c r="Z14" i="4"/>
  <c r="Z15" i="4"/>
  <c r="AC15" i="4" s="1"/>
  <c r="AD15" i="4" s="1"/>
  <c r="AE15" i="4" s="1"/>
  <c r="Z16" i="4"/>
  <c r="AC16" i="4" s="1"/>
  <c r="AD16" i="4" s="1"/>
  <c r="AE16" i="4" s="1"/>
  <c r="Z17" i="4"/>
  <c r="AC17" i="4" s="1"/>
  <c r="Z18" i="4"/>
  <c r="Z19" i="4"/>
  <c r="AC19" i="4" s="1"/>
  <c r="AD19" i="4" s="1"/>
  <c r="AE19" i="4" s="1"/>
  <c r="Z20" i="4"/>
  <c r="AC20" i="4" s="1"/>
  <c r="Z21" i="4"/>
  <c r="AC21" i="4" s="1"/>
  <c r="AD21" i="4" s="1"/>
  <c r="AE21" i="4" s="1"/>
  <c r="Z22" i="4"/>
  <c r="AC22" i="4" s="1"/>
  <c r="AD22" i="4" s="1"/>
  <c r="AE22" i="4" s="1"/>
  <c r="Z23" i="4"/>
  <c r="AC23" i="4" s="1"/>
  <c r="AD23" i="4" s="1"/>
  <c r="AE23" i="4" s="1"/>
  <c r="Z24" i="4"/>
  <c r="AC24" i="4" s="1"/>
  <c r="Z25" i="4"/>
  <c r="AC25" i="4" s="1"/>
  <c r="AD25" i="4" s="1"/>
  <c r="AE25" i="4" s="1"/>
  <c r="Z26" i="4"/>
  <c r="AC26" i="4" s="1"/>
  <c r="AD26" i="4" s="1"/>
  <c r="AE26" i="4" s="1"/>
  <c r="Z27" i="4"/>
  <c r="AC27" i="4" s="1"/>
  <c r="AD27" i="4" s="1"/>
  <c r="AE27" i="4" s="1"/>
  <c r="Z28" i="4"/>
  <c r="AC28" i="4" s="1"/>
  <c r="Z29" i="4"/>
  <c r="AC29" i="4" s="1"/>
  <c r="AD29" i="4" s="1"/>
  <c r="AE29" i="4" s="1"/>
  <c r="Z2" i="4"/>
  <c r="AC2" i="4" s="1"/>
  <c r="E3" i="4"/>
  <c r="E4" i="4"/>
  <c r="E5" i="4"/>
  <c r="E6" i="4"/>
  <c r="E7" i="4"/>
  <c r="E8" i="4"/>
  <c r="AA8" i="4" s="1"/>
  <c r="E9" i="4"/>
  <c r="E10" i="4"/>
  <c r="E11" i="4"/>
  <c r="E12" i="4"/>
  <c r="E13" i="4"/>
  <c r="E14" i="4"/>
  <c r="E15" i="4"/>
  <c r="E16" i="4"/>
  <c r="AA16" i="4" s="1"/>
  <c r="E17" i="4"/>
  <c r="AA17" i="4" s="1"/>
  <c r="E18" i="4"/>
  <c r="E20" i="4"/>
  <c r="E21" i="4"/>
  <c r="E22" i="4"/>
  <c r="E23" i="4"/>
  <c r="E24" i="4"/>
  <c r="AA24" i="4" s="1"/>
  <c r="E25" i="4"/>
  <c r="AA25" i="4" s="1"/>
  <c r="E26" i="4"/>
  <c r="E27" i="4"/>
  <c r="E28" i="4"/>
  <c r="E29" i="4"/>
  <c r="E2" i="4"/>
  <c r="F27" i="4"/>
  <c r="G27" i="4" s="1"/>
  <c r="F23" i="4"/>
  <c r="G23" i="4" s="1"/>
  <c r="F17" i="4"/>
  <c r="G17" i="4" s="1"/>
  <c r="F12" i="4"/>
  <c r="G12" i="4" s="1"/>
  <c r="F8" i="4"/>
  <c r="G8" i="4" s="1"/>
  <c r="F5" i="4"/>
  <c r="G5" i="4" s="1"/>
  <c r="F2" i="4"/>
  <c r="G2" i="4" s="1"/>
  <c r="B42" i="4"/>
  <c r="B41" i="4"/>
  <c r="B39" i="4"/>
  <c r="B38" i="4"/>
  <c r="B37" i="4"/>
  <c r="B36" i="4"/>
  <c r="H30" i="4"/>
  <c r="W30" i="4" s="1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W4" i="4"/>
  <c r="W3" i="4"/>
  <c r="W2" i="4"/>
  <c r="AA15" i="4" l="1"/>
  <c r="AD2" i="4"/>
  <c r="AE2" i="4" s="1"/>
  <c r="AA28" i="4"/>
  <c r="AB28" i="4" s="1"/>
  <c r="G30" i="4"/>
  <c r="AA5" i="4"/>
  <c r="AB5" i="4" s="1"/>
  <c r="AA20" i="4"/>
  <c r="AA27" i="4"/>
  <c r="AB27" i="4" s="1"/>
  <c r="AA11" i="4"/>
  <c r="AB11" i="4" s="1"/>
  <c r="AA14" i="4"/>
  <c r="AB14" i="4" s="1"/>
  <c r="AA18" i="4"/>
  <c r="AA10" i="4"/>
  <c r="AB10" i="4" s="1"/>
  <c r="AA9" i="4"/>
  <c r="AC18" i="4"/>
  <c r="AD18" i="4" s="1"/>
  <c r="AE18" i="4" s="1"/>
  <c r="B40" i="4"/>
  <c r="AA26" i="4"/>
  <c r="AA4" i="4"/>
  <c r="AB4" i="4" s="1"/>
  <c r="AC10" i="4"/>
  <c r="AD10" i="4" s="1"/>
  <c r="AE10" i="4" s="1"/>
  <c r="AA12" i="4"/>
  <c r="AB12" i="4" s="1"/>
  <c r="AC9" i="4"/>
  <c r="AD9" i="4" s="1"/>
  <c r="AE9" i="4" s="1"/>
  <c r="AA3" i="4"/>
  <c r="AB3" i="4" s="1"/>
  <c r="AA7" i="4"/>
  <c r="AB7" i="4" s="1"/>
  <c r="AD28" i="4"/>
  <c r="AE28" i="4" s="1"/>
  <c r="AD20" i="4"/>
  <c r="AE20" i="4" s="1"/>
  <c r="AA23" i="4"/>
  <c r="AB23" i="4" s="1"/>
  <c r="AA13" i="4"/>
  <c r="AB13" i="4" s="1"/>
  <c r="AA6" i="4"/>
  <c r="AB6" i="4" s="1"/>
  <c r="AA22" i="4"/>
  <c r="AB22" i="4" s="1"/>
  <c r="AA2" i="4"/>
  <c r="AB2" i="4" s="1"/>
  <c r="AA21" i="4"/>
  <c r="AB21" i="4" s="1"/>
  <c r="AC14" i="4"/>
  <c r="AD14" i="4" s="1"/>
  <c r="AE14" i="4" s="1"/>
  <c r="AD17" i="4"/>
  <c r="AE17" i="4" s="1"/>
  <c r="AA29" i="4"/>
  <c r="AB29" i="4" s="1"/>
  <c r="AD13" i="4"/>
  <c r="AE13" i="4" s="1"/>
  <c r="AD24" i="4"/>
  <c r="AE24" i="4" s="1"/>
  <c r="AA19" i="4"/>
  <c r="AB19" i="4" s="1"/>
  <c r="AB20" i="4"/>
  <c r="H42" i="4"/>
  <c r="H38" i="4"/>
  <c r="AB16" i="4"/>
  <c r="H40" i="4"/>
  <c r="H41" i="4"/>
  <c r="AB8" i="4"/>
  <c r="H36" i="4"/>
  <c r="AB9" i="4"/>
  <c r="AB15" i="4"/>
  <c r="AB18" i="4"/>
  <c r="AB26" i="4"/>
  <c r="H39" i="4"/>
  <c r="AB17" i="4"/>
  <c r="AB25" i="4"/>
  <c r="AB24" i="4"/>
  <c r="H37" i="4"/>
  <c r="AC31" i="4" l="1"/>
  <c r="AE31" i="4"/>
  <c r="AF20" i="4" l="1"/>
  <c r="AJ20" i="4" s="1"/>
  <c r="AC33" i="4"/>
  <c r="AF18" i="4"/>
  <c r="AJ18" i="4" s="1"/>
  <c r="AF17" i="4"/>
  <c r="AJ17" i="4" s="1"/>
  <c r="AF13" i="4"/>
  <c r="AJ13" i="4" s="1"/>
  <c r="AF24" i="4"/>
  <c r="AJ24" i="4" s="1"/>
  <c r="AF25" i="4"/>
  <c r="AJ25" i="4" s="1"/>
  <c r="AF29" i="4"/>
  <c r="AJ29" i="4" s="1"/>
  <c r="AF3" i="4"/>
  <c r="AJ3" i="4" s="1"/>
  <c r="AF16" i="4"/>
  <c r="AJ16" i="4" s="1"/>
  <c r="AF21" i="4"/>
  <c r="AJ21" i="4" s="1"/>
  <c r="AF26" i="4"/>
  <c r="AJ26" i="4" s="1"/>
  <c r="AF8" i="4"/>
  <c r="AJ8" i="4" s="1"/>
  <c r="AF5" i="4"/>
  <c r="AJ5" i="4" s="1"/>
  <c r="AF23" i="4"/>
  <c r="AJ23" i="4" s="1"/>
  <c r="AF12" i="4"/>
  <c r="AJ12" i="4" s="1"/>
  <c r="AF15" i="4"/>
  <c r="AJ15" i="4" s="1"/>
  <c r="AF4" i="4"/>
  <c r="AJ4" i="4" s="1"/>
  <c r="AF7" i="4"/>
  <c r="AJ7" i="4" s="1"/>
  <c r="AF27" i="4"/>
  <c r="AJ27" i="4" s="1"/>
  <c r="AF22" i="4"/>
  <c r="AJ22" i="4" s="1"/>
  <c r="AF19" i="4"/>
  <c r="AJ19" i="4" s="1"/>
  <c r="AF6" i="4"/>
  <c r="AJ6" i="4" s="1"/>
  <c r="AF11" i="4"/>
  <c r="AJ11" i="4" s="1"/>
  <c r="AF2" i="4"/>
  <c r="AJ2" i="4" s="1"/>
  <c r="AF9" i="4"/>
  <c r="AJ9" i="4" s="1"/>
  <c r="AF28" i="4"/>
  <c r="AJ28" i="4" s="1"/>
  <c r="AF10" i="4"/>
  <c r="AJ10" i="4" s="1"/>
  <c r="AF14" i="4"/>
  <c r="AJ14" i="4" s="1"/>
  <c r="AF30" i="4" l="1"/>
  <c r="AG31" i="4" s="1"/>
  <c r="AG9" i="4" l="1"/>
  <c r="AG18" i="4"/>
  <c r="AG12" i="4"/>
  <c r="AG28" i="4"/>
  <c r="AG7" i="4"/>
  <c r="AG14" i="4"/>
  <c r="AG8" i="4"/>
  <c r="AG24" i="4"/>
  <c r="AG27" i="4"/>
  <c r="AG26" i="4"/>
  <c r="AG25" i="4"/>
  <c r="AG13" i="4"/>
  <c r="AG29" i="4"/>
  <c r="AG10" i="4"/>
  <c r="AG21" i="4"/>
  <c r="AG3" i="4"/>
  <c r="AG15" i="4"/>
  <c r="AG5" i="4"/>
  <c r="AG6" i="4"/>
  <c r="AG22" i="4"/>
  <c r="AG4" i="4"/>
  <c r="AG20" i="4"/>
  <c r="AG16" i="4"/>
  <c r="AG11" i="4"/>
  <c r="AG17" i="4"/>
  <c r="AG19" i="4"/>
  <c r="AG2" i="4"/>
  <c r="AI2" i="4" s="1"/>
  <c r="AG23" i="4"/>
  <c r="AH27" i="4" l="1"/>
  <c r="AI27" i="4"/>
  <c r="AH21" i="4"/>
  <c r="AI21" i="4"/>
  <c r="AH8" i="4"/>
  <c r="AI8" i="4"/>
  <c r="AH14" i="4"/>
  <c r="AI14" i="4"/>
  <c r="AH7" i="4"/>
  <c r="AI7" i="4"/>
  <c r="AH17" i="4"/>
  <c r="AI17" i="4"/>
  <c r="AH24" i="4"/>
  <c r="AI24" i="4"/>
  <c r="AH10" i="4"/>
  <c r="AI10" i="4"/>
  <c r="AH23" i="4"/>
  <c r="AI23" i="4"/>
  <c r="AH13" i="4"/>
  <c r="AI13" i="4"/>
  <c r="AH28" i="4"/>
  <c r="AI28" i="4"/>
  <c r="AH15" i="4"/>
  <c r="AI15" i="4"/>
  <c r="AH3" i="4"/>
  <c r="AI3" i="4"/>
  <c r="AH20" i="4"/>
  <c r="AI20" i="4"/>
  <c r="AH29" i="4"/>
  <c r="AI29" i="4"/>
  <c r="AH22" i="4"/>
  <c r="AI22" i="4"/>
  <c r="AH6" i="4"/>
  <c r="AI6" i="4"/>
  <c r="AH25" i="4"/>
  <c r="AI25" i="4"/>
  <c r="AH12" i="4"/>
  <c r="AI12" i="4"/>
  <c r="AH11" i="4"/>
  <c r="AI11" i="4"/>
  <c r="AH16" i="4"/>
  <c r="AI16" i="4"/>
  <c r="AH4" i="4"/>
  <c r="AI4" i="4"/>
  <c r="AH19" i="4"/>
  <c r="AI19" i="4"/>
  <c r="AH5" i="4"/>
  <c r="AI5" i="4"/>
  <c r="AH26" i="4"/>
  <c r="AI26" i="4"/>
  <c r="AH18" i="4"/>
  <c r="AI18" i="4"/>
  <c r="AH9" i="4"/>
  <c r="AI9" i="4"/>
  <c r="AH2" i="4"/>
  <c r="AG30" i="4"/>
  <c r="AH30" i="4" l="1"/>
</calcChain>
</file>

<file path=xl/sharedStrings.xml><?xml version="1.0" encoding="utf-8"?>
<sst xmlns="http://schemas.openxmlformats.org/spreadsheetml/2006/main" count="180" uniqueCount="126">
  <si>
    <t>TIER</t>
  </si>
  <si>
    <t>COLLEGE</t>
  </si>
  <si>
    <t>2021-2022 FTE Est.</t>
  </si>
  <si>
    <t>Tier Avg Enroll</t>
  </si>
  <si>
    <t>General Revenue</t>
  </si>
  <si>
    <t>Lottery</t>
  </si>
  <si>
    <t>Total Recurring 2021-22 Funds</t>
  </si>
  <si>
    <t xml:space="preserve">
Base Student Allocation 
Increase</t>
  </si>
  <si>
    <t>Compression</t>
  </si>
  <si>
    <t>GROWTH
Funds Needed Maintain  Current Actual Tier Funding %</t>
  </si>
  <si>
    <t>Workforce Funding</t>
  </si>
  <si>
    <t>BSA
+
TIER
+
GROWTH
+
WORKFORCE</t>
  </si>
  <si>
    <t>GR 
+
 Tier Funds</t>
  </si>
  <si>
    <t>TOTAL</t>
  </si>
  <si>
    <t>Per FTE</t>
  </si>
  <si>
    <t>Tier Average per FTE</t>
  </si>
  <si>
    <t>Delta</t>
  </si>
  <si>
    <t>% Delta</t>
  </si>
  <si>
    <t>Total Difference</t>
  </si>
  <si>
    <t>Amount of Total Deficit</t>
  </si>
  <si>
    <t>Power Model Based on Tier Model (Output 2)</t>
  </si>
  <si>
    <t xml:space="preserve">Projected Total Funding </t>
  </si>
  <si>
    <t>North Florida College</t>
  </si>
  <si>
    <t>The College of the Florida Keys</t>
  </si>
  <si>
    <t>Chipola College</t>
  </si>
  <si>
    <t>Florida Gateway College</t>
  </si>
  <si>
    <t>South Florida State College</t>
  </si>
  <si>
    <t>Gulf Coast State College</t>
  </si>
  <si>
    <t>Lake-Sumter State College</t>
  </si>
  <si>
    <t>Northwest Florida State College</t>
  </si>
  <si>
    <t>St. Johns River State College</t>
  </si>
  <si>
    <t>College of Central Florida</t>
  </si>
  <si>
    <t>Polk State College</t>
  </si>
  <si>
    <t>Pensacola State College</t>
  </si>
  <si>
    <t>State College of Florida, Manatee-Sarasota</t>
  </si>
  <si>
    <t>Pasco-Hernando State College</t>
  </si>
  <si>
    <t>Tallahassee Community College</t>
  </si>
  <si>
    <t>Santa Fe College</t>
  </si>
  <si>
    <t>Florida SouthWestern State College</t>
  </si>
  <si>
    <t>Daytona State College</t>
  </si>
  <si>
    <t>Eastern Florida State College</t>
  </si>
  <si>
    <t>Indian River State College</t>
  </si>
  <si>
    <t>Seminole State College of Florida</t>
  </si>
  <si>
    <t>Florida State College at Jacksonville</t>
  </si>
  <si>
    <t>St. Petersburg College</t>
  </si>
  <si>
    <t>Hillsborough Community College</t>
  </si>
  <si>
    <t>Palm Beach State College</t>
  </si>
  <si>
    <t>Broward College</t>
  </si>
  <si>
    <t>Valencia College</t>
  </si>
  <si>
    <t>Miami Dade College</t>
  </si>
  <si>
    <t>System</t>
  </si>
  <si>
    <t>Tier</t>
  </si>
  <si>
    <t>Tier Average FTE Enrollment</t>
  </si>
  <si>
    <t>Tier Average Funding</t>
  </si>
  <si>
    <t>Per FTE Tier Average Funding</t>
  </si>
  <si>
    <t>Model Summary and Parameter Estimates</t>
  </si>
  <si>
    <t xml:space="preserve">Dependent Variable: </t>
  </si>
  <si>
    <t>Equation</t>
  </si>
  <si>
    <t>Model Summary</t>
  </si>
  <si>
    <t>Parameter Estimates</t>
  </si>
  <si>
    <t>R Square</t>
  </si>
  <si>
    <t>F</t>
  </si>
  <si>
    <t>df1</t>
  </si>
  <si>
    <t>df2</t>
  </si>
  <si>
    <t>Sig.</t>
  </si>
  <si>
    <t>Constant</t>
  </si>
  <si>
    <t>b1</t>
  </si>
  <si>
    <t>Power</t>
  </si>
  <si>
    <t>Graduates</t>
  </si>
  <si>
    <t>Average Funds per Graduate</t>
  </si>
  <si>
    <t>Graduates         Degree Only</t>
  </si>
  <si>
    <t>Recurring Per Graduate</t>
  </si>
  <si>
    <t>Tier Average Graduates</t>
  </si>
  <si>
    <t>Tier Average Per Graduate</t>
  </si>
  <si>
    <t>This is a restructuring of the tier model by average number of graduates and per graduate average recurring funding.</t>
  </si>
  <si>
    <t>Funding/Grad = PC * (Grads^b1)</t>
  </si>
  <si>
    <t>PC</t>
  </si>
  <si>
    <t>Grads comes from Tiers by Output</t>
  </si>
  <si>
    <t>Tier Average Funding/Grad</t>
  </si>
  <si>
    <t>The independent variable is Tier Average Grads.</t>
  </si>
  <si>
    <t>Proportional Share of New Funds by Deficit</t>
  </si>
  <si>
    <t>To Equity</t>
  </si>
  <si>
    <t>To Proportionality</t>
  </si>
  <si>
    <t>Model Proportional Share of New Funds by Grads. (Ratioed to projected funding)</t>
  </si>
  <si>
    <t>Total New Funds</t>
  </si>
  <si>
    <t>Funding per Graduate</t>
  </si>
  <si>
    <t>New Funding Per Graduate Proportional</t>
  </si>
  <si>
    <t>New Funding Per Graduate Equity Only</t>
  </si>
  <si>
    <t>smooth</t>
  </si>
  <si>
    <t>Impact</t>
  </si>
  <si>
    <t>NCF</t>
  </si>
  <si>
    <t>CFC</t>
  </si>
  <si>
    <t>TCC</t>
  </si>
  <si>
    <t>SFC</t>
  </si>
  <si>
    <t>HCC</t>
  </si>
  <si>
    <t>CC</t>
  </si>
  <si>
    <t>FGC</t>
  </si>
  <si>
    <t>SFSC</t>
  </si>
  <si>
    <t>GCSC</t>
  </si>
  <si>
    <t>LSSC</t>
  </si>
  <si>
    <t>NFSC</t>
  </si>
  <si>
    <t>SJRSC</t>
  </si>
  <si>
    <t>CCF</t>
  </si>
  <si>
    <t>PSC</t>
  </si>
  <si>
    <t>SCFMS</t>
  </si>
  <si>
    <t>PHSC</t>
  </si>
  <si>
    <t>FSWSC</t>
  </si>
  <si>
    <t>DSC</t>
  </si>
  <si>
    <t>EFSC</t>
  </si>
  <si>
    <t>IRSC</t>
  </si>
  <si>
    <t>SSCF</t>
  </si>
  <si>
    <t>FSCJ</t>
  </si>
  <si>
    <t>SPC</t>
  </si>
  <si>
    <t>PBSC</t>
  </si>
  <si>
    <t>BC</t>
  </si>
  <si>
    <t>VC</t>
  </si>
  <si>
    <t>MDC</t>
  </si>
  <si>
    <t>S</t>
  </si>
  <si>
    <t>.</t>
  </si>
  <si>
    <t>Total New $</t>
  </si>
  <si>
    <t>Change only within these cells.</t>
  </si>
  <si>
    <t xml:space="preserve">This model compares per graduate recurring funds </t>
  </si>
  <si>
    <t xml:space="preserve">to total graduate using averages for schools of </t>
  </si>
  <si>
    <t>similar size to generate the curve.</t>
  </si>
  <si>
    <t xml:space="preserve">The Power equation is the constant times </t>
  </si>
  <si>
    <t xml:space="preserve">the graduates rasied to the b1 Power.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</si>
</sst>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###0.000"/>
    <numFmt numFmtId="167" formatCode="###0"/>
    <numFmt numFmtId="168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60"/>
      <name val="Arial Bold"/>
    </font>
    <font>
      <sz val="9"/>
      <color indexed="60"/>
      <name val="Arial"/>
      <family val="2"/>
    </font>
    <font>
      <sz val="9"/>
      <color indexed="62"/>
      <name val="Arial"/>
      <family val="2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9"/>
      <color indexed="60"/>
      <name val="Arial"/>
      <family val="2"/>
    </font>
    <font>
      <sz val="9"/>
      <color indexed="62"/>
      <name val="Arial"/>
      <family val="2"/>
    </font>
    <font>
      <sz val="12"/>
      <color rgb="FF000000"/>
      <name val="Trebuchet MS"/>
      <family val="2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2" fillId="0" borderId="0"/>
  </cellStyleXfs>
  <cellXfs count="121">
    <xf numFmtId="0" fontId="0" fillId="0" borderId="0" xfId="0"/>
    <xf numFmtId="164" fontId="0" fillId="0" borderId="0" xfId="0" applyNumberFormat="1"/>
    <xf numFmtId="1" fontId="0" fillId="0" borderId="0" xfId="0" applyNumberFormat="1"/>
    <xf numFmtId="44" fontId="0" fillId="0" borderId="0" xfId="1" applyFont="1" applyFill="1" applyBorder="1"/>
    <xf numFmtId="0" fontId="0" fillId="0" borderId="1" xfId="0" applyBorder="1"/>
    <xf numFmtId="0" fontId="0" fillId="0" borderId="0" xfId="0" applyAlignment="1">
      <alignment wrapText="1"/>
    </xf>
    <xf numFmtId="165" fontId="0" fillId="0" borderId="0" xfId="1" applyNumberFormat="1" applyFont="1" applyFill="1" applyBorder="1"/>
    <xf numFmtId="165" fontId="0" fillId="0" borderId="0" xfId="0" applyNumberFormat="1"/>
    <xf numFmtId="0" fontId="2" fillId="0" borderId="0" xfId="3"/>
    <xf numFmtId="0" fontId="5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5" fillId="0" borderId="7" xfId="3" applyFont="1" applyBorder="1" applyAlignment="1">
      <alignment horizontal="center" wrapText="1"/>
    </xf>
    <xf numFmtId="166" fontId="4" fillId="2" borderId="9" xfId="3" applyNumberFormat="1" applyFont="1" applyFill="1" applyBorder="1" applyAlignment="1">
      <alignment horizontal="right" vertical="top"/>
    </xf>
    <xf numFmtId="166" fontId="4" fillId="2" borderId="10" xfId="3" applyNumberFormat="1" applyFont="1" applyFill="1" applyBorder="1" applyAlignment="1">
      <alignment horizontal="right" vertical="top"/>
    </xf>
    <xf numFmtId="167" fontId="4" fillId="2" borderId="10" xfId="3" applyNumberFormat="1" applyFont="1" applyFill="1" applyBorder="1" applyAlignment="1">
      <alignment horizontal="right" vertical="top"/>
    </xf>
    <xf numFmtId="166" fontId="4" fillId="2" borderId="11" xfId="3" applyNumberFormat="1" applyFont="1" applyFill="1" applyBorder="1" applyAlignment="1">
      <alignment horizontal="right" vertical="top"/>
    </xf>
    <xf numFmtId="0" fontId="4" fillId="0" borderId="0" xfId="3" applyFont="1"/>
    <xf numFmtId="0" fontId="4" fillId="0" borderId="0" xfId="3" applyFont="1" applyAlignment="1">
      <alignment horizontal="left" vertical="top" wrapText="1"/>
    </xf>
    <xf numFmtId="167" fontId="4" fillId="0" borderId="10" xfId="3" applyNumberFormat="1" applyFont="1" applyBorder="1" applyAlignment="1">
      <alignment horizontal="right" vertical="top"/>
    </xf>
    <xf numFmtId="165" fontId="0" fillId="4" borderId="0" xfId="1" applyNumberFormat="1" applyFont="1" applyFill="1" applyBorder="1"/>
    <xf numFmtId="165" fontId="0" fillId="4" borderId="0" xfId="0" applyNumberFormat="1" applyFill="1"/>
    <xf numFmtId="168" fontId="0" fillId="4" borderId="0" xfId="2" applyNumberFormat="1" applyFont="1" applyFill="1"/>
    <xf numFmtId="165" fontId="0" fillId="4" borderId="0" xfId="1" applyNumberFormat="1" applyFont="1" applyFill="1"/>
    <xf numFmtId="0" fontId="0" fillId="4" borderId="0" xfId="0" applyFill="1"/>
    <xf numFmtId="0" fontId="0" fillId="5" borderId="0" xfId="0" applyFill="1"/>
    <xf numFmtId="44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0" fillId="6" borderId="0" xfId="0" applyFill="1"/>
    <xf numFmtId="0" fontId="9" fillId="0" borderId="0" xfId="4"/>
    <xf numFmtId="0" fontId="11" fillId="0" borderId="5" xfId="4" applyFont="1" applyBorder="1" applyAlignment="1">
      <alignment horizontal="center" wrapText="1"/>
    </xf>
    <xf numFmtId="0" fontId="11" fillId="0" borderId="6" xfId="4" applyFont="1" applyBorder="1" applyAlignment="1">
      <alignment horizontal="center" wrapText="1"/>
    </xf>
    <xf numFmtId="0" fontId="11" fillId="0" borderId="7" xfId="4" applyFont="1" applyBorder="1" applyAlignment="1">
      <alignment horizontal="center" wrapText="1"/>
    </xf>
    <xf numFmtId="0" fontId="11" fillId="3" borderId="8" xfId="4" applyFont="1" applyFill="1" applyBorder="1" applyAlignment="1">
      <alignment horizontal="left" vertical="top" wrapText="1"/>
    </xf>
    <xf numFmtId="166" fontId="10" fillId="2" borderId="10" xfId="4" applyNumberFormat="1" applyFont="1" applyFill="1" applyBorder="1" applyAlignment="1">
      <alignment horizontal="right" vertical="top"/>
    </xf>
    <xf numFmtId="167" fontId="10" fillId="2" borderId="10" xfId="4" applyNumberFormat="1" applyFont="1" applyFill="1" applyBorder="1" applyAlignment="1">
      <alignment horizontal="right" vertical="top"/>
    </xf>
    <xf numFmtId="166" fontId="10" fillId="2" borderId="11" xfId="4" applyNumberFormat="1" applyFont="1" applyFill="1" applyBorder="1" applyAlignment="1">
      <alignment horizontal="right" vertical="top"/>
    </xf>
    <xf numFmtId="44" fontId="0" fillId="0" borderId="0" xfId="0" applyNumberFormat="1"/>
    <xf numFmtId="0" fontId="0" fillId="0" borderId="0" xfId="0" applyBorder="1"/>
    <xf numFmtId="0" fontId="4" fillId="0" borderId="0" xfId="3" applyFont="1" applyAlignment="1">
      <alignment horizontal="left" vertical="top" wrapText="1"/>
    </xf>
    <xf numFmtId="44" fontId="0" fillId="0" borderId="0" xfId="1" applyFont="1"/>
    <xf numFmtId="3" fontId="7" fillId="0" borderId="0" xfId="0" applyNumberFormat="1" applyFont="1" applyBorder="1" applyAlignment="1">
      <alignment horizontal="center" vertical="center"/>
    </xf>
    <xf numFmtId="166" fontId="4" fillId="2" borderId="11" xfId="5" applyNumberFormat="1" applyFont="1" applyFill="1" applyBorder="1" applyAlignment="1">
      <alignment horizontal="right" vertical="top"/>
    </xf>
    <xf numFmtId="166" fontId="4" fillId="2" borderId="10" xfId="5" applyNumberFormat="1" applyFont="1" applyFill="1" applyBorder="1" applyAlignment="1">
      <alignment horizontal="right" vertical="top"/>
    </xf>
    <xf numFmtId="167" fontId="4" fillId="2" borderId="10" xfId="5" applyNumberFormat="1" applyFont="1" applyFill="1" applyBorder="1" applyAlignment="1">
      <alignment horizontal="right" vertical="top"/>
    </xf>
    <xf numFmtId="166" fontId="4" fillId="2" borderId="9" xfId="5" applyNumberFormat="1" applyFont="1" applyFill="1" applyBorder="1" applyAlignment="1">
      <alignment horizontal="right" vertical="top"/>
    </xf>
    <xf numFmtId="0" fontId="5" fillId="3" borderId="8" xfId="5" applyFont="1" applyFill="1" applyBorder="1" applyAlignment="1">
      <alignment horizontal="left" vertical="top" wrapText="1"/>
    </xf>
    <xf numFmtId="0" fontId="5" fillId="0" borderId="7" xfId="5" applyFont="1" applyBorder="1" applyAlignment="1">
      <alignment horizontal="center" wrapText="1"/>
    </xf>
    <xf numFmtId="0" fontId="5" fillId="0" borderId="6" xfId="5" applyFont="1" applyBorder="1" applyAlignment="1">
      <alignment horizontal="center" wrapText="1"/>
    </xf>
    <xf numFmtId="0" fontId="5" fillId="0" borderId="5" xfId="5" applyFont="1" applyBorder="1" applyAlignment="1">
      <alignment horizontal="center" wrapText="1"/>
    </xf>
    <xf numFmtId="0" fontId="0" fillId="0" borderId="0" xfId="0" applyFill="1"/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4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Fill="1"/>
    <xf numFmtId="168" fontId="0" fillId="0" borderId="0" xfId="2" applyNumberFormat="1" applyFont="1" applyFill="1"/>
    <xf numFmtId="165" fontId="0" fillId="0" borderId="0" xfId="1" applyNumberFormat="1" applyFont="1" applyFill="1"/>
    <xf numFmtId="3" fontId="7" fillId="0" borderId="12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165" fontId="0" fillId="6" borderId="0" xfId="0" applyNumberFormat="1" applyFill="1"/>
    <xf numFmtId="168" fontId="0" fillId="0" borderId="0" xfId="2" applyNumberFormat="1" applyFont="1"/>
    <xf numFmtId="44" fontId="0" fillId="0" borderId="0" xfId="1" applyFont="1" applyFill="1"/>
    <xf numFmtId="44" fontId="0" fillId="0" borderId="1" xfId="1" applyFont="1" applyBorder="1"/>
    <xf numFmtId="166" fontId="10" fillId="6" borderId="9" xfId="4" applyNumberFormat="1" applyFont="1" applyFill="1" applyBorder="1" applyAlignment="1">
      <alignment horizontal="right" vertical="top"/>
    </xf>
    <xf numFmtId="44" fontId="0" fillId="0" borderId="0" xfId="0" applyNumberFormat="1" applyFill="1"/>
    <xf numFmtId="0" fontId="0" fillId="0" borderId="0" xfId="0" applyFill="1" applyAlignment="1">
      <alignment wrapText="1"/>
    </xf>
    <xf numFmtId="9" fontId="0" fillId="0" borderId="0" xfId="2" applyFont="1" applyFill="1"/>
    <xf numFmtId="0" fontId="0" fillId="7" borderId="0" xfId="0" applyFill="1" applyAlignment="1">
      <alignment wrapText="1"/>
    </xf>
    <xf numFmtId="165" fontId="0" fillId="7" borderId="0" xfId="0" applyNumberFormat="1" applyFill="1"/>
    <xf numFmtId="0" fontId="4" fillId="0" borderId="0" xfId="3" applyFont="1" applyAlignment="1">
      <alignment vertical="top" wrapText="1"/>
    </xf>
    <xf numFmtId="0" fontId="0" fillId="0" borderId="0" xfId="0" applyAlignment="1"/>
    <xf numFmtId="0" fontId="3" fillId="0" borderId="0" xfId="3" applyFont="1" applyAlignment="1">
      <alignment vertical="center" wrapText="1"/>
    </xf>
    <xf numFmtId="0" fontId="5" fillId="0" borderId="2" xfId="3" applyFont="1" applyBorder="1" applyAlignment="1">
      <alignment wrapText="1"/>
    </xf>
    <xf numFmtId="0" fontId="5" fillId="0" borderId="3" xfId="3" applyFont="1" applyBorder="1" applyAlignment="1">
      <alignment wrapText="1"/>
    </xf>
    <xf numFmtId="0" fontId="5" fillId="0" borderId="4" xfId="3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0" fillId="0" borderId="0" xfId="4" applyFont="1" applyBorder="1" applyAlignment="1">
      <alignment vertical="top"/>
    </xf>
    <xf numFmtId="0" fontId="8" fillId="0" borderId="0" xfId="0" applyFont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0" fillId="0" borderId="14" xfId="0" applyBorder="1"/>
    <xf numFmtId="0" fontId="0" fillId="0" borderId="15" xfId="0" applyBorder="1"/>
    <xf numFmtId="0" fontId="8" fillId="0" borderId="16" xfId="0" applyFont="1" applyBorder="1" applyAlignment="1"/>
    <xf numFmtId="0" fontId="8" fillId="0" borderId="1" xfId="0" applyFont="1" applyBorder="1" applyAlignment="1"/>
    <xf numFmtId="0" fontId="0" fillId="0" borderId="17" xfId="0" applyBorder="1"/>
    <xf numFmtId="0" fontId="3" fillId="0" borderId="0" xfId="4" applyFont="1" applyBorder="1" applyAlignment="1">
      <alignment horizontal="centerContinuous" vertical="center"/>
    </xf>
    <xf numFmtId="0" fontId="10" fillId="2" borderId="0" xfId="4" applyFont="1" applyFill="1" applyAlignment="1"/>
    <xf numFmtId="0" fontId="9" fillId="0" borderId="0" xfId="4" applyAlignment="1"/>
    <xf numFmtId="0" fontId="11" fillId="0" borderId="0" xfId="4" applyFont="1" applyBorder="1" applyAlignment="1"/>
    <xf numFmtId="0" fontId="11" fillId="0" borderId="3" xfId="4" applyFont="1" applyBorder="1" applyAlignment="1"/>
    <xf numFmtId="0" fontId="11" fillId="0" borderId="2" xfId="4" applyFont="1" applyBorder="1" applyAlignment="1">
      <alignment horizontal="centerContinuous"/>
    </xf>
    <xf numFmtId="0" fontId="11" fillId="0" borderId="3" xfId="4" applyFont="1" applyBorder="1" applyAlignment="1">
      <alignment horizontal="centerContinuous"/>
    </xf>
    <xf numFmtId="0" fontId="11" fillId="0" borderId="4" xfId="4" applyFont="1" applyBorder="1" applyAlignment="1"/>
    <xf numFmtId="0" fontId="5" fillId="0" borderId="0" xfId="5" applyFont="1" applyAlignment="1">
      <alignment wrapText="1"/>
    </xf>
    <xf numFmtId="0" fontId="5" fillId="0" borderId="3" xfId="5" applyFont="1" applyBorder="1" applyAlignment="1"/>
    <xf numFmtId="0" fontId="5" fillId="0" borderId="2" xfId="5" applyFont="1" applyBorder="1" applyAlignment="1">
      <alignment horizontal="centerContinuous"/>
    </xf>
    <xf numFmtId="0" fontId="5" fillId="0" borderId="3" xfId="5" applyFont="1" applyBorder="1" applyAlignment="1">
      <alignment horizontal="centerContinuous"/>
    </xf>
    <xf numFmtId="0" fontId="5" fillId="0" borderId="4" xfId="5" applyFont="1" applyBorder="1" applyAlignment="1"/>
    <xf numFmtId="0" fontId="4" fillId="0" borderId="0" xfId="5" applyFont="1" applyAlignment="1">
      <alignment vertical="top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0" fillId="0" borderId="14" xfId="0" applyFill="1" applyBorder="1"/>
    <xf numFmtId="0" fontId="0" fillId="0" borderId="15" xfId="0" applyFill="1" applyBorder="1"/>
    <xf numFmtId="0" fontId="6" fillId="0" borderId="1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19" xfId="0" applyFill="1" applyBorder="1"/>
    <xf numFmtId="0" fontId="6" fillId="0" borderId="16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17" xfId="0" applyFill="1" applyBorder="1"/>
    <xf numFmtId="0" fontId="13" fillId="6" borderId="13" xfId="0" applyFont="1" applyFill="1" applyBorder="1" applyAlignment="1">
      <alignment horizontal="centerContinuous" wrapText="1"/>
    </xf>
    <xf numFmtId="0" fontId="13" fillId="6" borderId="15" xfId="0" applyFont="1" applyFill="1" applyBorder="1" applyAlignment="1">
      <alignment horizontal="centerContinuous" wrapText="1"/>
    </xf>
    <xf numFmtId="0" fontId="0" fillId="6" borderId="18" xfId="0" applyFill="1" applyBorder="1" applyAlignment="1">
      <alignment wrapText="1"/>
    </xf>
    <xf numFmtId="0" fontId="0" fillId="6" borderId="19" xfId="0" applyFill="1" applyBorder="1"/>
    <xf numFmtId="44" fontId="0" fillId="6" borderId="16" xfId="1" applyFont="1" applyFill="1" applyBorder="1"/>
    <xf numFmtId="9" fontId="0" fillId="6" borderId="17" xfId="2" applyFont="1" applyFill="1" applyBorder="1"/>
  </cellXfs>
  <cellStyles count="7">
    <cellStyle name="Currency" xfId="1" builtinId="4"/>
    <cellStyle name="Normal" xfId="0" builtinId="0"/>
    <cellStyle name="Normal 2 2" xfId="6"/>
    <cellStyle name="Normal_Sheet1" xfId="3"/>
    <cellStyle name="Normal_SPSS Output 4_1" xfId="4"/>
    <cellStyle name="Normal_SPSS Output 4_1 2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'Outputs Results'!$AH$1</c:f>
              <c:strCache>
                <c:ptCount val="1"/>
                <c:pt idx="0">
                  <c:v>Total New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'Outputs Results'!$B$2:$B$29</c:f>
              <c:strCache>
                <c:ptCount val="28"/>
                <c:pt idx="0">
                  <c:v>North Florida College</c:v>
                </c:pt>
                <c:pt idx="1">
                  <c:v>The College of the Florida Keys</c:v>
                </c:pt>
                <c:pt idx="2">
                  <c:v>Chipola College</c:v>
                </c:pt>
                <c:pt idx="3">
                  <c:v>Florida Gateway College</c:v>
                </c:pt>
                <c:pt idx="4">
                  <c:v>South Florida State College</c:v>
                </c:pt>
                <c:pt idx="5">
                  <c:v>Gulf Coast State College</c:v>
                </c:pt>
                <c:pt idx="6">
                  <c:v>Lake-Sumter State College</c:v>
                </c:pt>
                <c:pt idx="7">
                  <c:v>Northwest Florida State College</c:v>
                </c:pt>
                <c:pt idx="8">
                  <c:v>St. Johns River State College</c:v>
                </c:pt>
                <c:pt idx="9">
                  <c:v>College of Central Florida</c:v>
                </c:pt>
                <c:pt idx="10">
                  <c:v>Polk State College</c:v>
                </c:pt>
                <c:pt idx="11">
                  <c:v>Pensacola State College</c:v>
                </c:pt>
                <c:pt idx="12">
                  <c:v>State College of Florida, Manatee-Sarasota</c:v>
                </c:pt>
                <c:pt idx="13">
                  <c:v>Pasco-Hernando State College</c:v>
                </c:pt>
                <c:pt idx="14">
                  <c:v>Tallahassee Community College</c:v>
                </c:pt>
                <c:pt idx="15">
                  <c:v>Santa Fe College</c:v>
                </c:pt>
                <c:pt idx="16">
                  <c:v>Florida SouthWestern State College</c:v>
                </c:pt>
                <c:pt idx="17">
                  <c:v>Daytona State College</c:v>
                </c:pt>
                <c:pt idx="18">
                  <c:v>Eastern Florida State College</c:v>
                </c:pt>
                <c:pt idx="19">
                  <c:v>Indian River State College</c:v>
                </c:pt>
                <c:pt idx="20">
                  <c:v>Seminole State College of Florida</c:v>
                </c:pt>
                <c:pt idx="21">
                  <c:v>Florida State College at Jacksonville</c:v>
                </c:pt>
                <c:pt idx="22">
                  <c:v>St. Petersburg College</c:v>
                </c:pt>
                <c:pt idx="23">
                  <c:v>Hillsborough Community College</c:v>
                </c:pt>
                <c:pt idx="24">
                  <c:v>Palm Beach State College</c:v>
                </c:pt>
                <c:pt idx="25">
                  <c:v>Broward College</c:v>
                </c:pt>
                <c:pt idx="26">
                  <c:v>Valencia College</c:v>
                </c:pt>
                <c:pt idx="27">
                  <c:v>Miami Dade College</c:v>
                </c:pt>
              </c:strCache>
            </c:strRef>
          </c:cat>
          <c:val>
            <c:numRef>
              <c:f>'Outputs Results'!$AH$2:$AH$29</c:f>
              <c:numCache>
                <c:formatCode>_("$"* #,##0_);_("$"* \(#,##0\);_("$"* "-"??_);_(@_)</c:formatCode>
                <c:ptCount val="28"/>
                <c:pt idx="0">
                  <c:v>920694.91556093562</c:v>
                </c:pt>
                <c:pt idx="1">
                  <c:v>334148.09570976952</c:v>
                </c:pt>
                <c:pt idx="2">
                  <c:v>634488.80217534781</c:v>
                </c:pt>
                <c:pt idx="3">
                  <c:v>2139152.5735458094</c:v>
                </c:pt>
                <c:pt idx="4">
                  <c:v>619082.29079417454</c:v>
                </c:pt>
                <c:pt idx="5">
                  <c:v>1065557.6067484976</c:v>
                </c:pt>
                <c:pt idx="6">
                  <c:v>5862356.5042937994</c:v>
                </c:pt>
                <c:pt idx="7">
                  <c:v>4470431.7079945356</c:v>
                </c:pt>
                <c:pt idx="8">
                  <c:v>1232998.5672256532</c:v>
                </c:pt>
                <c:pt idx="9">
                  <c:v>2018941.7954285154</c:v>
                </c:pt>
                <c:pt idx="10">
                  <c:v>2838965.0780941457</c:v>
                </c:pt>
                <c:pt idx="11">
                  <c:v>2540637.0383045487</c:v>
                </c:pt>
                <c:pt idx="12">
                  <c:v>7580279.4482019627</c:v>
                </c:pt>
                <c:pt idx="13">
                  <c:v>2175074.0336887301</c:v>
                </c:pt>
                <c:pt idx="14">
                  <c:v>12112921.476302586</c:v>
                </c:pt>
                <c:pt idx="15">
                  <c:v>6393695.9920600858</c:v>
                </c:pt>
                <c:pt idx="16">
                  <c:v>11364767.989325918</c:v>
                </c:pt>
                <c:pt idx="17">
                  <c:v>2561592.547373049</c:v>
                </c:pt>
                <c:pt idx="18">
                  <c:v>8373802.744770715</c:v>
                </c:pt>
                <c:pt idx="19">
                  <c:v>4413241.5879930817</c:v>
                </c:pt>
                <c:pt idx="20">
                  <c:v>7522382.8492979864</c:v>
                </c:pt>
                <c:pt idx="21">
                  <c:v>2431244.3652602276</c:v>
                </c:pt>
                <c:pt idx="22">
                  <c:v>3810245.6581444931</c:v>
                </c:pt>
                <c:pt idx="23">
                  <c:v>3234411.0145181669</c:v>
                </c:pt>
                <c:pt idx="24">
                  <c:v>7805427.6707404517</c:v>
                </c:pt>
                <c:pt idx="25">
                  <c:v>5418609.1894535702</c:v>
                </c:pt>
                <c:pt idx="26">
                  <c:v>14419625.157912541</c:v>
                </c:pt>
                <c:pt idx="27">
                  <c:v>6705223.2990806894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A-4B06-B69C-B884845F5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108528"/>
        <c:axId val="260111440"/>
      </c:barChart>
      <c:catAx>
        <c:axId val="2601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111440"/>
        <c:crosses val="autoZero"/>
        <c:auto val="1"/>
        <c:lblAlgn val="ctr"/>
        <c:lblOffset val="100"/>
        <c:noMultiLvlLbl val="0"/>
      </c:catAx>
      <c:valAx>
        <c:axId val="26011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10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System Actual vs. Expected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'System vs. Expected'!$E$3</c:f>
              <c:strCache>
                <c:ptCount val="1"/>
                <c:pt idx="0">
                  <c:v>Funding per Graduate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0.16425678813039638"/>
                  <c:y val="-0.302275836417165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'System vs. Expected'!$C$4:$C$16</c:f>
              <c:numCache>
                <c:formatCode>General</c:formatCode>
                <c:ptCount val="13"/>
                <c:pt idx="0">
                  <c:v>50</c:v>
                </c:pt>
                <c:pt idx="1">
                  <c:v>100</c:v>
                </c:pt>
                <c:pt idx="2">
                  <c:v>271</c:v>
                </c:pt>
                <c:pt idx="3">
                  <c:v>618</c:v>
                </c:pt>
                <c:pt idx="4">
                  <c:v>1136</c:v>
                </c:pt>
                <c:pt idx="5">
                  <c:v>2167</c:v>
                </c:pt>
                <c:pt idx="6">
                  <c:v>3145</c:v>
                </c:pt>
                <c:pt idx="7">
                  <c:v>4365</c:v>
                </c:pt>
                <c:pt idx="8">
                  <c:v>6000</c:v>
                </c:pt>
                <c:pt idx="9">
                  <c:v>8000</c:v>
                </c:pt>
                <c:pt idx="10">
                  <c:v>9394</c:v>
                </c:pt>
                <c:pt idx="11">
                  <c:v>11000</c:v>
                </c:pt>
                <c:pt idx="12">
                  <c:v>13000</c:v>
                </c:pt>
              </c:numCache>
            </c:numRef>
          </c:xVal>
          <c:yVal>
            <c:numRef>
              <c:f>'System vs. Expected'!$E$4:$E$16</c:f>
              <c:numCache>
                <c:formatCode>General</c:formatCode>
                <c:ptCount val="13"/>
                <c:pt idx="0">
                  <c:v>58098.83</c:v>
                </c:pt>
                <c:pt idx="1">
                  <c:v>47092.456721015005</c:v>
                </c:pt>
                <c:pt idx="2">
                  <c:v>34814.167334863378</c:v>
                </c:pt>
                <c:pt idx="3">
                  <c:v>27118.866685787936</c:v>
                </c:pt>
                <c:pt idx="4">
                  <c:v>22550.592950490711</c:v>
                </c:pt>
                <c:pt idx="5">
                  <c:v>18542.517459171599</c:v>
                </c:pt>
                <c:pt idx="6">
                  <c:v>16563.525581172729</c:v>
                </c:pt>
                <c:pt idx="7">
                  <c:v>14997.357983708369</c:v>
                </c:pt>
                <c:pt idx="8">
                  <c:v>13619.098366673112</c:v>
                </c:pt>
                <c:pt idx="9">
                  <c:v>12482.175717450669</c:v>
                </c:pt>
                <c:pt idx="10">
                  <c:v>11889.180787462372</c:v>
                </c:pt>
                <c:pt idx="11">
                  <c:v>11333.98863993307</c:v>
                </c:pt>
                <c:pt idx="12">
                  <c:v>10774.545905774861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28-403A-BFEB-E8F84D650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132912"/>
        <c:axId val="1917134160"/>
      </c:scatte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9ACF3AEA-2112-4BB0-87EF-B465A08F57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BF6-404A-99AD-4705A0A7E9E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A6FCB90-9DE2-40D8-A467-EE536DEB77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BF6-404A-99AD-4705A0A7E9E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0E7B67C-FA6D-49F3-A6DA-B069526F7E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BF6-404A-99AD-4705A0A7E9E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40997B0-CBF1-4B47-A638-1EEF8F49BB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BF6-404A-99AD-4705A0A7E9E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5D1615A-D929-4965-93FA-DA631B3CB0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BF6-404A-99AD-4705A0A7E9E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5A15FA3-6F7E-4D5C-AC51-53CB83EA22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BF6-404A-99AD-4705A0A7E9EF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0FD685A-8302-4B77-9F75-C46180C39E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BF6-404A-99AD-4705A0A7E9EF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87A6B75-A5DC-4A66-A5EE-BDFBF8E788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BF6-404A-99AD-4705A0A7E9EF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0C32173-4368-4AC2-99CB-C8C810025B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BF6-404A-99AD-4705A0A7E9EF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DE9726E-4CE1-4898-BF1E-FD5F1F3ABA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BF6-404A-99AD-4705A0A7E9EF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4EB7DF6F-0425-4EFC-BDE2-7EA79AB8BE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BF6-404A-99AD-4705A0A7E9EF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30044836-23EF-4262-90CA-F4C36FC99E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BF6-404A-99AD-4705A0A7E9EF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DDD59920-B2A6-4BEC-B12D-38E4C09387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BF6-404A-99AD-4705A0A7E9EF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CAC91051-CE93-4B60-A4FA-6EE73D7020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BF6-404A-99AD-4705A0A7E9EF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6755AF28-AC5E-4E71-8599-C754DC8F80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BF6-404A-99AD-4705A0A7E9EF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C1C3B04D-7E3D-4D22-91FA-ABF2295EDD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BF6-404A-99AD-4705A0A7E9EF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F0DC2BBF-5710-43A5-AFD5-F81FE83C8F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BF6-404A-99AD-4705A0A7E9EF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AB439387-04BD-4A11-B8F4-6D11B3D481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BF6-404A-99AD-4705A0A7E9EF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5C23E701-A637-44A8-8B4F-5511BC1E1B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BF6-404A-99AD-4705A0A7E9EF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6AA5E298-3422-4B5C-A4E9-FB8CB3C25B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BF6-404A-99AD-4705A0A7E9EF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8F7E8733-F236-43D5-B838-682934BABB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BF6-404A-99AD-4705A0A7E9EF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02C7A42B-D002-4A0F-83C0-8889A7061C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6BF6-404A-99AD-4705A0A7E9EF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76E8D03A-6464-478C-AF87-B7B70EBCEA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BF6-404A-99AD-4705A0A7E9EF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5AE68198-6753-4681-94B8-7D5F8B1666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BF6-404A-99AD-4705A0A7E9EF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C0FD8993-29E3-4489-9658-CA832FB91B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BF6-404A-99AD-4705A0A7E9EF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C9BA1232-7C9C-4800-A712-8E3F22CB7D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BF6-404A-99AD-4705A0A7E9EF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2C18BEF8-802E-48DB-A5BC-86F8C3FA63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6BF6-404A-99AD-4705A0A7E9EF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86A67774-FF10-46F3-86C4-7D724DA502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6BF6-404A-99AD-4705A0A7E9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'System vs. Expected'!$G$4:$G$31</c:f>
              <c:numCache>
                <c:formatCode>General</c:formatCode>
                <c:ptCount val="28"/>
                <c:pt idx="0">
                  <c:v>249</c:v>
                </c:pt>
                <c:pt idx="1">
                  <c:v>161</c:v>
                </c:pt>
                <c:pt idx="2">
                  <c:v>404</c:v>
                </c:pt>
                <c:pt idx="3">
                  <c:v>615</c:v>
                </c:pt>
                <c:pt idx="4">
                  <c:v>390</c:v>
                </c:pt>
                <c:pt idx="5">
                  <c:v>850</c:v>
                </c:pt>
                <c:pt idx="6">
                  <c:v>947</c:v>
                </c:pt>
                <c:pt idx="7">
                  <c:v>1120</c:v>
                </c:pt>
                <c:pt idx="8">
                  <c:v>1048</c:v>
                </c:pt>
                <c:pt idx="9">
                  <c:v>1427</c:v>
                </c:pt>
                <c:pt idx="10">
                  <c:v>2145</c:v>
                </c:pt>
                <c:pt idx="11">
                  <c:v>2080</c:v>
                </c:pt>
                <c:pt idx="12">
                  <c:v>1767</c:v>
                </c:pt>
                <c:pt idx="13">
                  <c:v>1968</c:v>
                </c:pt>
                <c:pt idx="14">
                  <c:v>2876</c:v>
                </c:pt>
                <c:pt idx="15">
                  <c:v>2990</c:v>
                </c:pt>
                <c:pt idx="16">
                  <c:v>2993</c:v>
                </c:pt>
                <c:pt idx="17">
                  <c:v>2992</c:v>
                </c:pt>
                <c:pt idx="18">
                  <c:v>3308</c:v>
                </c:pt>
                <c:pt idx="19">
                  <c:v>3308</c:v>
                </c:pt>
                <c:pt idx="20">
                  <c:v>3278</c:v>
                </c:pt>
                <c:pt idx="21">
                  <c:v>2776</c:v>
                </c:pt>
                <c:pt idx="22">
                  <c:v>5289</c:v>
                </c:pt>
                <c:pt idx="23">
                  <c:v>4181</c:v>
                </c:pt>
                <c:pt idx="24">
                  <c:v>5215</c:v>
                </c:pt>
                <c:pt idx="25">
                  <c:v>7243</c:v>
                </c:pt>
                <c:pt idx="26">
                  <c:v>9039</c:v>
                </c:pt>
                <c:pt idx="27">
                  <c:v>11900</c:v>
                </c:pt>
              </c:numCache>
            </c:numRef>
          </c:xVal>
          <c:yVal>
            <c:numRef>
              <c:f>'System vs. Expected'!$H$4:$H$31</c:f>
              <c:numCache>
                <c:formatCode>General</c:formatCode>
                <c:ptCount val="28"/>
                <c:pt idx="0">
                  <c:v>32857.891566265062</c:v>
                </c:pt>
                <c:pt idx="1">
                  <c:v>52638.863354037268</c:v>
                </c:pt>
                <c:pt idx="2">
                  <c:v>31071.982673267328</c:v>
                </c:pt>
                <c:pt idx="3">
                  <c:v>23968.183739837397</c:v>
                </c:pt>
                <c:pt idx="4">
                  <c:v>49325.1</c:v>
                </c:pt>
                <c:pt idx="5">
                  <c:v>28841.821176470588</c:v>
                </c:pt>
                <c:pt idx="6">
                  <c:v>16250.533262935585</c:v>
                </c:pt>
                <c:pt idx="7">
                  <c:v>18325.972321428573</c:v>
                </c:pt>
                <c:pt idx="8">
                  <c:v>23867.862595419847</c:v>
                </c:pt>
                <c:pt idx="9">
                  <c:v>20522.063069376312</c:v>
                </c:pt>
                <c:pt idx="10">
                  <c:v>18026.616317016316</c:v>
                </c:pt>
                <c:pt idx="11">
                  <c:v>18369.772596153845</c:v>
                </c:pt>
                <c:pt idx="12">
                  <c:v>14722.500848896434</c:v>
                </c:pt>
                <c:pt idx="13">
                  <c:v>18888.908028455284</c:v>
                </c:pt>
                <c:pt idx="14">
                  <c:v>11924.893602225313</c:v>
                </c:pt>
                <c:pt idx="15">
                  <c:v>14867.090969899666</c:v>
                </c:pt>
                <c:pt idx="16">
                  <c:v>12335.94320080187</c:v>
                </c:pt>
                <c:pt idx="17">
                  <c:v>17380.105280748663</c:v>
                </c:pt>
                <c:pt idx="18">
                  <c:v>13722.059854897219</c:v>
                </c:pt>
                <c:pt idx="19">
                  <c:v>15545.033555018137</c:v>
                </c:pt>
                <c:pt idx="20">
                  <c:v>14130.852348993289</c:v>
                </c:pt>
                <c:pt idx="21">
                  <c:v>28413.791786743517</c:v>
                </c:pt>
                <c:pt idx="22">
                  <c:v>14677.043486481376</c:v>
                </c:pt>
                <c:pt idx="23">
                  <c:v>17084.086342980147</c:v>
                </c:pt>
                <c:pt idx="24">
                  <c:v>13032.888015340364</c:v>
                </c:pt>
                <c:pt idx="25">
                  <c:v>12722.010216761011</c:v>
                </c:pt>
                <c:pt idx="26">
                  <c:v>10532.289301913928</c:v>
                </c:pt>
                <c:pt idx="27">
                  <c:v>15034.113193277311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'System vs. Expected'!$F$4:$F$31</c15:f>
                <c15:dlblRangeCache>
                  <c:ptCount val="28"/>
                  <c:pt idx="0">
                    <c:v>NCF</c:v>
                  </c:pt>
                  <c:pt idx="1">
                    <c:v>CFC</c:v>
                  </c:pt>
                  <c:pt idx="2">
                    <c:v>CC</c:v>
                  </c:pt>
                  <c:pt idx="3">
                    <c:v>FGC</c:v>
                  </c:pt>
                  <c:pt idx="4">
                    <c:v>SFSC</c:v>
                  </c:pt>
                  <c:pt idx="5">
                    <c:v>GCSC</c:v>
                  </c:pt>
                  <c:pt idx="6">
                    <c:v>LSSC</c:v>
                  </c:pt>
                  <c:pt idx="7">
                    <c:v>NFSC</c:v>
                  </c:pt>
                  <c:pt idx="8">
                    <c:v>SJRSC</c:v>
                  </c:pt>
                  <c:pt idx="9">
                    <c:v>CCF</c:v>
                  </c:pt>
                  <c:pt idx="10">
                    <c:v>PSC</c:v>
                  </c:pt>
                  <c:pt idx="11">
                    <c:v>PSC</c:v>
                  </c:pt>
                  <c:pt idx="12">
                    <c:v>SCFMS</c:v>
                  </c:pt>
                  <c:pt idx="13">
                    <c:v>PHSC</c:v>
                  </c:pt>
                  <c:pt idx="14">
                    <c:v>TCC</c:v>
                  </c:pt>
                  <c:pt idx="15">
                    <c:v>SFC</c:v>
                  </c:pt>
                  <c:pt idx="16">
                    <c:v>FSWSC</c:v>
                  </c:pt>
                  <c:pt idx="17">
                    <c:v>DSC</c:v>
                  </c:pt>
                  <c:pt idx="18">
                    <c:v>EFSC</c:v>
                  </c:pt>
                  <c:pt idx="19">
                    <c:v>IRSC</c:v>
                  </c:pt>
                  <c:pt idx="20">
                    <c:v>SSCF</c:v>
                  </c:pt>
                  <c:pt idx="21">
                    <c:v>FSCJ</c:v>
                  </c:pt>
                  <c:pt idx="22">
                    <c:v>SPC</c:v>
                  </c:pt>
                  <c:pt idx="23">
                    <c:v>HCC</c:v>
                  </c:pt>
                  <c:pt idx="24">
                    <c:v>PBSC</c:v>
                  </c:pt>
                  <c:pt idx="25">
                    <c:v>BC</c:v>
                  </c:pt>
                  <c:pt idx="26">
                    <c:v>VC</c:v>
                  </c:pt>
                  <c:pt idx="27">
                    <c:v>MDC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7428-403A-BFEB-E8F84D650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132912"/>
        <c:axId val="1917134160"/>
      </c:scatterChart>
      <c:valAx>
        <c:axId val="191713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 Graduates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134160"/>
        <c:crosses val="autoZero"/>
        <c:crossBetween val="midCat"/>
      </c:valAx>
      <c:valAx>
        <c:axId val="191713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Recurring Fudning Per Graduate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132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'System vs. Expected'!$E$3</c:f>
              <c:strCache>
                <c:ptCount val="1"/>
                <c:pt idx="0">
                  <c:v>Funding per Graduate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'System vs. Expected'!$C$4:$C$15</c:f>
              <c:numCache>
                <c:formatCode>General</c:formatCode>
                <c:ptCount val="12"/>
                <c:pt idx="0">
                  <c:v>50</c:v>
                </c:pt>
                <c:pt idx="1">
                  <c:v>100</c:v>
                </c:pt>
                <c:pt idx="2">
                  <c:v>271</c:v>
                </c:pt>
                <c:pt idx="3">
                  <c:v>618</c:v>
                </c:pt>
                <c:pt idx="4">
                  <c:v>1136</c:v>
                </c:pt>
                <c:pt idx="5">
                  <c:v>2167</c:v>
                </c:pt>
                <c:pt idx="6">
                  <c:v>3145</c:v>
                </c:pt>
                <c:pt idx="7">
                  <c:v>4365</c:v>
                </c:pt>
                <c:pt idx="8">
                  <c:v>6000</c:v>
                </c:pt>
                <c:pt idx="9">
                  <c:v>8000</c:v>
                </c:pt>
                <c:pt idx="10">
                  <c:v>9394</c:v>
                </c:pt>
                <c:pt idx="11">
                  <c:v>11000</c:v>
                </c:pt>
              </c:numCache>
            </c:numRef>
          </c:xVal>
          <c:yVal>
            <c:numRef>
              <c:f>'System vs. Expected'!$E$4:$E$15</c:f>
              <c:numCache>
                <c:formatCode>General</c:formatCode>
                <c:ptCount val="12"/>
                <c:pt idx="0">
                  <c:v>58098.83</c:v>
                </c:pt>
                <c:pt idx="1">
                  <c:v>47092.456721015005</c:v>
                </c:pt>
                <c:pt idx="2">
                  <c:v>34814.167334863378</c:v>
                </c:pt>
                <c:pt idx="3">
                  <c:v>27118.866685787936</c:v>
                </c:pt>
                <c:pt idx="4">
                  <c:v>22550.592950490711</c:v>
                </c:pt>
                <c:pt idx="5">
                  <c:v>18542.517459171599</c:v>
                </c:pt>
                <c:pt idx="6">
                  <c:v>16563.525581172729</c:v>
                </c:pt>
                <c:pt idx="7">
                  <c:v>14997.357983708369</c:v>
                </c:pt>
                <c:pt idx="8">
                  <c:v>13619.098366673112</c:v>
                </c:pt>
                <c:pt idx="9">
                  <c:v>12482.175717450669</c:v>
                </c:pt>
                <c:pt idx="10">
                  <c:v>11889.180787462372</c:v>
                </c:pt>
                <c:pt idx="11">
                  <c:v>11333.98863993307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2-41BE-839E-4648239FB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0104976"/>
        <c:axId val="1960102896"/>
      </c:scatterChart>
      <c:valAx>
        <c:axId val="196010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102896"/>
        <c:crosses val="autoZero"/>
        <c:crossBetween val="midCat"/>
      </c:valAx>
      <c:valAx>
        <c:axId val="196010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104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Curve of</a:t>
            </a:r>
            <a:r>
              <a:rPr lang="en-US" baseline="0"/>
              <a:t> Per Graduate Funding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7.4032596696567574E-2"/>
                  <c:y val="-0.3432565562268705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'System vs. Expected'!$E$36:$E$48</c:f>
              <c:numCache>
                <c:formatCode>General</c:formatCode>
                <c:ptCount val="13"/>
                <c:pt idx="0">
                  <c:v>50</c:v>
                </c:pt>
                <c:pt idx="1">
                  <c:v>100</c:v>
                </c:pt>
                <c:pt idx="2">
                  <c:v>271</c:v>
                </c:pt>
                <c:pt idx="3">
                  <c:v>618</c:v>
                </c:pt>
                <c:pt idx="4">
                  <c:v>1136</c:v>
                </c:pt>
                <c:pt idx="5">
                  <c:v>2167</c:v>
                </c:pt>
                <c:pt idx="6">
                  <c:v>3145</c:v>
                </c:pt>
                <c:pt idx="7">
                  <c:v>4365</c:v>
                </c:pt>
                <c:pt idx="8">
                  <c:v>6000</c:v>
                </c:pt>
                <c:pt idx="9">
                  <c:v>8000</c:v>
                </c:pt>
                <c:pt idx="10">
                  <c:v>9394</c:v>
                </c:pt>
                <c:pt idx="11">
                  <c:v>11000</c:v>
                </c:pt>
                <c:pt idx="12">
                  <c:v>13000</c:v>
                </c:pt>
              </c:numCache>
            </c:numRef>
          </c:xVal>
          <c:yVal>
            <c:numRef>
              <c:f>'System vs. Expected'!$G$36:$G$48</c:f>
              <c:numCache>
                <c:formatCode>General</c:formatCode>
                <c:ptCount val="13"/>
                <c:pt idx="0">
                  <c:v>58098.826059518709</c:v>
                </c:pt>
                <c:pt idx="1">
                  <c:v>47092.456721015005</c:v>
                </c:pt>
                <c:pt idx="2">
                  <c:v>34814.167334863378</c:v>
                </c:pt>
                <c:pt idx="3">
                  <c:v>27118.866685787936</c:v>
                </c:pt>
                <c:pt idx="4">
                  <c:v>22550.592950490711</c:v>
                </c:pt>
                <c:pt idx="5">
                  <c:v>18542.517459171599</c:v>
                </c:pt>
                <c:pt idx="6">
                  <c:v>16563.525581172729</c:v>
                </c:pt>
                <c:pt idx="7">
                  <c:v>14997.357983708369</c:v>
                </c:pt>
                <c:pt idx="8">
                  <c:v>13619.098366673112</c:v>
                </c:pt>
                <c:pt idx="9">
                  <c:v>12482.175717450669</c:v>
                </c:pt>
                <c:pt idx="10">
                  <c:v>11889.180787462372</c:v>
                </c:pt>
                <c:pt idx="11">
                  <c:v>11333.98863993307</c:v>
                </c:pt>
                <c:pt idx="12">
                  <c:v>10774.545905774861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8C-4FE0-B2B5-C67F15EC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394032"/>
        <c:axId val="1307389456"/>
      </c:scatterChart>
      <c:valAx>
        <c:axId val="130739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389456"/>
        <c:crosses val="autoZero"/>
        <c:crossBetween val="midCat"/>
      </c:valAx>
      <c:valAx>
        <c:axId val="130738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394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786438590536498"/>
          <c:y val="2.6315789473684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'System vs. Expected'!$E$3</c:f>
              <c:strCache>
                <c:ptCount val="1"/>
                <c:pt idx="0">
                  <c:v>Funding per Graduate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'System vs. Expected'!$C$4:$C$16</c:f>
              <c:numCache>
                <c:formatCode>General</c:formatCode>
                <c:ptCount val="13"/>
                <c:pt idx="0">
                  <c:v>50</c:v>
                </c:pt>
                <c:pt idx="1">
                  <c:v>100</c:v>
                </c:pt>
                <c:pt idx="2">
                  <c:v>271</c:v>
                </c:pt>
                <c:pt idx="3">
                  <c:v>618</c:v>
                </c:pt>
                <c:pt idx="4">
                  <c:v>1136</c:v>
                </c:pt>
                <c:pt idx="5">
                  <c:v>2167</c:v>
                </c:pt>
                <c:pt idx="6">
                  <c:v>3145</c:v>
                </c:pt>
                <c:pt idx="7">
                  <c:v>4365</c:v>
                </c:pt>
                <c:pt idx="8">
                  <c:v>6000</c:v>
                </c:pt>
                <c:pt idx="9">
                  <c:v>8000</c:v>
                </c:pt>
                <c:pt idx="10">
                  <c:v>9394</c:v>
                </c:pt>
                <c:pt idx="11">
                  <c:v>11000</c:v>
                </c:pt>
                <c:pt idx="12">
                  <c:v>13000</c:v>
                </c:pt>
              </c:numCache>
            </c:numRef>
          </c:xVal>
          <c:yVal>
            <c:numRef>
              <c:f>'System vs. Expected'!$E$4:$E$16</c:f>
              <c:numCache>
                <c:formatCode>General</c:formatCode>
                <c:ptCount val="13"/>
                <c:pt idx="0">
                  <c:v>58098.83</c:v>
                </c:pt>
                <c:pt idx="1">
                  <c:v>47092.456721015005</c:v>
                </c:pt>
                <c:pt idx="2">
                  <c:v>34814.167334863378</c:v>
                </c:pt>
                <c:pt idx="3">
                  <c:v>27118.866685787936</c:v>
                </c:pt>
                <c:pt idx="4">
                  <c:v>22550.592950490711</c:v>
                </c:pt>
                <c:pt idx="5">
                  <c:v>18542.517459171599</c:v>
                </c:pt>
                <c:pt idx="6">
                  <c:v>16563.525581172729</c:v>
                </c:pt>
                <c:pt idx="7">
                  <c:v>14997.357983708369</c:v>
                </c:pt>
                <c:pt idx="8">
                  <c:v>13619.098366673112</c:v>
                </c:pt>
                <c:pt idx="9">
                  <c:v>12482.175717450669</c:v>
                </c:pt>
                <c:pt idx="10">
                  <c:v>11889.180787462372</c:v>
                </c:pt>
                <c:pt idx="11">
                  <c:v>11333.98863993307</c:v>
                </c:pt>
                <c:pt idx="12">
                  <c:v>10774.545905774861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E3-41EF-8051-88FF1081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2838416"/>
        <c:axId val="1952839248"/>
      </c:scatterChart>
      <c:valAx>
        <c:axId val="195283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839248"/>
        <c:crosses val="autoZero"/>
        <c:crossBetween val="midCat"/>
      </c:valAx>
      <c:valAx>
        <c:axId val="195283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838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Expected Funding per Graduate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'System vs. Expected'!$D$3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'System vs. Expected'!$C$4:$C$16</c:f>
              <c:numCache>
                <c:formatCode>General</c:formatCode>
                <c:ptCount val="13"/>
                <c:pt idx="0">
                  <c:v>50</c:v>
                </c:pt>
                <c:pt idx="1">
                  <c:v>100</c:v>
                </c:pt>
                <c:pt idx="2">
                  <c:v>271</c:v>
                </c:pt>
                <c:pt idx="3">
                  <c:v>618</c:v>
                </c:pt>
                <c:pt idx="4">
                  <c:v>1136</c:v>
                </c:pt>
                <c:pt idx="5">
                  <c:v>2167</c:v>
                </c:pt>
                <c:pt idx="6">
                  <c:v>3145</c:v>
                </c:pt>
                <c:pt idx="7">
                  <c:v>4365</c:v>
                </c:pt>
                <c:pt idx="8">
                  <c:v>6000</c:v>
                </c:pt>
                <c:pt idx="9">
                  <c:v>8000</c:v>
                </c:pt>
                <c:pt idx="10">
                  <c:v>9394</c:v>
                </c:pt>
                <c:pt idx="11">
                  <c:v>11000</c:v>
                </c:pt>
                <c:pt idx="12">
                  <c:v>13000</c:v>
                </c:pt>
              </c:numCache>
            </c:numRef>
          </c:xVal>
          <c:yVal>
            <c:numRef>
              <c:f>'System vs. Expected'!$D$4:$D$16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1C-4EFA-993E-C376F350B01C}"/>
            </c:ext>
          </c:extLst>
        </c:ser>
        <c:ser>
          <c:idx val="1"/>
          <c:order val="1"/>
          <c:tx>
            <c:strRef>
              <c:f>'System vs. Expected'!$E$3</c:f>
              <c:strCache>
                <c:ptCount val="1"/>
                <c:pt idx="0">
                  <c:v>Funding per Graduate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61C-4EFA-993E-C376F350B01C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1">
                    <a:lumMod val="75000"/>
                  </a:schemeClr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688-421A-8DB0-3C5286B3F5A5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1">
                    <a:lumMod val="75000"/>
                  </a:schemeClr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688-421A-8DB0-3C5286B3F5A5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1">
                    <a:lumMod val="75000"/>
                  </a:schemeClr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688-421A-8DB0-3C5286B3F5A5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1">
                    <a:lumMod val="75000"/>
                  </a:schemeClr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688-421A-8DB0-3C5286B3F5A5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1">
                    <a:lumMod val="75000"/>
                  </a:schemeClr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688-421A-8DB0-3C5286B3F5A5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>
                    <a:lumMod val="75000"/>
                  </a:schemeClr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1688-421A-8DB0-3C5286B3F5A5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>
                    <a:lumMod val="75000"/>
                  </a:schemeClr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1688-421A-8DB0-3C5286B3F5A5}"/>
              </c:ext>
            </c:extLst>
          </c:dPt>
          <c:xVal>
            <c:numRef>
              <c:f>'System vs. Expected'!$C$4:$C$16</c:f>
              <c:numCache>
                <c:formatCode>General</c:formatCode>
                <c:ptCount val="13"/>
                <c:pt idx="0">
                  <c:v>50</c:v>
                </c:pt>
                <c:pt idx="1">
                  <c:v>100</c:v>
                </c:pt>
                <c:pt idx="2">
                  <c:v>271</c:v>
                </c:pt>
                <c:pt idx="3">
                  <c:v>618</c:v>
                </c:pt>
                <c:pt idx="4">
                  <c:v>1136</c:v>
                </c:pt>
                <c:pt idx="5">
                  <c:v>2167</c:v>
                </c:pt>
                <c:pt idx="6">
                  <c:v>3145</c:v>
                </c:pt>
                <c:pt idx="7">
                  <c:v>4365</c:v>
                </c:pt>
                <c:pt idx="8">
                  <c:v>6000</c:v>
                </c:pt>
                <c:pt idx="9">
                  <c:v>8000</c:v>
                </c:pt>
                <c:pt idx="10">
                  <c:v>9394</c:v>
                </c:pt>
                <c:pt idx="11">
                  <c:v>11000</c:v>
                </c:pt>
                <c:pt idx="12">
                  <c:v>13000</c:v>
                </c:pt>
              </c:numCache>
            </c:numRef>
          </c:xVal>
          <c:yVal>
            <c:numRef>
              <c:f>'System vs. Expected'!$E$4:$E$16</c:f>
              <c:numCache>
                <c:formatCode>General</c:formatCode>
                <c:ptCount val="13"/>
                <c:pt idx="0">
                  <c:v>58098.83</c:v>
                </c:pt>
                <c:pt idx="1">
                  <c:v>47092.456721015005</c:v>
                </c:pt>
                <c:pt idx="2">
                  <c:v>34814.167334863378</c:v>
                </c:pt>
                <c:pt idx="3">
                  <c:v>27118.866685787936</c:v>
                </c:pt>
                <c:pt idx="4">
                  <c:v>22550.592950490711</c:v>
                </c:pt>
                <c:pt idx="5">
                  <c:v>18542.517459171599</c:v>
                </c:pt>
                <c:pt idx="6">
                  <c:v>16563.525581172729</c:v>
                </c:pt>
                <c:pt idx="7">
                  <c:v>14997.357983708369</c:v>
                </c:pt>
                <c:pt idx="8">
                  <c:v>13619.098366673112</c:v>
                </c:pt>
                <c:pt idx="9">
                  <c:v>12482.175717450669</c:v>
                </c:pt>
                <c:pt idx="10">
                  <c:v>11889.180787462372</c:v>
                </c:pt>
                <c:pt idx="11">
                  <c:v>11333.98863993307</c:v>
                </c:pt>
                <c:pt idx="12">
                  <c:v>10774.545905774861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1C-4EFA-993E-C376F350B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310543"/>
        <c:axId val="348303887"/>
      </c:scatterChart>
      <c:valAx>
        <c:axId val="348310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303887"/>
        <c:crosses val="autoZero"/>
        <c:crossBetween val="midCat"/>
      </c:valAx>
      <c:valAx>
        <c:axId val="348303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3105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0</xdr:row>
      <xdr:rowOff>1184910</xdr:rowOff>
    </xdr:from>
    <xdr:to>
      <xdr:col>11</xdr:col>
      <xdr:colOff>1264920</xdr:colOff>
      <xdr:row>29</xdr:row>
      <xdr:rowOff>175260</xdr:rowOff>
    </xdr:to>
    <xdr:graphicFrame macro="">
      <xdr:nvGraphicFramePr>
        <xdr:cNvPr id="2" name="Chart 1" descr="This graph provides an illustration of the collges and their total new funds." title="Total New Funds">
          <a:extLst>
            <a:ext uri="{FF2B5EF4-FFF2-40B4-BE49-F238E27FC236}">
              <a16:creationId xmlns:a16="http://schemas.microsoft.com/office/drawing/2014/main" id="{839F9F00-55F7-A9DC-2F60-A1B5F2AA15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936</xdr:rowOff>
    </xdr:from>
    <xdr:to>
      <xdr:col>13</xdr:col>
      <xdr:colOff>92075</xdr:colOff>
      <xdr:row>33</xdr:row>
      <xdr:rowOff>10245</xdr:rowOff>
    </xdr:to>
    <xdr:pic>
      <xdr:nvPicPr>
        <xdr:cNvPr id="3" name="Picture 2" descr="This graph illustrates the average funding per graduate." title="Tier Average Funding per Graduate">
          <a:extLst>
            <a:ext uri="{FF2B5EF4-FFF2-40B4-BE49-F238E27FC236}">
              <a16:creationId xmlns:a16="http://schemas.microsoft.com/office/drawing/2014/main" id="{3C211B09-5926-4132-9DC4-BACCEB25A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267761"/>
          <a:ext cx="8121650" cy="47892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274320</xdr:colOff>
      <xdr:row>3</xdr:row>
      <xdr:rowOff>19050</xdr:rowOff>
    </xdr:from>
    <xdr:to>
      <xdr:col>25</xdr:col>
      <xdr:colOff>1905</xdr:colOff>
      <xdr:row>29</xdr:row>
      <xdr:rowOff>78105</xdr:rowOff>
    </xdr:to>
    <xdr:graphicFrame macro="">
      <xdr:nvGraphicFramePr>
        <xdr:cNvPr id="2" name="Chart 1" descr="This graph illustrates the recurring funding per expected graduate against the actual number of graduates, while also demonstrating each individual college's number of expected graduates against actual graduates." title="Actual Graduates against Expected Graduates">
          <a:extLst>
            <a:ext uri="{FF2B5EF4-FFF2-40B4-BE49-F238E27FC236}">
              <a16:creationId xmlns:a16="http://schemas.microsoft.com/office/drawing/2014/main" id="{4A2D0966-BA4C-4653-A235-431393B31E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294322</xdr:colOff>
      <xdr:row>32</xdr:row>
      <xdr:rowOff>73342</xdr:rowOff>
    </xdr:from>
    <xdr:to>
      <xdr:col>21</xdr:col>
      <xdr:colOff>593407</xdr:colOff>
      <xdr:row>47</xdr:row>
      <xdr:rowOff>117157</xdr:rowOff>
    </xdr:to>
    <xdr:graphicFrame macro="">
      <xdr:nvGraphicFramePr>
        <xdr:cNvPr id="7" name="Chart 6" descr="This graph illustrates the power curve of recurring funding per expected graduate against the actual number of graduates." title="Funding Per Graduate">
          <a:extLst>
            <a:ext uri="{FF2B5EF4-FFF2-40B4-BE49-F238E27FC236}">
              <a16:creationId xmlns:a16="http://schemas.microsoft.com/office/drawing/2014/main" id="{EB96F0CE-73A2-4763-8599-007D3B064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685800</xdr:colOff>
      <xdr:row>31</xdr:row>
      <xdr:rowOff>138112</xdr:rowOff>
    </xdr:from>
    <xdr:to>
      <xdr:col>13</xdr:col>
      <xdr:colOff>180975</xdr:colOff>
      <xdr:row>46</xdr:row>
      <xdr:rowOff>166687</xdr:rowOff>
    </xdr:to>
    <xdr:graphicFrame macro="">
      <xdr:nvGraphicFramePr>
        <xdr:cNvPr id="3" name="Chart 2" descr="This graph illustrates the power curve of recurring funding per expected graduate against the actual number of graduates." title="Curve of Per Graduate Funding">
          <a:extLst>
            <a:ext uri="{FF2B5EF4-FFF2-40B4-BE49-F238E27FC236}">
              <a16:creationId xmlns:a16="http://schemas.microsoft.com/office/drawing/2014/main" id="{48839314-9355-4FD8-B75A-0AB8E64619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160972</xdr:colOff>
      <xdr:row>48</xdr:row>
      <xdr:rowOff>21907</xdr:rowOff>
    </xdr:from>
    <xdr:to>
      <xdr:col>13</xdr:col>
      <xdr:colOff>340042</xdr:colOff>
      <xdr:row>63</xdr:row>
      <xdr:rowOff>60007</xdr:rowOff>
    </xdr:to>
    <xdr:graphicFrame macro="">
      <xdr:nvGraphicFramePr>
        <xdr:cNvPr id="4" name="Chart 3" descr="This graph illustrates the power curve of recurring funding per expected graduate against the actual number of graduates." title="Funding per Graduate">
          <a:extLst>
            <a:ext uri="{FF2B5EF4-FFF2-40B4-BE49-F238E27FC236}">
              <a16:creationId xmlns:a16="http://schemas.microsoft.com/office/drawing/2014/main" id="{FC471B94-4C29-4281-AAA1-C4B8300D5F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114300</xdr:colOff>
      <xdr:row>11</xdr:row>
      <xdr:rowOff>57150</xdr:rowOff>
    </xdr:from>
    <xdr:to>
      <xdr:col>8</xdr:col>
      <xdr:colOff>1638300</xdr:colOff>
      <xdr:row>26</xdr:row>
      <xdr:rowOff>57150</xdr:rowOff>
    </xdr:to>
    <xdr:graphicFrame macro="">
      <xdr:nvGraphicFramePr>
        <xdr:cNvPr id="5" name="Chart 4" descr="This graph illustrates the power curve of recurring funding per expected graduate against the actual number of graduates." title="Expected Funding per Graduate">
          <a:extLst>
            <a:ext uri="{FF2B5EF4-FFF2-40B4-BE49-F238E27FC236}">
              <a16:creationId xmlns:a16="http://schemas.microsoft.com/office/drawing/2014/main" id="{53AA307F-FF51-48DA-9E18-C1356E092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5"/>
  <sheetViews>
    <sheetView tabSelected="1" workbookViewId="0"/>
  </sheetViews>
  <sheetFormatPr defaultRowHeight="15" x14ac:dyDescent="0.25"/>
  <cols>
    <col min="2" max="2" width="37.7109375" bestFit="1" customWidth="1"/>
    <col min="3" max="7" width="18.42578125" customWidth="1"/>
    <col min="8" max="8" width="9.42578125" customWidth="1"/>
    <col min="9" max="9" width="17.28515625" customWidth="1"/>
    <col min="10" max="10" width="9.42578125" customWidth="1"/>
    <col min="11" max="11" width="8.85546875" customWidth="1"/>
    <col min="12" max="12" width="20.42578125" customWidth="1"/>
    <col min="13" max="13" width="27.140625" customWidth="1"/>
    <col min="14" max="14" width="11.7109375" customWidth="1"/>
    <col min="15" max="19" width="8.85546875" customWidth="1"/>
    <col min="20" max="20" width="18.85546875" style="40" bestFit="1" customWidth="1"/>
    <col min="21" max="21" width="16.28515625" style="40" bestFit="1" customWidth="1"/>
    <col min="22" max="22" width="18" style="40" bestFit="1" customWidth="1"/>
    <col min="23" max="23" width="10.28515625" customWidth="1"/>
    <col min="24" max="24" width="8.85546875" customWidth="1"/>
    <col min="25" max="25" width="9.7109375" customWidth="1"/>
    <col min="26" max="26" width="10.28515625" customWidth="1"/>
    <col min="27" max="28" width="8.85546875" customWidth="1"/>
    <col min="29" max="29" width="16.85546875" bestFit="1" customWidth="1"/>
    <col min="30" max="31" width="15.28515625" customWidth="1"/>
    <col min="32" max="32" width="17.5703125" bestFit="1" customWidth="1"/>
    <col min="33" max="34" width="15.28515625" customWidth="1"/>
    <col min="35" max="35" width="12.85546875" customWidth="1"/>
    <col min="36" max="36" width="12.5703125" customWidth="1"/>
    <col min="37" max="37" width="10.7109375" bestFit="1" customWidth="1"/>
    <col min="38" max="38" width="16.28515625" bestFit="1" customWidth="1"/>
    <col min="39" max="39" width="14.140625" customWidth="1"/>
    <col min="40" max="40" width="16.42578125" bestFit="1" customWidth="1"/>
  </cols>
  <sheetData>
    <row r="1" spans="1:44" s="50" customFormat="1" ht="107.25" customHeight="1" x14ac:dyDescent="0.4">
      <c r="A1" s="50" t="s">
        <v>0</v>
      </c>
      <c r="B1" s="50" t="s">
        <v>1</v>
      </c>
      <c r="C1" s="68" t="s">
        <v>70</v>
      </c>
      <c r="D1" s="68"/>
      <c r="E1" s="68" t="s">
        <v>71</v>
      </c>
      <c r="F1" s="68" t="s">
        <v>72</v>
      </c>
      <c r="G1" s="68" t="s">
        <v>73</v>
      </c>
      <c r="H1" s="68" t="s">
        <v>2</v>
      </c>
      <c r="I1" s="50" t="s">
        <v>3</v>
      </c>
      <c r="K1" s="50" t="s">
        <v>4</v>
      </c>
      <c r="L1" s="50" t="s">
        <v>5</v>
      </c>
      <c r="M1" s="50" t="s">
        <v>6</v>
      </c>
      <c r="N1" s="50" t="s">
        <v>7</v>
      </c>
      <c r="O1" s="50" t="s">
        <v>8</v>
      </c>
      <c r="P1" s="50" t="s">
        <v>9</v>
      </c>
      <c r="Q1" s="50" t="s">
        <v>10</v>
      </c>
      <c r="R1" s="50" t="s">
        <v>11</v>
      </c>
      <c r="T1" s="64" t="s">
        <v>12</v>
      </c>
      <c r="U1" s="64" t="s">
        <v>5</v>
      </c>
      <c r="V1" s="64" t="s">
        <v>13</v>
      </c>
      <c r="W1" s="50" t="s">
        <v>14</v>
      </c>
      <c r="X1" s="68" t="s">
        <v>15</v>
      </c>
      <c r="Y1" s="68"/>
      <c r="Z1" s="68" t="s">
        <v>20</v>
      </c>
      <c r="AA1" s="68" t="s">
        <v>16</v>
      </c>
      <c r="AB1" s="68" t="s">
        <v>17</v>
      </c>
      <c r="AC1" s="68" t="s">
        <v>21</v>
      </c>
      <c r="AD1" s="68" t="s">
        <v>18</v>
      </c>
      <c r="AE1" s="68" t="s">
        <v>19</v>
      </c>
      <c r="AF1" s="68" t="s">
        <v>80</v>
      </c>
      <c r="AG1" s="68" t="s">
        <v>83</v>
      </c>
      <c r="AH1" s="70" t="s">
        <v>84</v>
      </c>
      <c r="AI1" s="68" t="s">
        <v>86</v>
      </c>
      <c r="AJ1" s="68" t="s">
        <v>87</v>
      </c>
      <c r="AL1" s="115" t="s">
        <v>120</v>
      </c>
      <c r="AM1" s="116"/>
    </row>
    <row r="2" spans="1:44" s="50" customFormat="1" ht="14.65" customHeight="1" x14ac:dyDescent="0.25">
      <c r="A2" s="50">
        <v>1</v>
      </c>
      <c r="B2" s="50" t="s">
        <v>22</v>
      </c>
      <c r="C2" s="51">
        <v>249</v>
      </c>
      <c r="D2" s="52"/>
      <c r="E2" s="53">
        <f t="shared" ref="E2:E30" si="0">M2/C2</f>
        <v>32857.891566265062</v>
      </c>
      <c r="F2" s="54">
        <f>AVERAGE(C2:C4)</f>
        <v>271.33333333333331</v>
      </c>
      <c r="G2" s="54">
        <f>AVERAGE(M2:M4)/F2</f>
        <v>35883.971744471746</v>
      </c>
      <c r="H2" s="50">
        <v>848</v>
      </c>
      <c r="I2" s="55">
        <v>1026</v>
      </c>
      <c r="K2" s="50">
        <v>6918250</v>
      </c>
      <c r="L2" s="56">
        <v>1263365</v>
      </c>
      <c r="M2" s="6">
        <v>8181615</v>
      </c>
      <c r="N2" s="50">
        <v>0</v>
      </c>
      <c r="O2" s="50">
        <v>0</v>
      </c>
      <c r="P2" s="50">
        <v>347332.71226415224</v>
      </c>
      <c r="Q2" s="50">
        <v>3.8351423784990096E-3</v>
      </c>
      <c r="R2" s="55">
        <v>347332.7160992946</v>
      </c>
      <c r="S2" s="55"/>
      <c r="T2" s="3">
        <v>7265582.7160992948</v>
      </c>
      <c r="U2" s="64">
        <v>1263365</v>
      </c>
      <c r="V2" s="64">
        <v>8528947.7160992958</v>
      </c>
      <c r="W2" s="57">
        <f t="shared" ref="W2:W30" si="1">M2/H2</f>
        <v>9648.1308962264156</v>
      </c>
      <c r="X2" s="55">
        <v>11742</v>
      </c>
      <c r="Y2" s="55"/>
      <c r="Z2" s="6">
        <f>'SPSS Output 4'!$G$5*('Outputs Results'!C2^'SPSS Output 4'!$H$5)</f>
        <v>35718.876023109267</v>
      </c>
      <c r="AA2" s="57">
        <f t="shared" ref="AA2:AA29" si="2">E2-Z2</f>
        <v>-2860.9844568442059</v>
      </c>
      <c r="AB2" s="58">
        <f t="shared" ref="AB2:AB29" si="3">AA2/Z2</f>
        <v>-8.0097269997891782E-2</v>
      </c>
      <c r="AC2" s="59">
        <f t="shared" ref="AC2:AC29" si="4">Z2*C2</f>
        <v>8894000.129754208</v>
      </c>
      <c r="AD2" s="57">
        <f t="shared" ref="AD2:AD29" si="5">AC2-M2</f>
        <v>712385.12975420803</v>
      </c>
      <c r="AE2" s="57">
        <f t="shared" ref="AE2:AE29" si="6">IF(AD2&gt;0,AD2,"")</f>
        <v>712385.12975420803</v>
      </c>
      <c r="AF2" s="57">
        <f>IFERROR((AE2/$AE$31)*$AF$31*$AM$3,"0")</f>
        <v>467870.50231858884</v>
      </c>
      <c r="AG2" s="57">
        <f>$AG$31 * ( AC2 / $AC$31 )</f>
        <v>452824.41324234672</v>
      </c>
      <c r="AH2" s="71">
        <f>AF2+AG2</f>
        <v>920694.91556093562</v>
      </c>
      <c r="AI2" s="67">
        <f t="shared" ref="AI2:AI29" si="7">AG2/C2</f>
        <v>1818.5719407323161</v>
      </c>
      <c r="AJ2" s="57">
        <f t="shared" ref="AJ2:AJ29" si="8">AF2/C2</f>
        <v>1878.9980012794733</v>
      </c>
      <c r="AL2" s="117" t="s">
        <v>119</v>
      </c>
      <c r="AM2" s="118" t="s">
        <v>81</v>
      </c>
      <c r="AN2" s="50" t="s">
        <v>82</v>
      </c>
    </row>
    <row r="3" spans="1:44" s="50" customFormat="1" ht="14.65" customHeight="1" x14ac:dyDescent="0.25">
      <c r="A3" s="50">
        <v>1</v>
      </c>
      <c r="B3" s="50" t="s">
        <v>23</v>
      </c>
      <c r="C3" s="51">
        <v>161</v>
      </c>
      <c r="D3" s="52"/>
      <c r="E3" s="53">
        <f t="shared" si="0"/>
        <v>52638.863354037268</v>
      </c>
      <c r="F3" s="54">
        <v>271.33333333333331</v>
      </c>
      <c r="G3" s="54">
        <v>35883.971744471746</v>
      </c>
      <c r="H3" s="50">
        <v>895</v>
      </c>
      <c r="I3" s="55">
        <v>1026</v>
      </c>
      <c r="K3" s="50">
        <v>7306183</v>
      </c>
      <c r="L3" s="56">
        <v>1168674</v>
      </c>
      <c r="M3" s="6">
        <v>8474857</v>
      </c>
      <c r="N3" s="50">
        <v>0</v>
      </c>
      <c r="O3" s="50">
        <v>0</v>
      </c>
      <c r="P3" s="50">
        <v>1079478.9921787735</v>
      </c>
      <c r="Q3" s="50">
        <v>6.226434654480778E-3</v>
      </c>
      <c r="R3" s="55">
        <v>1079478.9984052081</v>
      </c>
      <c r="S3" s="55"/>
      <c r="T3" s="3">
        <v>8385661.9984052079</v>
      </c>
      <c r="U3" s="64">
        <v>1168674</v>
      </c>
      <c r="V3" s="64">
        <v>9554335.9984052069</v>
      </c>
      <c r="W3" s="57">
        <f t="shared" si="1"/>
        <v>9469.1139664804468</v>
      </c>
      <c r="X3" s="55">
        <v>11742</v>
      </c>
      <c r="Y3" s="55"/>
      <c r="Z3" s="6">
        <f>'SPSS Output 4'!$G$5*('Outputs Results'!C3^'SPSS Output 4'!$H$5)</f>
        <v>40764.339774832944</v>
      </c>
      <c r="AA3" s="57">
        <f t="shared" si="2"/>
        <v>11874.523579204324</v>
      </c>
      <c r="AB3" s="58">
        <f t="shared" si="3"/>
        <v>0.29129684535048961</v>
      </c>
      <c r="AC3" s="59">
        <f t="shared" si="4"/>
        <v>6563058.7037481042</v>
      </c>
      <c r="AD3" s="57">
        <f t="shared" si="5"/>
        <v>-1911798.2962518958</v>
      </c>
      <c r="AE3" s="57" t="str">
        <f t="shared" si="6"/>
        <v/>
      </c>
      <c r="AF3" s="57" t="str">
        <f t="shared" ref="AF3:AF29" si="9">IFERROR((AE3/$AE$31)*$AF$31*$AM$3,"0")</f>
        <v>0</v>
      </c>
      <c r="AG3" s="57">
        <f t="shared" ref="AG3:AG29" si="10">$AG$31 * ( AC3 / $AC$31 )</f>
        <v>334148.09570976952</v>
      </c>
      <c r="AH3" s="71">
        <f t="shared" ref="AH3:AH29" si="11">AF3+AG3</f>
        <v>334148.09570976952</v>
      </c>
      <c r="AI3" s="67">
        <f t="shared" si="7"/>
        <v>2075.4540106196864</v>
      </c>
      <c r="AJ3" s="57">
        <f t="shared" si="8"/>
        <v>0</v>
      </c>
      <c r="AL3" s="119">
        <v>131000000</v>
      </c>
      <c r="AM3" s="120">
        <v>0.5</v>
      </c>
      <c r="AN3" s="69">
        <f>1-AM3</f>
        <v>0.5</v>
      </c>
    </row>
    <row r="4" spans="1:44" s="50" customFormat="1" ht="14.65" customHeight="1" x14ac:dyDescent="0.25">
      <c r="A4" s="50">
        <v>1</v>
      </c>
      <c r="B4" s="50" t="s">
        <v>24</v>
      </c>
      <c r="C4" s="51">
        <v>404</v>
      </c>
      <c r="D4" s="52"/>
      <c r="E4" s="53">
        <f t="shared" si="0"/>
        <v>31071.982673267328</v>
      </c>
      <c r="F4" s="54">
        <v>271.33333333333331</v>
      </c>
      <c r="G4" s="54">
        <v>35883.971744471746</v>
      </c>
      <c r="H4" s="50">
        <v>1335</v>
      </c>
      <c r="I4" s="55">
        <v>1026</v>
      </c>
      <c r="K4" s="50">
        <v>10122783</v>
      </c>
      <c r="L4" s="56">
        <v>2430298</v>
      </c>
      <c r="M4" s="6">
        <v>12553081</v>
      </c>
      <c r="N4" s="50">
        <v>0</v>
      </c>
      <c r="O4" s="50">
        <v>0</v>
      </c>
      <c r="P4" s="50">
        <v>75224.455430712551</v>
      </c>
      <c r="Q4" s="50">
        <v>3.0191809761923906E-3</v>
      </c>
      <c r="R4" s="55">
        <v>75224.458449893529</v>
      </c>
      <c r="S4" s="55"/>
      <c r="T4" s="3">
        <v>10198007.458449893</v>
      </c>
      <c r="U4" s="64">
        <v>2430298</v>
      </c>
      <c r="V4" s="64">
        <v>12628305.458449893</v>
      </c>
      <c r="W4" s="57">
        <f t="shared" si="1"/>
        <v>9403.0569288389506</v>
      </c>
      <c r="X4" s="55">
        <v>11742</v>
      </c>
      <c r="Y4" s="55"/>
      <c r="Z4" s="6">
        <f>'SPSS Output 4'!$G$5*('Outputs Results'!C4^'SPSS Output 4'!$H$5)</f>
        <v>30846.784193116393</v>
      </c>
      <c r="AA4" s="57">
        <f t="shared" si="2"/>
        <v>225.19848015093521</v>
      </c>
      <c r="AB4" s="58">
        <f t="shared" si="3"/>
        <v>7.3005496696537117E-3</v>
      </c>
      <c r="AC4" s="59">
        <f t="shared" si="4"/>
        <v>12462100.814019023</v>
      </c>
      <c r="AD4" s="57">
        <f t="shared" si="5"/>
        <v>-90980.185980977491</v>
      </c>
      <c r="AE4" s="57" t="str">
        <f t="shared" si="6"/>
        <v/>
      </c>
      <c r="AF4" s="57" t="str">
        <f t="shared" si="9"/>
        <v>0</v>
      </c>
      <c r="AG4" s="57">
        <f t="shared" si="10"/>
        <v>634488.80217534781</v>
      </c>
      <c r="AH4" s="71">
        <f t="shared" si="11"/>
        <v>634488.80217534781</v>
      </c>
      <c r="AI4" s="67">
        <f t="shared" si="7"/>
        <v>1570.5168370676927</v>
      </c>
      <c r="AJ4" s="57">
        <f t="shared" si="8"/>
        <v>0</v>
      </c>
      <c r="AM4" s="50" t="s">
        <v>118</v>
      </c>
    </row>
    <row r="5" spans="1:44" s="50" customFormat="1" ht="14.65" customHeight="1" x14ac:dyDescent="0.25">
      <c r="A5" s="50">
        <v>2</v>
      </c>
      <c r="B5" s="50" t="s">
        <v>25</v>
      </c>
      <c r="C5" s="51">
        <v>615</v>
      </c>
      <c r="D5" s="52"/>
      <c r="E5" s="53">
        <f t="shared" si="0"/>
        <v>23968.183739837397</v>
      </c>
      <c r="F5" s="54">
        <f>AVERAGE(C5:C7)</f>
        <v>618.33333333333337</v>
      </c>
      <c r="G5" s="54">
        <f>AVERAGE(M5:M7)/F5</f>
        <v>31532.490566037734</v>
      </c>
      <c r="H5" s="50">
        <v>2321</v>
      </c>
      <c r="I5" s="55">
        <v>2560.3333333333335</v>
      </c>
      <c r="K5" s="50">
        <v>12343150</v>
      </c>
      <c r="L5" s="56">
        <v>2397283</v>
      </c>
      <c r="M5" s="6">
        <v>14740433</v>
      </c>
      <c r="N5" s="50">
        <v>0</v>
      </c>
      <c r="O5" s="50">
        <v>0</v>
      </c>
      <c r="P5" s="50">
        <v>44456.282205946743</v>
      </c>
      <c r="Q5" s="50">
        <v>8.0857882409110793E-3</v>
      </c>
      <c r="R5" s="55">
        <v>44456.290291734986</v>
      </c>
      <c r="S5" s="55"/>
      <c r="T5" s="3">
        <v>12387606.290291736</v>
      </c>
      <c r="U5" s="64">
        <v>2397283</v>
      </c>
      <c r="V5" s="64">
        <v>14784889.290291736</v>
      </c>
      <c r="W5" s="57">
        <f t="shared" si="1"/>
        <v>6350.8974579922451</v>
      </c>
      <c r="X5" s="50">
        <v>9644</v>
      </c>
      <c r="Z5" s="6">
        <f>'SPSS Output 4'!$G$5*('Outputs Results'!C5^'SPSS Output 4'!$H$5)</f>
        <v>27158.883461405898</v>
      </c>
      <c r="AA5" s="57">
        <f t="shared" si="2"/>
        <v>-3190.6997215685005</v>
      </c>
      <c r="AB5" s="58">
        <f t="shared" si="3"/>
        <v>-0.11748272811371796</v>
      </c>
      <c r="AC5" s="59">
        <f t="shared" si="4"/>
        <v>16702713.328764627</v>
      </c>
      <c r="AD5" s="57">
        <f t="shared" si="5"/>
        <v>1962280.3287646268</v>
      </c>
      <c r="AE5" s="57">
        <f t="shared" si="6"/>
        <v>1962280.3287646268</v>
      </c>
      <c r="AF5" s="57">
        <f t="shared" si="9"/>
        <v>1288759.4711946868</v>
      </c>
      <c r="AG5" s="57">
        <f t="shared" si="10"/>
        <v>850393.10235112242</v>
      </c>
      <c r="AH5" s="71">
        <f t="shared" si="11"/>
        <v>2139152.5735458094</v>
      </c>
      <c r="AI5" s="67">
        <f t="shared" si="7"/>
        <v>1382.7530119530445</v>
      </c>
      <c r="AJ5" s="57">
        <f t="shared" si="8"/>
        <v>2095.5438556011168</v>
      </c>
      <c r="AM5" s="103" t="s">
        <v>121</v>
      </c>
      <c r="AN5" s="104"/>
      <c r="AO5" s="104"/>
      <c r="AP5" s="104"/>
      <c r="AQ5" s="105"/>
      <c r="AR5" s="106"/>
    </row>
    <row r="6" spans="1:44" s="50" customFormat="1" ht="14.65" customHeight="1" x14ac:dyDescent="0.25">
      <c r="A6" s="50">
        <v>2</v>
      </c>
      <c r="B6" s="50" t="s">
        <v>26</v>
      </c>
      <c r="C6" s="51">
        <v>390</v>
      </c>
      <c r="D6" s="52"/>
      <c r="E6" s="53">
        <f t="shared" si="0"/>
        <v>49325.1</v>
      </c>
      <c r="F6" s="54">
        <v>618.33333333333337</v>
      </c>
      <c r="G6" s="54">
        <v>31532.490566037734</v>
      </c>
      <c r="H6" s="50">
        <v>2356</v>
      </c>
      <c r="I6" s="55">
        <v>2560.3333333333335</v>
      </c>
      <c r="K6" s="50">
        <v>17437031</v>
      </c>
      <c r="L6" s="56">
        <v>2799758</v>
      </c>
      <c r="M6" s="6">
        <f>20236789-1000000</f>
        <v>19236789</v>
      </c>
      <c r="N6" s="50">
        <v>0</v>
      </c>
      <c r="O6" s="50">
        <v>0</v>
      </c>
      <c r="P6" s="50">
        <v>163199.9112903215</v>
      </c>
      <c r="Q6" s="50">
        <v>7.2125779321916949E-3</v>
      </c>
      <c r="R6" s="55">
        <v>163199.91850289944</v>
      </c>
      <c r="S6" s="55"/>
      <c r="T6" s="3">
        <v>17600230.918502901</v>
      </c>
      <c r="U6" s="64">
        <v>2799758</v>
      </c>
      <c r="V6" s="64">
        <v>20399988.918502901</v>
      </c>
      <c r="W6" s="57">
        <f t="shared" si="1"/>
        <v>8165.0207979626484</v>
      </c>
      <c r="X6" s="50">
        <v>9644</v>
      </c>
      <c r="Z6" s="6">
        <f>'SPSS Output 4'!$G$5*('Outputs Results'!C6^'SPSS Output 4'!$H$5)</f>
        <v>31178.202420593156</v>
      </c>
      <c r="AA6" s="57">
        <f t="shared" si="2"/>
        <v>18146.897579406843</v>
      </c>
      <c r="AB6" s="58">
        <f t="shared" si="3"/>
        <v>0.5820379678919797</v>
      </c>
      <c r="AC6" s="59">
        <f t="shared" si="4"/>
        <v>12159498.94403133</v>
      </c>
      <c r="AD6" s="57">
        <f t="shared" si="5"/>
        <v>-7077290.0559686702</v>
      </c>
      <c r="AE6" s="57" t="str">
        <f t="shared" si="6"/>
        <v/>
      </c>
      <c r="AF6" s="57" t="str">
        <f t="shared" si="9"/>
        <v>0</v>
      </c>
      <c r="AG6" s="57">
        <f t="shared" si="10"/>
        <v>619082.29079417454</v>
      </c>
      <c r="AH6" s="71">
        <f t="shared" si="11"/>
        <v>619082.29079417454</v>
      </c>
      <c r="AI6" s="37">
        <f t="shared" si="7"/>
        <v>1587.3904892158321</v>
      </c>
      <c r="AJ6" s="7">
        <f t="shared" si="8"/>
        <v>0</v>
      </c>
      <c r="AM6" s="107" t="s">
        <v>122</v>
      </c>
      <c r="AN6" s="108"/>
      <c r="AO6" s="108"/>
      <c r="AP6" s="108"/>
      <c r="AQ6" s="109"/>
      <c r="AR6" s="110"/>
    </row>
    <row r="7" spans="1:44" s="50" customFormat="1" ht="14.65" customHeight="1" x14ac:dyDescent="0.25">
      <c r="A7" s="50">
        <v>2</v>
      </c>
      <c r="B7" s="50" t="s">
        <v>27</v>
      </c>
      <c r="C7" s="51">
        <v>850</v>
      </c>
      <c r="D7" s="52"/>
      <c r="E7" s="53">
        <f t="shared" si="0"/>
        <v>28841.821176470588</v>
      </c>
      <c r="F7" s="54">
        <v>618.33333333333337</v>
      </c>
      <c r="G7" s="54">
        <v>31532.490566037734</v>
      </c>
      <c r="H7" s="50">
        <v>3004</v>
      </c>
      <c r="I7" s="55">
        <v>2560.3333333333335</v>
      </c>
      <c r="K7" s="50">
        <v>20724248</v>
      </c>
      <c r="L7" s="56">
        <v>3791300</v>
      </c>
      <c r="M7" s="6">
        <f>24515548</f>
        <v>24515548</v>
      </c>
      <c r="N7" s="50">
        <v>0</v>
      </c>
      <c r="O7" s="50">
        <v>0</v>
      </c>
      <c r="P7" s="50">
        <v>0</v>
      </c>
      <c r="Q7" s="50">
        <v>7.5055320264083248E-3</v>
      </c>
      <c r="R7" s="55">
        <v>7.5055320264083248E-3</v>
      </c>
      <c r="S7" s="55"/>
      <c r="T7" s="3">
        <v>20724248.007505532</v>
      </c>
      <c r="U7" s="64">
        <v>3791300</v>
      </c>
      <c r="V7" s="64">
        <v>24515548.007505532</v>
      </c>
      <c r="W7" s="57">
        <f t="shared" si="1"/>
        <v>8160.9680426098539</v>
      </c>
      <c r="X7" s="50">
        <v>9644</v>
      </c>
      <c r="Z7" s="6">
        <f>'SPSS Output 4'!$G$5*('Outputs Results'!C7^'SPSS Output 4'!$H$5)</f>
        <v>24622.112224401946</v>
      </c>
      <c r="AA7" s="57">
        <f t="shared" si="2"/>
        <v>4219.7089520686422</v>
      </c>
      <c r="AB7" s="58">
        <f t="shared" si="3"/>
        <v>0.17137883677935092</v>
      </c>
      <c r="AC7" s="59">
        <f t="shared" si="4"/>
        <v>20928795.390741654</v>
      </c>
      <c r="AD7" s="57">
        <f t="shared" si="5"/>
        <v>-3586752.6092583463</v>
      </c>
      <c r="AE7" s="57" t="str">
        <f t="shared" si="6"/>
        <v/>
      </c>
      <c r="AF7" s="57" t="str">
        <f t="shared" si="9"/>
        <v>0</v>
      </c>
      <c r="AG7" s="57">
        <f t="shared" si="10"/>
        <v>1065557.6067484976</v>
      </c>
      <c r="AH7" s="71">
        <f t="shared" si="11"/>
        <v>1065557.6067484976</v>
      </c>
      <c r="AI7" s="37">
        <f t="shared" si="7"/>
        <v>1253.5971844099972</v>
      </c>
      <c r="AJ7" s="7">
        <f t="shared" si="8"/>
        <v>0</v>
      </c>
      <c r="AM7" s="111" t="s">
        <v>123</v>
      </c>
      <c r="AN7" s="112"/>
      <c r="AO7" s="112"/>
      <c r="AP7" s="112"/>
      <c r="AQ7" s="113"/>
      <c r="AR7" s="114"/>
    </row>
    <row r="8" spans="1:44" s="50" customFormat="1" ht="14.65" customHeight="1" x14ac:dyDescent="0.25">
      <c r="A8" s="50">
        <v>3</v>
      </c>
      <c r="B8" s="50" t="s">
        <v>28</v>
      </c>
      <c r="C8" s="51">
        <v>947</v>
      </c>
      <c r="D8" s="52"/>
      <c r="E8" s="53">
        <f t="shared" si="0"/>
        <v>16250.533262935585</v>
      </c>
      <c r="F8" s="54">
        <f>AVERAGE(C8:C11)</f>
        <v>1135.5</v>
      </c>
      <c r="G8" s="54">
        <f>AVERAGE(M8:M11)/F8</f>
        <v>19861.921620431527</v>
      </c>
      <c r="H8" s="50">
        <v>3347</v>
      </c>
      <c r="I8" s="55">
        <v>3945</v>
      </c>
      <c r="K8" s="50">
        <v>13071677</v>
      </c>
      <c r="L8" s="56">
        <v>2317578</v>
      </c>
      <c r="M8" s="6">
        <v>15389255</v>
      </c>
      <c r="N8" s="50">
        <v>0</v>
      </c>
      <c r="O8" s="50">
        <v>0</v>
      </c>
      <c r="P8" s="50">
        <v>216102.4753510654</v>
      </c>
      <c r="Q8" s="50">
        <v>6.4309405907081668E-3</v>
      </c>
      <c r="R8" s="55">
        <v>216102.48178200598</v>
      </c>
      <c r="S8" s="55"/>
      <c r="T8" s="3">
        <v>13287779.481782006</v>
      </c>
      <c r="U8" s="64">
        <v>2317578</v>
      </c>
      <c r="V8" s="64">
        <v>15605357.481782006</v>
      </c>
      <c r="W8" s="57">
        <f t="shared" si="1"/>
        <v>4597.9250074693755</v>
      </c>
      <c r="X8" s="50">
        <v>7856</v>
      </c>
      <c r="Z8" s="6">
        <f>'SPSS Output 4'!$G$5*('Outputs Results'!C8^'SPSS Output 4'!$H$5)</f>
        <v>23828.932441196386</v>
      </c>
      <c r="AA8" s="57">
        <f t="shared" si="2"/>
        <v>-7578.3991782608009</v>
      </c>
      <c r="AB8" s="58">
        <f t="shared" si="3"/>
        <v>-0.31803351648095529</v>
      </c>
      <c r="AC8" s="59">
        <f t="shared" si="4"/>
        <v>22565999.021812979</v>
      </c>
      <c r="AD8" s="57">
        <f t="shared" si="5"/>
        <v>7176744.0218129791</v>
      </c>
      <c r="AE8" s="57">
        <f t="shared" si="6"/>
        <v>7176744.0218129791</v>
      </c>
      <c r="AF8" s="57">
        <f t="shared" si="9"/>
        <v>4713443.1787705822</v>
      </c>
      <c r="AG8" s="57">
        <f t="shared" si="10"/>
        <v>1148913.3255232172</v>
      </c>
      <c r="AH8" s="71">
        <f t="shared" si="11"/>
        <v>5862356.5042937994</v>
      </c>
      <c r="AI8" s="37">
        <f t="shared" si="7"/>
        <v>1213.2136489157522</v>
      </c>
      <c r="AJ8" s="7">
        <f t="shared" si="8"/>
        <v>4977.2367252065278</v>
      </c>
      <c r="AM8" s="79"/>
      <c r="AN8" s="79"/>
      <c r="AO8" s="79"/>
      <c r="AP8" s="79"/>
    </row>
    <row r="9" spans="1:44" s="50" customFormat="1" ht="14.65" customHeight="1" x14ac:dyDescent="0.25">
      <c r="A9" s="50">
        <v>3</v>
      </c>
      <c r="B9" s="50" t="s">
        <v>29</v>
      </c>
      <c r="C9" s="60">
        <v>1120</v>
      </c>
      <c r="D9" s="61"/>
      <c r="E9" s="53">
        <f t="shared" si="0"/>
        <v>18325.972321428573</v>
      </c>
      <c r="F9" s="54">
        <v>1135.5</v>
      </c>
      <c r="G9" s="54">
        <v>19861.921620431527</v>
      </c>
      <c r="H9" s="50">
        <v>3375</v>
      </c>
      <c r="I9" s="55">
        <v>3945</v>
      </c>
      <c r="K9" s="50">
        <v>17140914</v>
      </c>
      <c r="L9" s="56">
        <v>3384175</v>
      </c>
      <c r="M9" s="6">
        <v>20525089</v>
      </c>
      <c r="N9" s="50">
        <v>0</v>
      </c>
      <c r="O9" s="50">
        <v>0</v>
      </c>
      <c r="P9" s="50">
        <v>0</v>
      </c>
      <c r="Q9" s="50">
        <v>1.2614541771647763E-2</v>
      </c>
      <c r="R9" s="55">
        <v>1.2614541771647763E-2</v>
      </c>
      <c r="S9" s="55"/>
      <c r="T9" s="3">
        <v>17140914.012614541</v>
      </c>
      <c r="U9" s="64">
        <v>3384175</v>
      </c>
      <c r="V9" s="64">
        <v>20525089.012614541</v>
      </c>
      <c r="W9" s="57">
        <f t="shared" si="1"/>
        <v>6081.5078518518521</v>
      </c>
      <c r="X9" s="50">
        <v>7856</v>
      </c>
      <c r="Z9" s="6">
        <f>'SPSS Output 4'!$G$5*('Outputs Results'!C9^'SPSS Output 4'!$H$5)</f>
        <v>22647.726909428671</v>
      </c>
      <c r="AA9" s="57">
        <f t="shared" si="2"/>
        <v>-4321.754588000098</v>
      </c>
      <c r="AB9" s="58">
        <f t="shared" si="3"/>
        <v>-0.19082509274698428</v>
      </c>
      <c r="AC9" s="59">
        <f t="shared" si="4"/>
        <v>25365454.138560113</v>
      </c>
      <c r="AD9" s="57">
        <f t="shared" si="5"/>
        <v>4840365.1385601126</v>
      </c>
      <c r="AE9" s="57">
        <f t="shared" si="6"/>
        <v>4840365.1385601126</v>
      </c>
      <c r="AF9" s="57">
        <f t="shared" si="9"/>
        <v>3178988.4069658718</v>
      </c>
      <c r="AG9" s="57">
        <f t="shared" si="10"/>
        <v>1291443.3010286638</v>
      </c>
      <c r="AH9" s="71">
        <f t="shared" si="11"/>
        <v>4470431.7079945356</v>
      </c>
      <c r="AI9" s="37">
        <f t="shared" si="7"/>
        <v>1153.0743759184497</v>
      </c>
      <c r="AJ9" s="7">
        <f t="shared" si="8"/>
        <v>2838.3825062195283</v>
      </c>
      <c r="AM9" s="79"/>
      <c r="AN9" s="79"/>
      <c r="AO9" s="79"/>
      <c r="AP9" s="79"/>
    </row>
    <row r="10" spans="1:44" s="50" customFormat="1" ht="14.65" customHeight="1" x14ac:dyDescent="0.25">
      <c r="A10" s="50">
        <v>3</v>
      </c>
      <c r="B10" s="50" t="s">
        <v>30</v>
      </c>
      <c r="C10" s="60">
        <v>1048</v>
      </c>
      <c r="D10" s="61"/>
      <c r="E10" s="53">
        <f t="shared" si="0"/>
        <v>23867.862595419847</v>
      </c>
      <c r="F10" s="54">
        <v>1135.5</v>
      </c>
      <c r="G10" s="54">
        <v>19861.921620431527</v>
      </c>
      <c r="H10" s="50">
        <v>4513</v>
      </c>
      <c r="I10" s="55">
        <v>3945</v>
      </c>
      <c r="K10" s="50">
        <v>21776932</v>
      </c>
      <c r="L10" s="56">
        <v>3236588</v>
      </c>
      <c r="M10" s="6">
        <v>25013520</v>
      </c>
      <c r="N10" s="50">
        <v>0</v>
      </c>
      <c r="O10" s="50">
        <v>0</v>
      </c>
      <c r="P10" s="50">
        <v>0</v>
      </c>
      <c r="Q10" s="50">
        <v>7.9926122776618185E-3</v>
      </c>
      <c r="R10" s="55">
        <v>7.9926122776618185E-3</v>
      </c>
      <c r="S10" s="55"/>
      <c r="T10" s="3">
        <v>21776932.007992614</v>
      </c>
      <c r="U10" s="64">
        <v>3236588</v>
      </c>
      <c r="V10" s="64">
        <v>25013520.007992614</v>
      </c>
      <c r="W10" s="57">
        <f t="shared" si="1"/>
        <v>5542.5481941059161</v>
      </c>
      <c r="X10" s="50">
        <v>7856</v>
      </c>
      <c r="Z10" s="6">
        <f>'SPSS Output 4'!$G$5*('Outputs Results'!C10^'SPSS Output 4'!$H$5)</f>
        <v>23108.331426404904</v>
      </c>
      <c r="AA10" s="57">
        <f t="shared" si="2"/>
        <v>759.53116901494286</v>
      </c>
      <c r="AB10" s="58">
        <f t="shared" si="3"/>
        <v>3.2868282655278996E-2</v>
      </c>
      <c r="AC10" s="59">
        <f t="shared" si="4"/>
        <v>24217531.334872339</v>
      </c>
      <c r="AD10" s="57">
        <f t="shared" si="5"/>
        <v>-795988.66512766108</v>
      </c>
      <c r="AE10" s="57" t="str">
        <f t="shared" si="6"/>
        <v/>
      </c>
      <c r="AF10" s="57" t="str">
        <f t="shared" si="9"/>
        <v>0</v>
      </c>
      <c r="AG10" s="57">
        <f t="shared" si="10"/>
        <v>1232998.5672256532</v>
      </c>
      <c r="AH10" s="71">
        <f t="shared" si="11"/>
        <v>1232998.5672256532</v>
      </c>
      <c r="AI10" s="37">
        <f t="shared" si="7"/>
        <v>1176.5253504061577</v>
      </c>
      <c r="AJ10" s="7">
        <f t="shared" si="8"/>
        <v>0</v>
      </c>
      <c r="AM10" s="79"/>
      <c r="AN10" s="79"/>
      <c r="AO10" s="79"/>
      <c r="AP10" s="79"/>
    </row>
    <row r="11" spans="1:44" s="50" customFormat="1" ht="14.65" customHeight="1" x14ac:dyDescent="0.25">
      <c r="A11" s="50">
        <v>3</v>
      </c>
      <c r="B11" s="50" t="s">
        <v>31</v>
      </c>
      <c r="C11" s="60">
        <v>1427</v>
      </c>
      <c r="D11" s="61"/>
      <c r="E11" s="53">
        <f t="shared" si="0"/>
        <v>20522.063069376312</v>
      </c>
      <c r="F11" s="54">
        <v>1135.5</v>
      </c>
      <c r="G11" s="54">
        <v>19861.921620431527</v>
      </c>
      <c r="H11" s="50">
        <v>4545</v>
      </c>
      <c r="I11" s="55">
        <v>3945</v>
      </c>
      <c r="K11" s="50">
        <v>25137727</v>
      </c>
      <c r="L11" s="56">
        <v>4147257</v>
      </c>
      <c r="M11" s="6">
        <v>29284984</v>
      </c>
      <c r="N11" s="50">
        <v>0</v>
      </c>
      <c r="O11" s="50">
        <v>0</v>
      </c>
      <c r="P11" s="50">
        <v>0</v>
      </c>
      <c r="Q11" s="50">
        <v>1.0709151752948757E-2</v>
      </c>
      <c r="R11" s="55">
        <v>1.0709151752948757E-2</v>
      </c>
      <c r="S11" s="55"/>
      <c r="T11" s="3">
        <v>25137727.010709152</v>
      </c>
      <c r="U11" s="64">
        <v>4147257</v>
      </c>
      <c r="V11" s="64">
        <v>29284984.010709152</v>
      </c>
      <c r="W11" s="57">
        <f t="shared" si="1"/>
        <v>6443.3408140814081</v>
      </c>
      <c r="X11" s="50">
        <v>7856</v>
      </c>
      <c r="Z11" s="6">
        <f>'SPSS Output 4'!$G$5*('Outputs Results'!C11^'SPSS Output 4'!$H$5)</f>
        <v>21044.850562490046</v>
      </c>
      <c r="AA11" s="57">
        <f t="shared" si="2"/>
        <v>-522.78749311373394</v>
      </c>
      <c r="AB11" s="58">
        <f t="shared" si="3"/>
        <v>-2.4841587330895129E-2</v>
      </c>
      <c r="AC11" s="59">
        <f t="shared" si="4"/>
        <v>30031001.752673294</v>
      </c>
      <c r="AD11" s="57">
        <f t="shared" si="5"/>
        <v>746017.7526732944</v>
      </c>
      <c r="AE11" s="57">
        <f t="shared" si="6"/>
        <v>746017.7526732944</v>
      </c>
      <c r="AF11" s="57">
        <f t="shared" si="9"/>
        <v>489959.27357757598</v>
      </c>
      <c r="AG11" s="57">
        <f t="shared" si="10"/>
        <v>1528982.5218509394</v>
      </c>
      <c r="AH11" s="71">
        <f t="shared" si="11"/>
        <v>2018941.7954285154</v>
      </c>
      <c r="AI11" s="37">
        <f t="shared" si="7"/>
        <v>1071.4663783118006</v>
      </c>
      <c r="AJ11" s="7">
        <f t="shared" si="8"/>
        <v>343.34917559746037</v>
      </c>
      <c r="AM11" s="79"/>
      <c r="AN11" s="79"/>
      <c r="AO11" s="79"/>
      <c r="AP11" s="79"/>
    </row>
    <row r="12" spans="1:44" s="50" customFormat="1" ht="14.65" customHeight="1" x14ac:dyDescent="0.25">
      <c r="A12" s="50">
        <v>4</v>
      </c>
      <c r="B12" s="50" t="s">
        <v>32</v>
      </c>
      <c r="C12" s="60">
        <v>2145</v>
      </c>
      <c r="D12" s="61"/>
      <c r="E12" s="53">
        <f t="shared" si="0"/>
        <v>18026.616317016316</v>
      </c>
      <c r="F12" s="54">
        <f>AVERAGE(C12:C16)</f>
        <v>2167.1999999999998</v>
      </c>
      <c r="G12" s="54">
        <f>AVERAGE(M12:M16)/F12</f>
        <v>16090.830841638983</v>
      </c>
      <c r="H12" s="50">
        <v>6185</v>
      </c>
      <c r="I12" s="55">
        <v>6960</v>
      </c>
      <c r="K12" s="50">
        <v>34006344</v>
      </c>
      <c r="L12" s="56">
        <v>4660748</v>
      </c>
      <c r="M12" s="6">
        <v>38667092</v>
      </c>
      <c r="N12" s="50">
        <v>0</v>
      </c>
      <c r="O12" s="50">
        <v>0</v>
      </c>
      <c r="P12" s="50">
        <v>0</v>
      </c>
      <c r="Q12" s="50">
        <v>1.7816191115722132E-2</v>
      </c>
      <c r="R12" s="55">
        <v>1.7816191115722132E-2</v>
      </c>
      <c r="S12" s="55"/>
      <c r="T12" s="3">
        <v>34006344.017816193</v>
      </c>
      <c r="U12" s="64">
        <v>4660748</v>
      </c>
      <c r="V12" s="64">
        <v>38667092.017816193</v>
      </c>
      <c r="W12" s="57">
        <f t="shared" si="1"/>
        <v>6251.752950687146</v>
      </c>
      <c r="X12" s="50">
        <v>7478</v>
      </c>
      <c r="Z12" s="6">
        <f>'SPSS Output 4'!$G$5*('Outputs Results'!C12^'SPSS Output 4'!$H$5)</f>
        <v>18599.939586644516</v>
      </c>
      <c r="AA12" s="57">
        <f t="shared" si="2"/>
        <v>-573.32326962819934</v>
      </c>
      <c r="AB12" s="58">
        <f t="shared" si="3"/>
        <v>-3.0823931817491917E-2</v>
      </c>
      <c r="AC12" s="59">
        <f t="shared" si="4"/>
        <v>39896870.413352489</v>
      </c>
      <c r="AD12" s="57">
        <f t="shared" si="5"/>
        <v>1229778.4133524895</v>
      </c>
      <c r="AE12" s="57">
        <f t="shared" si="6"/>
        <v>1229778.4133524895</v>
      </c>
      <c r="AF12" s="57">
        <f t="shared" si="9"/>
        <v>807676.94322073634</v>
      </c>
      <c r="AG12" s="57">
        <f t="shared" si="10"/>
        <v>2031288.1348734093</v>
      </c>
      <c r="AH12" s="71">
        <f t="shared" si="11"/>
        <v>2838965.0780941457</v>
      </c>
      <c r="AI12" s="37">
        <f t="shared" si="7"/>
        <v>946.98747546545883</v>
      </c>
      <c r="AJ12" s="7">
        <f t="shared" si="8"/>
        <v>376.53936746887473</v>
      </c>
      <c r="AM12" s="79"/>
      <c r="AN12" s="79"/>
      <c r="AO12" s="79"/>
      <c r="AP12" s="79"/>
    </row>
    <row r="13" spans="1:44" s="50" customFormat="1" ht="14.65" customHeight="1" x14ac:dyDescent="0.25">
      <c r="A13" s="50">
        <v>4</v>
      </c>
      <c r="B13" s="50" t="s">
        <v>33</v>
      </c>
      <c r="C13" s="60">
        <v>2080</v>
      </c>
      <c r="D13" s="61"/>
      <c r="E13" s="53">
        <f t="shared" si="0"/>
        <v>18369.772596153845</v>
      </c>
      <c r="F13" s="54">
        <v>2167</v>
      </c>
      <c r="G13" s="54">
        <v>16092.315920627596</v>
      </c>
      <c r="H13" s="50">
        <v>6407</v>
      </c>
      <c r="I13" s="55">
        <v>6960</v>
      </c>
      <c r="K13" s="50">
        <v>32146954</v>
      </c>
      <c r="L13" s="56">
        <v>6062173</v>
      </c>
      <c r="M13" s="6">
        <v>38209127</v>
      </c>
      <c r="N13" s="50">
        <v>0</v>
      </c>
      <c r="O13" s="50">
        <v>0</v>
      </c>
      <c r="P13" s="50">
        <v>0</v>
      </c>
      <c r="Q13" s="50">
        <v>1.9010901299965789E-2</v>
      </c>
      <c r="R13" s="55">
        <v>1.9010901299965789E-2</v>
      </c>
      <c r="S13" s="55"/>
      <c r="T13" s="3">
        <v>32146954.019010901</v>
      </c>
      <c r="U13" s="64">
        <v>6062173</v>
      </c>
      <c r="V13" s="64">
        <v>38209127.019010901</v>
      </c>
      <c r="W13" s="57">
        <f t="shared" si="1"/>
        <v>5963.6533479007339</v>
      </c>
      <c r="X13" s="50">
        <v>7478</v>
      </c>
      <c r="Z13" s="6">
        <f>'SPSS Output 4'!$G$5*('Outputs Results'!C13^'SPSS Output 4'!$H$5)</f>
        <v>18774.180459742303</v>
      </c>
      <c r="AA13" s="57">
        <f t="shared" si="2"/>
        <v>-404.40786358845799</v>
      </c>
      <c r="AB13" s="58">
        <f t="shared" si="3"/>
        <v>-2.1540640053803389E-2</v>
      </c>
      <c r="AC13" s="59">
        <f t="shared" si="4"/>
        <v>39050295.356263988</v>
      </c>
      <c r="AD13" s="57">
        <f t="shared" si="5"/>
        <v>841168.35626398772</v>
      </c>
      <c r="AE13" s="57">
        <f t="shared" si="6"/>
        <v>841168.35626398772</v>
      </c>
      <c r="AF13" s="57">
        <f t="shared" si="9"/>
        <v>552450.97762711812</v>
      </c>
      <c r="AG13" s="57">
        <f t="shared" si="10"/>
        <v>1988186.0606774308</v>
      </c>
      <c r="AH13" s="71">
        <f t="shared" si="11"/>
        <v>2540637.0383045487</v>
      </c>
      <c r="AI13" s="37">
        <f t="shared" si="7"/>
        <v>955.85868301799565</v>
      </c>
      <c r="AJ13" s="7">
        <f t="shared" si="8"/>
        <v>265.6014315514991</v>
      </c>
    </row>
    <row r="14" spans="1:44" s="50" customFormat="1" ht="14.65" customHeight="1" x14ac:dyDescent="0.25">
      <c r="A14" s="50">
        <v>4</v>
      </c>
      <c r="B14" s="50" t="s">
        <v>34</v>
      </c>
      <c r="C14" s="60">
        <v>1767</v>
      </c>
      <c r="D14" s="61"/>
      <c r="E14" s="53">
        <f t="shared" si="0"/>
        <v>14722.500848896434</v>
      </c>
      <c r="F14" s="54">
        <v>2167</v>
      </c>
      <c r="G14" s="54">
        <v>16092.315920627596</v>
      </c>
      <c r="H14" s="50">
        <v>6556</v>
      </c>
      <c r="I14" s="55">
        <v>6960</v>
      </c>
      <c r="K14" s="50">
        <v>22113091</v>
      </c>
      <c r="L14" s="56">
        <v>3901568</v>
      </c>
      <c r="M14" s="6">
        <v>26014659</v>
      </c>
      <c r="N14" s="50">
        <v>0</v>
      </c>
      <c r="O14" s="50">
        <v>0</v>
      </c>
      <c r="P14" s="50">
        <v>412679.15436241776</v>
      </c>
      <c r="Q14" s="50">
        <v>1.1783482721921255E-2</v>
      </c>
      <c r="R14" s="55">
        <v>412679.1661459005</v>
      </c>
      <c r="S14" s="55"/>
      <c r="T14" s="3">
        <v>22525770.166145902</v>
      </c>
      <c r="U14" s="64">
        <v>3901568</v>
      </c>
      <c r="V14" s="64">
        <v>26427338.166145902</v>
      </c>
      <c r="W14" s="57">
        <f t="shared" si="1"/>
        <v>3968.0687919463089</v>
      </c>
      <c r="X14" s="50">
        <v>7478</v>
      </c>
      <c r="Z14" s="6">
        <f>'SPSS Output 4'!$G$5*('Outputs Results'!C14^'SPSS Output 4'!$H$5)</f>
        <v>19725.245930270092</v>
      </c>
      <c r="AA14" s="57">
        <f t="shared" si="2"/>
        <v>-5002.7450813736577</v>
      </c>
      <c r="AB14" s="58">
        <f t="shared" si="3"/>
        <v>-0.25362143007284454</v>
      </c>
      <c r="AC14" s="59">
        <f t="shared" si="4"/>
        <v>34854509.558787249</v>
      </c>
      <c r="AD14" s="57">
        <f t="shared" si="5"/>
        <v>8839850.558787249</v>
      </c>
      <c r="AE14" s="57">
        <f t="shared" si="6"/>
        <v>8839850.558787249</v>
      </c>
      <c r="AF14" s="57">
        <f t="shared" si="9"/>
        <v>5805715.4039529804</v>
      </c>
      <c r="AG14" s="57">
        <f t="shared" si="10"/>
        <v>1774564.0442489823</v>
      </c>
      <c r="AH14" s="71">
        <f t="shared" si="11"/>
        <v>7580279.4482019627</v>
      </c>
      <c r="AI14" s="67">
        <f t="shared" si="7"/>
        <v>1004.2807267962548</v>
      </c>
      <c r="AJ14" s="57">
        <f t="shared" si="8"/>
        <v>3285.6340712806905</v>
      </c>
    </row>
    <row r="15" spans="1:44" s="50" customFormat="1" ht="14.65" customHeight="1" x14ac:dyDescent="0.25">
      <c r="A15" s="50">
        <v>4</v>
      </c>
      <c r="B15" s="50" t="s">
        <v>35</v>
      </c>
      <c r="C15" s="60">
        <v>1968</v>
      </c>
      <c r="D15" s="61"/>
      <c r="E15" s="53">
        <f t="shared" si="0"/>
        <v>18888.908028455284</v>
      </c>
      <c r="F15" s="54">
        <v>2167</v>
      </c>
      <c r="G15" s="54">
        <v>16092.315920627596</v>
      </c>
      <c r="H15" s="50">
        <v>7005</v>
      </c>
      <c r="I15" s="55">
        <v>6960</v>
      </c>
      <c r="K15" s="50">
        <v>32552231</v>
      </c>
      <c r="L15" s="56">
        <v>4621140</v>
      </c>
      <c r="M15" s="6">
        <v>37173371</v>
      </c>
      <c r="N15" s="50">
        <v>0</v>
      </c>
      <c r="O15" s="50">
        <v>0</v>
      </c>
      <c r="P15" s="50">
        <v>318401.46466809511</v>
      </c>
      <c r="Q15" s="50">
        <v>1.3178410500026142E-2</v>
      </c>
      <c r="R15" s="55">
        <v>318401.47784650559</v>
      </c>
      <c r="S15" s="55"/>
      <c r="T15" s="3">
        <v>32870632.477846507</v>
      </c>
      <c r="U15" s="64">
        <v>4621140</v>
      </c>
      <c r="V15" s="64">
        <v>37491772.477846503</v>
      </c>
      <c r="W15" s="57">
        <f t="shared" si="1"/>
        <v>5306.6910778015699</v>
      </c>
      <c r="X15" s="50">
        <v>7478</v>
      </c>
      <c r="Z15" s="6">
        <f>'SPSS Output 4'!$G$5*('Outputs Results'!C15^'SPSS Output 4'!$H$5)</f>
        <v>19091.712605106542</v>
      </c>
      <c r="AA15" s="57">
        <f t="shared" si="2"/>
        <v>-202.80457665125869</v>
      </c>
      <c r="AB15" s="58">
        <f t="shared" si="3"/>
        <v>-1.0622649777213474E-2</v>
      </c>
      <c r="AC15" s="59">
        <f t="shared" si="4"/>
        <v>37572490.406849675</v>
      </c>
      <c r="AD15" s="57">
        <f t="shared" si="5"/>
        <v>399119.40684967488</v>
      </c>
      <c r="AE15" s="57">
        <f t="shared" si="6"/>
        <v>399119.40684967488</v>
      </c>
      <c r="AF15" s="57">
        <f t="shared" si="9"/>
        <v>262128.15170957259</v>
      </c>
      <c r="AG15" s="57">
        <f t="shared" si="10"/>
        <v>1912945.8819791574</v>
      </c>
      <c r="AH15" s="71">
        <f t="shared" si="11"/>
        <v>2175074.0336887301</v>
      </c>
      <c r="AI15" s="37">
        <f t="shared" si="7"/>
        <v>972.02534653412476</v>
      </c>
      <c r="AJ15" s="7">
        <f t="shared" si="8"/>
        <v>133.19519903941696</v>
      </c>
    </row>
    <row r="16" spans="1:44" s="50" customFormat="1" ht="14.65" customHeight="1" x14ac:dyDescent="0.25">
      <c r="A16" s="50">
        <v>4</v>
      </c>
      <c r="B16" s="50" t="s">
        <v>36</v>
      </c>
      <c r="C16" s="60">
        <v>2876</v>
      </c>
      <c r="D16" s="61"/>
      <c r="E16" s="53">
        <f t="shared" si="0"/>
        <v>11924.893602225313</v>
      </c>
      <c r="F16" s="54">
        <v>2167</v>
      </c>
      <c r="G16" s="54">
        <v>16092.315920627596</v>
      </c>
      <c r="H16" s="50">
        <v>8647</v>
      </c>
      <c r="I16" s="55">
        <v>6960</v>
      </c>
      <c r="K16" s="50">
        <v>29219153</v>
      </c>
      <c r="L16" s="56">
        <v>5576841</v>
      </c>
      <c r="M16" s="6">
        <f>34795994-500000</f>
        <v>34295994</v>
      </c>
      <c r="N16" s="50">
        <v>0</v>
      </c>
      <c r="O16" s="50">
        <v>0</v>
      </c>
      <c r="P16" s="50">
        <v>0</v>
      </c>
      <c r="Q16" s="50">
        <v>7.2544782222690547E-3</v>
      </c>
      <c r="R16" s="55">
        <v>7.2544782222690547E-3</v>
      </c>
      <c r="S16" s="55"/>
      <c r="T16" s="3">
        <v>29219153.007254478</v>
      </c>
      <c r="U16" s="64">
        <v>5576841</v>
      </c>
      <c r="V16" s="64">
        <v>34795994.007254481</v>
      </c>
      <c r="W16" s="57">
        <f t="shared" si="1"/>
        <v>3966.2303689140745</v>
      </c>
      <c r="X16" s="50">
        <v>7478</v>
      </c>
      <c r="Z16" s="6">
        <f>'SPSS Output 4'!$G$5*('Outputs Results'!C16^'SPSS Output 4'!$H$5)</f>
        <v>17018.423011506875</v>
      </c>
      <c r="AA16" s="57">
        <f t="shared" si="2"/>
        <v>-5093.529409281562</v>
      </c>
      <c r="AB16" s="58">
        <f t="shared" si="3"/>
        <v>-0.29929502903045785</v>
      </c>
      <c r="AC16" s="59">
        <f t="shared" si="4"/>
        <v>48944984.581093773</v>
      </c>
      <c r="AD16" s="57">
        <f t="shared" si="5"/>
        <v>14648990.581093773</v>
      </c>
      <c r="AE16" s="57">
        <f t="shared" si="6"/>
        <v>14648990.581093773</v>
      </c>
      <c r="AF16" s="57">
        <f t="shared" si="9"/>
        <v>9620962.4476599824</v>
      </c>
      <c r="AG16" s="57">
        <f t="shared" si="10"/>
        <v>2491959.0286426046</v>
      </c>
      <c r="AH16" s="71">
        <f t="shared" si="11"/>
        <v>12112921.476302586</v>
      </c>
      <c r="AI16" s="37">
        <f t="shared" si="7"/>
        <v>866.46697797030754</v>
      </c>
      <c r="AJ16" s="7">
        <f t="shared" si="8"/>
        <v>3345.2581528720384</v>
      </c>
    </row>
    <row r="17" spans="1:36" s="50" customFormat="1" ht="14.65" customHeight="1" x14ac:dyDescent="0.25">
      <c r="A17" s="50">
        <v>5</v>
      </c>
      <c r="B17" s="50" t="s">
        <v>37</v>
      </c>
      <c r="C17" s="60">
        <v>2990</v>
      </c>
      <c r="D17" s="61"/>
      <c r="E17" s="53">
        <f t="shared" si="0"/>
        <v>14867.090969899666</v>
      </c>
      <c r="F17" s="54">
        <f>AVERAGE(C17:C22)</f>
        <v>3144.8333333333335</v>
      </c>
      <c r="G17" s="54">
        <f>AVERAGE(M17:M21)/F17</f>
        <v>14639.306799512427</v>
      </c>
      <c r="H17" s="50">
        <v>9834</v>
      </c>
      <c r="I17" s="55">
        <v>10478.333333333334</v>
      </c>
      <c r="K17" s="50">
        <v>38518774</v>
      </c>
      <c r="L17" s="56">
        <v>5933828</v>
      </c>
      <c r="M17" s="6">
        <v>44452602</v>
      </c>
      <c r="N17" s="50">
        <v>0</v>
      </c>
      <c r="O17" s="50">
        <v>0</v>
      </c>
      <c r="P17" s="50">
        <v>0</v>
      </c>
      <c r="Q17" s="50">
        <v>1.4444065770468847E-2</v>
      </c>
      <c r="R17" s="55">
        <v>1.4444065770468847E-2</v>
      </c>
      <c r="S17" s="55"/>
      <c r="T17" s="3">
        <v>38518774.014444068</v>
      </c>
      <c r="U17" s="64">
        <v>5933828</v>
      </c>
      <c r="V17" s="64">
        <v>44452602.014444068</v>
      </c>
      <c r="W17" s="57">
        <f t="shared" si="1"/>
        <v>4520.2971323978036</v>
      </c>
      <c r="X17" s="50">
        <v>6674</v>
      </c>
      <c r="Z17" s="6">
        <f>'SPSS Output 4'!$G$5*('Outputs Results'!C17^'SPSS Output 4'!$H$5)</f>
        <v>16819.138835166257</v>
      </c>
      <c r="AA17" s="57">
        <f t="shared" si="2"/>
        <v>-1952.0478652665915</v>
      </c>
      <c r="AB17" s="58">
        <f t="shared" si="3"/>
        <v>-0.11606110659989065</v>
      </c>
      <c r="AC17" s="59">
        <f t="shared" si="4"/>
        <v>50289225.11714711</v>
      </c>
      <c r="AD17" s="57">
        <f t="shared" si="5"/>
        <v>5836623.1171471104</v>
      </c>
      <c r="AE17" s="57">
        <f t="shared" si="6"/>
        <v>5836623.1171471104</v>
      </c>
      <c r="AF17" s="57">
        <f t="shared" si="9"/>
        <v>3833297.0125388489</v>
      </c>
      <c r="AG17" s="57">
        <f t="shared" si="10"/>
        <v>2560398.9795212373</v>
      </c>
      <c r="AH17" s="71">
        <f t="shared" si="11"/>
        <v>6393695.9920600858</v>
      </c>
      <c r="AI17" s="37">
        <f t="shared" si="7"/>
        <v>856.3207289368687</v>
      </c>
      <c r="AJ17" s="7">
        <f t="shared" si="8"/>
        <v>1282.0391346283775</v>
      </c>
    </row>
    <row r="18" spans="1:36" s="50" customFormat="1" ht="14.65" customHeight="1" x14ac:dyDescent="0.25">
      <c r="A18" s="50">
        <v>5</v>
      </c>
      <c r="B18" s="50" t="s">
        <v>38</v>
      </c>
      <c r="C18" s="60">
        <v>2993</v>
      </c>
      <c r="D18" s="61"/>
      <c r="E18" s="53">
        <f t="shared" si="0"/>
        <v>12335.94320080187</v>
      </c>
      <c r="F18" s="54">
        <v>3144.8333333333335</v>
      </c>
      <c r="G18" s="54">
        <v>14639.306799512427</v>
      </c>
      <c r="H18" s="50">
        <v>10021</v>
      </c>
      <c r="I18" s="55">
        <v>10478.333333333334</v>
      </c>
      <c r="K18" s="50">
        <v>31271582</v>
      </c>
      <c r="L18" s="56">
        <v>5649896</v>
      </c>
      <c r="M18" s="6">
        <v>36921478</v>
      </c>
      <c r="N18" s="50">
        <v>0</v>
      </c>
      <c r="O18" s="50">
        <v>0</v>
      </c>
      <c r="P18" s="50">
        <v>0</v>
      </c>
      <c r="Q18" s="50">
        <v>1.3524336563988616E-2</v>
      </c>
      <c r="R18" s="55">
        <v>1.3524336563988616E-2</v>
      </c>
      <c r="S18" s="55"/>
      <c r="T18" s="3">
        <v>31271582.013524335</v>
      </c>
      <c r="U18" s="64">
        <v>5649896</v>
      </c>
      <c r="V18" s="64">
        <v>36921478.013524339</v>
      </c>
      <c r="W18" s="57">
        <f t="shared" si="1"/>
        <v>3684.4105378704721</v>
      </c>
      <c r="X18" s="50">
        <v>6674</v>
      </c>
      <c r="Z18" s="6">
        <f>'SPSS Output 4'!$G$5*('Outputs Results'!C18^'SPSS Output 4'!$H$5)</f>
        <v>16814.028712164218</v>
      </c>
      <c r="AA18" s="57">
        <f t="shared" si="2"/>
        <v>-4478.0855113623475</v>
      </c>
      <c r="AB18" s="58">
        <f t="shared" si="3"/>
        <v>-0.26633031190928369</v>
      </c>
      <c r="AC18" s="59">
        <f t="shared" si="4"/>
        <v>50324387.935507506</v>
      </c>
      <c r="AD18" s="57">
        <f t="shared" si="5"/>
        <v>13402909.935507506</v>
      </c>
      <c r="AE18" s="57">
        <f t="shared" si="6"/>
        <v>13402909.935507506</v>
      </c>
      <c r="AF18" s="57">
        <f t="shared" si="9"/>
        <v>8802578.7486893572</v>
      </c>
      <c r="AG18" s="57">
        <f t="shared" si="10"/>
        <v>2562189.240636562</v>
      </c>
      <c r="AH18" s="71">
        <f t="shared" si="11"/>
        <v>11364767.989325918</v>
      </c>
      <c r="AI18" s="37">
        <f t="shared" si="7"/>
        <v>856.06055484014769</v>
      </c>
      <c r="AJ18" s="7">
        <f t="shared" si="8"/>
        <v>2941.0553787802733</v>
      </c>
    </row>
    <row r="19" spans="1:36" s="50" customFormat="1" ht="14.65" customHeight="1" x14ac:dyDescent="0.25">
      <c r="A19" s="50">
        <v>5</v>
      </c>
      <c r="B19" s="50" t="s">
        <v>39</v>
      </c>
      <c r="C19" s="60">
        <v>2992</v>
      </c>
      <c r="D19" s="61"/>
      <c r="E19" s="53">
        <f t="shared" si="0"/>
        <v>17380.105280748663</v>
      </c>
      <c r="F19" s="54">
        <v>3144.8333333333335</v>
      </c>
      <c r="G19" s="54">
        <v>14639.306799512427</v>
      </c>
      <c r="H19" s="50">
        <v>10068</v>
      </c>
      <c r="I19" s="55">
        <v>10478.333333333334</v>
      </c>
      <c r="K19" s="50">
        <v>43084116</v>
      </c>
      <c r="L19" s="56">
        <v>9117159</v>
      </c>
      <c r="M19" s="6">
        <f>52201275-200000</f>
        <v>52001275</v>
      </c>
      <c r="N19" s="50">
        <v>0</v>
      </c>
      <c r="O19" s="50">
        <v>0</v>
      </c>
      <c r="P19" s="50">
        <v>793285.16835519671</v>
      </c>
      <c r="Q19" s="50">
        <v>2.252806291992419E-2</v>
      </c>
      <c r="R19" s="55">
        <v>793285.19088325964</v>
      </c>
      <c r="S19" s="55"/>
      <c r="T19" s="3">
        <v>43877401.190883256</v>
      </c>
      <c r="U19" s="64">
        <v>9117159</v>
      </c>
      <c r="V19" s="64">
        <v>52994560.190883256</v>
      </c>
      <c r="W19" s="57">
        <f t="shared" si="1"/>
        <v>5165.0054628526022</v>
      </c>
      <c r="X19" s="50">
        <v>6674</v>
      </c>
      <c r="Z19" s="6">
        <f>'SPSS Output 4'!$G$5*('Outputs Results'!C19^'SPSS Output 4'!$H$5)</f>
        <v>16815.731344651584</v>
      </c>
      <c r="AA19" s="57">
        <f t="shared" si="2"/>
        <v>564.37393609707942</v>
      </c>
      <c r="AB19" s="58">
        <f t="shared" si="3"/>
        <v>3.3562259323117953E-2</v>
      </c>
      <c r="AC19" s="59">
        <f t="shared" si="4"/>
        <v>50312668.183197536</v>
      </c>
      <c r="AD19" s="57">
        <f t="shared" si="5"/>
        <v>-1688606.8168024644</v>
      </c>
      <c r="AE19" s="57" t="str">
        <f t="shared" si="6"/>
        <v/>
      </c>
      <c r="AF19" s="57" t="str">
        <f t="shared" si="9"/>
        <v>0</v>
      </c>
      <c r="AG19" s="57">
        <f t="shared" si="10"/>
        <v>2561592.547373049</v>
      </c>
      <c r="AH19" s="71">
        <f>AF19+AG19</f>
        <v>2561592.547373049</v>
      </c>
      <c r="AI19" s="37">
        <f t="shared" si="7"/>
        <v>856.14724176906714</v>
      </c>
      <c r="AJ19" s="7">
        <f t="shared" si="8"/>
        <v>0</v>
      </c>
    </row>
    <row r="20" spans="1:36" s="50" customFormat="1" ht="14.65" customHeight="1" x14ac:dyDescent="0.25">
      <c r="A20" s="50">
        <v>5</v>
      </c>
      <c r="B20" s="50" t="s">
        <v>40</v>
      </c>
      <c r="C20" s="60">
        <v>3308</v>
      </c>
      <c r="D20" s="61"/>
      <c r="E20" s="53">
        <f t="shared" si="0"/>
        <v>13722.059854897219</v>
      </c>
      <c r="F20" s="54">
        <v>3144.8333333333335</v>
      </c>
      <c r="G20" s="54">
        <v>14639.306799512427</v>
      </c>
      <c r="H20" s="50">
        <v>10158</v>
      </c>
      <c r="I20" s="55">
        <v>10478.333333333334</v>
      </c>
      <c r="K20" s="50">
        <v>37906780</v>
      </c>
      <c r="L20" s="50">
        <v>7485794</v>
      </c>
      <c r="M20" s="6">
        <v>45392574</v>
      </c>
      <c r="N20" s="50">
        <v>0</v>
      </c>
      <c r="O20" s="50">
        <v>0</v>
      </c>
      <c r="P20" s="50">
        <v>214495.32900175452</v>
      </c>
      <c r="Q20" s="50">
        <v>2.4465671802995484E-2</v>
      </c>
      <c r="R20" s="50">
        <v>214495.35346742632</v>
      </c>
      <c r="T20" s="64">
        <v>38121275.353467427</v>
      </c>
      <c r="U20" s="64">
        <v>7485794</v>
      </c>
      <c r="V20" s="64">
        <v>45607069.353467427</v>
      </c>
      <c r="W20" s="57">
        <f t="shared" si="1"/>
        <v>4468.6526875369163</v>
      </c>
      <c r="X20" s="50">
        <v>6674</v>
      </c>
      <c r="Z20" s="6">
        <f>'SPSS Output 4'!$G$5*('Outputs Results'!C20^'SPSS Output 4'!$H$5)</f>
        <v>16311.849546716581</v>
      </c>
      <c r="AA20" s="57">
        <f t="shared" si="2"/>
        <v>-2589.7896918193619</v>
      </c>
      <c r="AB20" s="58">
        <f t="shared" si="3"/>
        <v>-0.15876738467960316</v>
      </c>
      <c r="AC20" s="59">
        <f t="shared" si="4"/>
        <v>53959598.30053845</v>
      </c>
      <c r="AD20" s="57">
        <f t="shared" si="5"/>
        <v>8567024.3005384505</v>
      </c>
      <c r="AE20" s="57">
        <f t="shared" si="6"/>
        <v>8567024.3005384505</v>
      </c>
      <c r="AF20" s="57">
        <f t="shared" si="9"/>
        <v>5626532.3284491329</v>
      </c>
      <c r="AG20" s="57">
        <f t="shared" si="10"/>
        <v>2747270.4163215826</v>
      </c>
      <c r="AH20" s="71">
        <f t="shared" si="11"/>
        <v>8373802.744770715</v>
      </c>
      <c r="AI20" s="37">
        <f t="shared" si="7"/>
        <v>830.4928707139004</v>
      </c>
      <c r="AJ20" s="7">
        <f t="shared" si="8"/>
        <v>1700.886435444115</v>
      </c>
    </row>
    <row r="21" spans="1:36" s="50" customFormat="1" x14ac:dyDescent="0.25">
      <c r="A21" s="50">
        <v>5</v>
      </c>
      <c r="B21" s="50" t="s">
        <v>41</v>
      </c>
      <c r="C21" s="60">
        <v>3308</v>
      </c>
      <c r="D21" s="61"/>
      <c r="E21" s="53">
        <f t="shared" si="0"/>
        <v>15545.033555018137</v>
      </c>
      <c r="F21" s="54">
        <v>3144.8333333333335</v>
      </c>
      <c r="G21" s="54">
        <v>14639.306799512427</v>
      </c>
      <c r="H21" s="50">
        <v>10470</v>
      </c>
      <c r="I21" s="55">
        <v>10478.333333333334</v>
      </c>
      <c r="K21" s="50">
        <v>43222200</v>
      </c>
      <c r="L21" s="56">
        <v>8200771</v>
      </c>
      <c r="M21" s="6">
        <v>51422971</v>
      </c>
      <c r="N21" s="50">
        <v>0</v>
      </c>
      <c r="O21" s="50">
        <v>0</v>
      </c>
      <c r="P21" s="50">
        <v>0</v>
      </c>
      <c r="Q21" s="50">
        <v>2.8782371999867627E-2</v>
      </c>
      <c r="R21" s="55">
        <v>2.8782371999867627E-2</v>
      </c>
      <c r="S21" s="55"/>
      <c r="T21" s="3">
        <v>43222200.028782375</v>
      </c>
      <c r="U21" s="64">
        <v>8200771</v>
      </c>
      <c r="V21" s="64">
        <v>51422971.028782375</v>
      </c>
      <c r="W21" s="57">
        <f t="shared" si="1"/>
        <v>4911.4585482330467</v>
      </c>
      <c r="X21" s="50">
        <v>6674</v>
      </c>
      <c r="Z21" s="6">
        <f>'SPSS Output 4'!$G$5*('Outputs Results'!C21^'SPSS Output 4'!$H$5)</f>
        <v>16311.849546716581</v>
      </c>
      <c r="AA21" s="57">
        <f t="shared" si="2"/>
        <v>-766.81599169844412</v>
      </c>
      <c r="AB21" s="58">
        <f t="shared" si="3"/>
        <v>-4.7009751377506841E-2</v>
      </c>
      <c r="AC21" s="59">
        <f t="shared" si="4"/>
        <v>53959598.30053845</v>
      </c>
      <c r="AD21" s="57">
        <f t="shared" si="5"/>
        <v>2536627.3005384505</v>
      </c>
      <c r="AE21" s="57">
        <f t="shared" si="6"/>
        <v>2536627.3005384505</v>
      </c>
      <c r="AF21" s="57">
        <f t="shared" si="9"/>
        <v>1665971.171671499</v>
      </c>
      <c r="AG21" s="57">
        <f t="shared" si="10"/>
        <v>2747270.4163215826</v>
      </c>
      <c r="AH21" s="71">
        <f t="shared" si="11"/>
        <v>4413241.5879930817</v>
      </c>
      <c r="AI21" s="37">
        <f t="shared" si="7"/>
        <v>830.4928707139004</v>
      </c>
      <c r="AJ21" s="7">
        <f t="shared" si="8"/>
        <v>503.61885479791385</v>
      </c>
    </row>
    <row r="22" spans="1:36" x14ac:dyDescent="0.25">
      <c r="A22">
        <v>5</v>
      </c>
      <c r="B22" t="s">
        <v>42</v>
      </c>
      <c r="C22" s="27">
        <v>3278</v>
      </c>
      <c r="D22" s="41"/>
      <c r="E22" s="25">
        <f t="shared" si="0"/>
        <v>14130.852348993289</v>
      </c>
      <c r="F22" s="26">
        <v>3144.8333333333335</v>
      </c>
      <c r="G22" s="26">
        <v>14639.306799512427</v>
      </c>
      <c r="H22">
        <v>12319</v>
      </c>
      <c r="I22" s="2">
        <v>10478.333333333334</v>
      </c>
      <c r="K22">
        <v>40112438</v>
      </c>
      <c r="L22" s="1">
        <v>6458496</v>
      </c>
      <c r="M22" s="6">
        <f>46570934-250000</f>
        <v>46320934</v>
      </c>
      <c r="N22">
        <v>0</v>
      </c>
      <c r="O22">
        <v>0</v>
      </c>
      <c r="P22">
        <v>0</v>
      </c>
      <c r="Q22">
        <v>2.25075590113109E-2</v>
      </c>
      <c r="R22" s="2">
        <v>2.25075590113109E-2</v>
      </c>
      <c r="S22" s="2"/>
      <c r="T22" s="3">
        <v>40112438.022507556</v>
      </c>
      <c r="U22" s="40">
        <v>6458496</v>
      </c>
      <c r="V22" s="40">
        <v>46570934.022507556</v>
      </c>
      <c r="W22" s="7">
        <f t="shared" si="1"/>
        <v>3760.1212760776039</v>
      </c>
      <c r="X22">
        <v>6674</v>
      </c>
      <c r="Z22" s="19">
        <f>'SPSS Output 4'!$G$5*('Outputs Results'!C22^'SPSS Output 4'!$H$5)</f>
        <v>16356.941247263283</v>
      </c>
      <c r="AA22" s="20">
        <f t="shared" si="2"/>
        <v>-2226.0888982699944</v>
      </c>
      <c r="AB22" s="21">
        <f t="shared" si="3"/>
        <v>-0.13609444850469499</v>
      </c>
      <c r="AC22" s="22">
        <f t="shared" si="4"/>
        <v>53618053.408529043</v>
      </c>
      <c r="AD22" s="20">
        <f t="shared" si="5"/>
        <v>7297119.4085290432</v>
      </c>
      <c r="AE22" s="20">
        <f t="shared" si="6"/>
        <v>7297119.4085290432</v>
      </c>
      <c r="AF22" s="20">
        <f t="shared" si="9"/>
        <v>4792501.6687604999</v>
      </c>
      <c r="AG22" s="20">
        <f t="shared" si="10"/>
        <v>2729881.1805374864</v>
      </c>
      <c r="AH22" s="71">
        <f t="shared" si="11"/>
        <v>7522382.8492979864</v>
      </c>
      <c r="AI22" s="37">
        <f t="shared" si="7"/>
        <v>832.7886456795261</v>
      </c>
      <c r="AJ22" s="7">
        <f t="shared" si="8"/>
        <v>1462.0200331789201</v>
      </c>
    </row>
    <row r="23" spans="1:36" x14ac:dyDescent="0.25">
      <c r="A23">
        <v>6</v>
      </c>
      <c r="B23" t="s">
        <v>43</v>
      </c>
      <c r="C23" s="27">
        <v>2776</v>
      </c>
      <c r="D23" s="41"/>
      <c r="E23" s="25">
        <f t="shared" si="0"/>
        <v>28413.791786743517</v>
      </c>
      <c r="F23" s="26">
        <f>AVERAGE(C23:C26)</f>
        <v>4365.25</v>
      </c>
      <c r="G23" s="26">
        <f>AVERAGE(M23:M26)/F23</f>
        <v>16946.259950747379</v>
      </c>
      <c r="H23">
        <v>14917</v>
      </c>
      <c r="I23" s="2">
        <v>17178.25</v>
      </c>
      <c r="K23">
        <v>65269763</v>
      </c>
      <c r="L23" s="1">
        <v>13606923</v>
      </c>
      <c r="M23" s="6">
        <v>78876686</v>
      </c>
      <c r="N23">
        <v>0</v>
      </c>
      <c r="O23">
        <v>0</v>
      </c>
      <c r="P23">
        <v>0</v>
      </c>
      <c r="Q23">
        <v>3.6566783646293483E-2</v>
      </c>
      <c r="R23" s="2">
        <v>3.6566783646293483E-2</v>
      </c>
      <c r="S23" s="2"/>
      <c r="T23" s="3">
        <v>65269763.036566786</v>
      </c>
      <c r="U23" s="40">
        <v>13606923</v>
      </c>
      <c r="V23" s="40">
        <v>78876686.036566794</v>
      </c>
      <c r="W23" s="7">
        <f t="shared" si="1"/>
        <v>5287.7043641482869</v>
      </c>
      <c r="X23">
        <v>6828</v>
      </c>
      <c r="Z23" s="19">
        <f>'SPSS Output 4'!$G$5*('Outputs Results'!C23^'SPSS Output 4'!$H$5)</f>
        <v>17201.901192513989</v>
      </c>
      <c r="AA23" s="20">
        <f t="shared" si="2"/>
        <v>11211.890594229528</v>
      </c>
      <c r="AB23" s="21">
        <f t="shared" si="3"/>
        <v>0.65178205994513994</v>
      </c>
      <c r="AC23" s="22">
        <f t="shared" si="4"/>
        <v>47752477.710418835</v>
      </c>
      <c r="AD23" s="20">
        <f t="shared" si="5"/>
        <v>-31124208.289581165</v>
      </c>
      <c r="AE23" s="20" t="str">
        <f t="shared" si="6"/>
        <v/>
      </c>
      <c r="AF23" s="20" t="str">
        <f t="shared" si="9"/>
        <v>0</v>
      </c>
      <c r="AG23" s="20">
        <f t="shared" si="10"/>
        <v>2431244.3652602276</v>
      </c>
      <c r="AH23" s="71">
        <f t="shared" si="11"/>
        <v>2431244.3652602276</v>
      </c>
      <c r="AI23" s="37">
        <f t="shared" si="7"/>
        <v>875.80848892659492</v>
      </c>
      <c r="AJ23" s="7">
        <f t="shared" si="8"/>
        <v>0</v>
      </c>
    </row>
    <row r="24" spans="1:36" x14ac:dyDescent="0.25">
      <c r="A24">
        <v>6</v>
      </c>
      <c r="B24" t="s">
        <v>44</v>
      </c>
      <c r="C24" s="27">
        <v>5289</v>
      </c>
      <c r="D24" s="41"/>
      <c r="E24" s="25">
        <f t="shared" si="0"/>
        <v>14677.043486481376</v>
      </c>
      <c r="F24" s="26">
        <v>4365.25</v>
      </c>
      <c r="G24" s="26">
        <v>16946.259950747379</v>
      </c>
      <c r="H24">
        <v>15995</v>
      </c>
      <c r="I24" s="2">
        <v>17178.25</v>
      </c>
      <c r="K24">
        <v>66032070</v>
      </c>
      <c r="L24" s="1">
        <v>12104813</v>
      </c>
      <c r="M24" s="6">
        <f>78136883-510000</f>
        <v>77626883</v>
      </c>
      <c r="N24">
        <v>0</v>
      </c>
      <c r="O24">
        <v>0</v>
      </c>
      <c r="P24">
        <v>0</v>
      </c>
      <c r="Q24">
        <v>3.3241064386932043E-2</v>
      </c>
      <c r="R24" s="2">
        <v>3.3241064386932043E-2</v>
      </c>
      <c r="S24" s="2"/>
      <c r="T24" s="3">
        <v>66032070.033241063</v>
      </c>
      <c r="U24" s="40">
        <v>12104813</v>
      </c>
      <c r="V24" s="40">
        <v>78136883.033241063</v>
      </c>
      <c r="W24" s="7">
        <f t="shared" si="1"/>
        <v>4853.1968115035952</v>
      </c>
      <c r="X24">
        <v>6828</v>
      </c>
      <c r="Z24" s="19">
        <f>'SPSS Output 4'!$G$5*('Outputs Results'!C24^'SPSS Output 4'!$H$5)</f>
        <v>14149.682932376234</v>
      </c>
      <c r="AA24" s="20">
        <f t="shared" si="2"/>
        <v>527.360554105142</v>
      </c>
      <c r="AB24" s="21">
        <f t="shared" si="3"/>
        <v>3.7270132244339942E-2</v>
      </c>
      <c r="AC24" s="22">
        <f t="shared" si="4"/>
        <v>74837673.029337898</v>
      </c>
      <c r="AD24" s="20">
        <f t="shared" si="5"/>
        <v>-2789209.9706621021</v>
      </c>
      <c r="AE24" s="20" t="str">
        <f t="shared" si="6"/>
        <v/>
      </c>
      <c r="AF24" s="20" t="str">
        <f t="shared" si="9"/>
        <v>0</v>
      </c>
      <c r="AG24" s="20">
        <f t="shared" si="10"/>
        <v>3810245.6581444931</v>
      </c>
      <c r="AH24" s="71">
        <f t="shared" si="11"/>
        <v>3810245.6581444931</v>
      </c>
      <c r="AI24" s="37">
        <f t="shared" si="7"/>
        <v>720.4094645763837</v>
      </c>
      <c r="AJ24" s="7">
        <f t="shared" si="8"/>
        <v>0</v>
      </c>
    </row>
    <row r="25" spans="1:36" x14ac:dyDescent="0.25">
      <c r="A25">
        <v>6</v>
      </c>
      <c r="B25" t="s">
        <v>45</v>
      </c>
      <c r="C25" s="27">
        <v>4181</v>
      </c>
      <c r="D25" s="41"/>
      <c r="E25" s="25">
        <f t="shared" si="0"/>
        <v>17084.086342980147</v>
      </c>
      <c r="F25" s="26">
        <v>4365.25</v>
      </c>
      <c r="G25" s="26">
        <v>16946.259950747379</v>
      </c>
      <c r="H25">
        <v>18856</v>
      </c>
      <c r="I25" s="2">
        <v>17178.25</v>
      </c>
      <c r="K25">
        <v>61643784</v>
      </c>
      <c r="L25" s="1">
        <v>9784781</v>
      </c>
      <c r="M25" s="6">
        <v>71428565</v>
      </c>
      <c r="N25">
        <v>0</v>
      </c>
      <c r="O25">
        <v>0</v>
      </c>
      <c r="P25">
        <v>246227.02190284431</v>
      </c>
      <c r="Q25">
        <v>1.7620058387669148E-2</v>
      </c>
      <c r="R25" s="2">
        <v>246227.03952290269</v>
      </c>
      <c r="S25" s="2"/>
      <c r="T25" s="3">
        <v>61890011.039522901</v>
      </c>
      <c r="U25" s="40">
        <v>9784781</v>
      </c>
      <c r="V25" s="40">
        <v>71674792.039522901</v>
      </c>
      <c r="W25" s="7">
        <f t="shared" si="1"/>
        <v>3788.1080292745014</v>
      </c>
      <c r="X25">
        <v>6828</v>
      </c>
      <c r="Z25" s="19">
        <f>'SPSS Output 4'!$G$5*('Outputs Results'!C25^'SPSS Output 4'!$H$5)</f>
        <v>15194.357418204494</v>
      </c>
      <c r="AA25" s="20">
        <f t="shared" si="2"/>
        <v>1889.7289247756526</v>
      </c>
      <c r="AB25" s="21">
        <f t="shared" si="3"/>
        <v>0.12437044047098376</v>
      </c>
      <c r="AC25" s="22">
        <f t="shared" si="4"/>
        <v>63527608.365512989</v>
      </c>
      <c r="AD25" s="20">
        <f t="shared" si="5"/>
        <v>-7900956.6344870105</v>
      </c>
      <c r="AE25" s="20" t="str">
        <f t="shared" si="6"/>
        <v/>
      </c>
      <c r="AF25" s="20" t="str">
        <f t="shared" si="9"/>
        <v>0</v>
      </c>
      <c r="AG25" s="20">
        <f t="shared" si="10"/>
        <v>3234411.0145181669</v>
      </c>
      <c r="AH25" s="71">
        <f t="shared" si="11"/>
        <v>3234411.0145181669</v>
      </c>
      <c r="AI25" s="37">
        <f t="shared" si="7"/>
        <v>773.59746819377347</v>
      </c>
      <c r="AJ25" s="7">
        <f t="shared" si="8"/>
        <v>0</v>
      </c>
    </row>
    <row r="26" spans="1:36" x14ac:dyDescent="0.25">
      <c r="A26">
        <v>6</v>
      </c>
      <c r="B26" t="s">
        <v>46</v>
      </c>
      <c r="C26" s="27">
        <v>5215</v>
      </c>
      <c r="D26" s="41"/>
      <c r="E26" s="25">
        <f t="shared" si="0"/>
        <v>13032.888015340364</v>
      </c>
      <c r="F26" s="26">
        <v>4365.25</v>
      </c>
      <c r="G26" s="26">
        <v>16946.259950747379</v>
      </c>
      <c r="H26">
        <v>18945</v>
      </c>
      <c r="I26" s="2">
        <v>17178.25</v>
      </c>
      <c r="K26">
        <v>58017036</v>
      </c>
      <c r="L26" s="1">
        <v>9949475</v>
      </c>
      <c r="M26" s="6">
        <v>67966511</v>
      </c>
      <c r="N26">
        <v>0</v>
      </c>
      <c r="O26">
        <v>0</v>
      </c>
      <c r="P26">
        <v>577598.74747955799</v>
      </c>
      <c r="Q26">
        <v>2.1268506060444097E-2</v>
      </c>
      <c r="R26" s="2">
        <v>577598.76874806406</v>
      </c>
      <c r="S26" s="2"/>
      <c r="T26" s="3">
        <v>58594634.768748067</v>
      </c>
      <c r="U26" s="40">
        <v>9949475</v>
      </c>
      <c r="V26" s="40">
        <v>68544109.768748075</v>
      </c>
      <c r="W26" s="7">
        <f t="shared" si="1"/>
        <v>3587.569860121404</v>
      </c>
      <c r="X26">
        <v>6828</v>
      </c>
      <c r="Z26" s="19">
        <f>'SPSS Output 4'!$G$5*('Outputs Results'!C26^'SPSS Output 4'!$H$5)</f>
        <v>14210.223937977597</v>
      </c>
      <c r="AA26" s="20">
        <f t="shared" si="2"/>
        <v>-1177.3359226372322</v>
      </c>
      <c r="AB26" s="21">
        <f t="shared" si="3"/>
        <v>-8.2851327873217959E-2</v>
      </c>
      <c r="AC26" s="22">
        <f t="shared" si="4"/>
        <v>74106317.836553171</v>
      </c>
      <c r="AD26" s="20">
        <f t="shared" si="5"/>
        <v>6139806.8365531713</v>
      </c>
      <c r="AE26" s="20">
        <f t="shared" si="6"/>
        <v>6139806.8365531713</v>
      </c>
      <c r="AF26" s="20">
        <f t="shared" si="9"/>
        <v>4032417.8436295739</v>
      </c>
      <c r="AG26" s="20">
        <f t="shared" si="10"/>
        <v>3773009.8271108773</v>
      </c>
      <c r="AH26" s="71">
        <f t="shared" si="11"/>
        <v>7805427.6707404517</v>
      </c>
      <c r="AI26" s="37">
        <f t="shared" si="7"/>
        <v>723.49181727917107</v>
      </c>
      <c r="AJ26" s="7">
        <f t="shared" si="8"/>
        <v>773.23448583500942</v>
      </c>
    </row>
    <row r="27" spans="1:36" x14ac:dyDescent="0.25">
      <c r="A27">
        <v>7</v>
      </c>
      <c r="B27" t="s">
        <v>47</v>
      </c>
      <c r="C27" s="27">
        <v>7243</v>
      </c>
      <c r="D27" s="41"/>
      <c r="E27" s="25">
        <f t="shared" si="0"/>
        <v>12722.010216761011</v>
      </c>
      <c r="F27" s="26">
        <f>AVERAGE(C27:C29)</f>
        <v>9394</v>
      </c>
      <c r="G27" s="26">
        <f>AVERAGE(M27:M29)/F27</f>
        <v>12995.984316230219</v>
      </c>
      <c r="H27">
        <v>24038</v>
      </c>
      <c r="I27" s="2">
        <v>33317.666666666664</v>
      </c>
      <c r="K27">
        <v>77191852</v>
      </c>
      <c r="L27" s="1">
        <v>14953668</v>
      </c>
      <c r="M27" s="6">
        <v>92145520</v>
      </c>
      <c r="N27">
        <v>0</v>
      </c>
      <c r="O27">
        <v>0</v>
      </c>
      <c r="P27">
        <v>0</v>
      </c>
      <c r="Q27">
        <v>2.752021645219083E-2</v>
      </c>
      <c r="R27" s="2">
        <v>2.752021645219083E-2</v>
      </c>
      <c r="S27" s="2"/>
      <c r="T27" s="3">
        <v>77191852.02752021</v>
      </c>
      <c r="U27" s="40">
        <v>14953668</v>
      </c>
      <c r="V27" s="40">
        <v>92145520.02752021</v>
      </c>
      <c r="W27" s="7">
        <f t="shared" si="1"/>
        <v>3833.3272318828522</v>
      </c>
      <c r="X27">
        <v>6289</v>
      </c>
      <c r="Z27" s="19">
        <f>'SPSS Output 4'!$G$5*('Outputs Results'!C27^'SPSS Output 4'!$H$5)</f>
        <v>12863.875240307094</v>
      </c>
      <c r="AA27" s="20">
        <f t="shared" si="2"/>
        <v>-141.86502354608274</v>
      </c>
      <c r="AB27" s="21">
        <f t="shared" si="3"/>
        <v>-1.1028171596500656E-2</v>
      </c>
      <c r="AC27" s="22">
        <f t="shared" si="4"/>
        <v>93173048.365544274</v>
      </c>
      <c r="AD27" s="20">
        <f t="shared" si="5"/>
        <v>1027528.3655442744</v>
      </c>
      <c r="AE27" s="20">
        <f t="shared" si="6"/>
        <v>1027528.3655442744</v>
      </c>
      <c r="AF27" s="20">
        <f t="shared" si="9"/>
        <v>674845.94000392733</v>
      </c>
      <c r="AG27" s="20">
        <f t="shared" si="10"/>
        <v>4743763.2494496433</v>
      </c>
      <c r="AH27" s="71">
        <f t="shared" si="11"/>
        <v>5418609.1894535702</v>
      </c>
      <c r="AI27" s="37">
        <f t="shared" si="7"/>
        <v>654.94453257623127</v>
      </c>
      <c r="AJ27" s="7">
        <f t="shared" si="8"/>
        <v>93.172157946144878</v>
      </c>
    </row>
    <row r="28" spans="1:36" x14ac:dyDescent="0.25">
      <c r="A28">
        <v>7</v>
      </c>
      <c r="B28" t="s">
        <v>48</v>
      </c>
      <c r="C28" s="27">
        <v>9039</v>
      </c>
      <c r="D28" s="41"/>
      <c r="E28" s="25">
        <f t="shared" si="0"/>
        <v>10532.289301913928</v>
      </c>
      <c r="F28" s="26">
        <v>9394</v>
      </c>
      <c r="G28" s="26">
        <v>12995.984316230219</v>
      </c>
      <c r="H28">
        <v>34388</v>
      </c>
      <c r="I28" s="2">
        <v>33317.666666666664</v>
      </c>
      <c r="K28">
        <v>83933611</v>
      </c>
      <c r="L28" s="1">
        <v>11267752</v>
      </c>
      <c r="M28" s="6">
        <v>95201363</v>
      </c>
      <c r="N28">
        <v>0</v>
      </c>
      <c r="O28">
        <v>0</v>
      </c>
      <c r="P28">
        <v>2760141.8783006072</v>
      </c>
      <c r="Q28">
        <v>2.6287483645653368E-2</v>
      </c>
      <c r="R28" s="2">
        <v>2760141.9045880907</v>
      </c>
      <c r="S28" s="2"/>
      <c r="T28" s="3">
        <v>86693752.904588088</v>
      </c>
      <c r="U28" s="40">
        <v>11267752</v>
      </c>
      <c r="V28" s="40">
        <v>97961504.904588088</v>
      </c>
      <c r="W28" s="7">
        <f t="shared" si="1"/>
        <v>2768.4472199604511</v>
      </c>
      <c r="X28">
        <v>6289</v>
      </c>
      <c r="Z28" s="19">
        <f>'SPSS Output 4'!$G$5*('Outputs Results'!C28^'SPSS Output 4'!$H$5)</f>
        <v>12028.774691346496</v>
      </c>
      <c r="AA28" s="20">
        <f t="shared" si="2"/>
        <v>-1496.4853894325679</v>
      </c>
      <c r="AB28" s="21">
        <f t="shared" si="3"/>
        <v>-0.12440879705803617</v>
      </c>
      <c r="AC28" s="22">
        <f t="shared" si="4"/>
        <v>108728094.43508098</v>
      </c>
      <c r="AD28" s="20">
        <f t="shared" si="5"/>
        <v>13526731.435080975</v>
      </c>
      <c r="AE28" s="20">
        <f t="shared" si="6"/>
        <v>13526731.435080975</v>
      </c>
      <c r="AF28" s="20">
        <f>IFERROR((AE28/$AE$31)*$AF$31*$AM$3,"0")</f>
        <v>8883900.5292594656</v>
      </c>
      <c r="AG28" s="20">
        <f t="shared" si="10"/>
        <v>5535724.6286530746</v>
      </c>
      <c r="AH28" s="71">
        <f t="shared" si="11"/>
        <v>14419625.157912541</v>
      </c>
      <c r="AI28" s="37">
        <f t="shared" si="7"/>
        <v>612.4266654113369</v>
      </c>
      <c r="AJ28" s="7">
        <f t="shared" si="8"/>
        <v>982.84108078985128</v>
      </c>
    </row>
    <row r="29" spans="1:36" x14ac:dyDescent="0.25">
      <c r="A29">
        <v>7</v>
      </c>
      <c r="B29" t="s">
        <v>49</v>
      </c>
      <c r="C29" s="27">
        <v>11900</v>
      </c>
      <c r="D29" s="41"/>
      <c r="E29" s="25">
        <f t="shared" si="0"/>
        <v>15034.113193277311</v>
      </c>
      <c r="F29" s="26">
        <v>9394</v>
      </c>
      <c r="G29" s="26">
        <v>12995.984316230219</v>
      </c>
      <c r="H29">
        <v>41527</v>
      </c>
      <c r="I29" s="2">
        <v>33317.666666666664</v>
      </c>
      <c r="K29">
        <v>148245620</v>
      </c>
      <c r="L29" s="1">
        <v>30660327</v>
      </c>
      <c r="M29" s="6">
        <v>178905947</v>
      </c>
      <c r="N29">
        <v>0</v>
      </c>
      <c r="O29">
        <v>0</v>
      </c>
      <c r="P29">
        <v>2718463.952536881</v>
      </c>
      <c r="Q29">
        <v>2.324012636740325E-2</v>
      </c>
      <c r="R29" s="2">
        <v>2718463.9757770072</v>
      </c>
      <c r="S29" s="2"/>
      <c r="T29" s="3">
        <v>150964083.975777</v>
      </c>
      <c r="U29" s="40">
        <v>30660327</v>
      </c>
      <c r="V29" s="40">
        <v>181624410.975777</v>
      </c>
      <c r="W29" s="7">
        <f t="shared" si="1"/>
        <v>4308.1837599633973</v>
      </c>
      <c r="X29">
        <v>6289</v>
      </c>
      <c r="Z29" s="19">
        <f>'SPSS Output 4'!$G$5*('Outputs Results'!C29^'SPSS Output 4'!$H$5)</f>
        <v>11067.093585155511</v>
      </c>
      <c r="AA29" s="20">
        <f t="shared" si="2"/>
        <v>3967.0196081218</v>
      </c>
      <c r="AB29" s="21">
        <f t="shared" si="3"/>
        <v>0.3584517992549402</v>
      </c>
      <c r="AC29" s="22">
        <f t="shared" si="4"/>
        <v>131698413.66335058</v>
      </c>
      <c r="AD29" s="62">
        <f t="shared" si="5"/>
        <v>-47207533.336649418</v>
      </c>
      <c r="AE29" s="20" t="str">
        <f t="shared" si="6"/>
        <v/>
      </c>
      <c r="AF29" s="20" t="str">
        <f t="shared" si="9"/>
        <v>0</v>
      </c>
      <c r="AG29" s="20">
        <f t="shared" si="10"/>
        <v>6705223.2990806894</v>
      </c>
      <c r="AH29" s="71">
        <f t="shared" si="11"/>
        <v>6705223.2990806894</v>
      </c>
      <c r="AI29" s="37">
        <f t="shared" si="7"/>
        <v>563.46414277988981</v>
      </c>
      <c r="AJ29" s="7">
        <f t="shared" si="8"/>
        <v>0</v>
      </c>
    </row>
    <row r="30" spans="1:36" x14ac:dyDescent="0.25">
      <c r="B30" t="s">
        <v>50</v>
      </c>
      <c r="C30" s="38">
        <f>SUM(C2:C29)</f>
        <v>82559</v>
      </c>
      <c r="D30" s="38"/>
      <c r="E30" s="37">
        <f t="shared" si="0"/>
        <v>15666.356460228442</v>
      </c>
      <c r="G30" s="2">
        <f>AVERAGE(G2:G29)</f>
        <v>19884.500053077089</v>
      </c>
      <c r="H30">
        <f>SUM(H2:H29)</f>
        <v>292875</v>
      </c>
      <c r="I30" s="2"/>
      <c r="K30">
        <v>1096466294</v>
      </c>
      <c r="L30" s="1">
        <v>196932429</v>
      </c>
      <c r="M30" s="6">
        <v>1293398723</v>
      </c>
      <c r="N30">
        <v>0</v>
      </c>
      <c r="O30">
        <v>0</v>
      </c>
      <c r="P30">
        <v>9967087.5453283265</v>
      </c>
      <c r="Q30">
        <v>0.45467167347669613</v>
      </c>
      <c r="R30" s="2">
        <v>9967088</v>
      </c>
      <c r="S30" s="2"/>
      <c r="T30" s="3">
        <v>1106433382</v>
      </c>
      <c r="U30" s="40">
        <v>196932429</v>
      </c>
      <c r="V30" s="40">
        <v>1303365810.9999998</v>
      </c>
      <c r="W30" s="7">
        <f t="shared" si="1"/>
        <v>4416.2141630388387</v>
      </c>
      <c r="Z30" s="23"/>
      <c r="AA30" s="23"/>
      <c r="AB30" s="23"/>
      <c r="AC30" s="23"/>
      <c r="AD30" s="20"/>
      <c r="AE30" s="20"/>
      <c r="AF30" s="20">
        <f>SUM(AF2:AF29)</f>
        <v>65500000.000000007</v>
      </c>
      <c r="AG30" s="20">
        <f>SUM(AG2:AG29)</f>
        <v>65499999.999999993</v>
      </c>
      <c r="AH30" s="20">
        <f>SUM(AH2:AH29)</f>
        <v>130999999.99999999</v>
      </c>
    </row>
    <row r="31" spans="1:36" x14ac:dyDescent="0.25">
      <c r="L31" s="1"/>
      <c r="S31" s="2"/>
      <c r="T31" s="3"/>
      <c r="V31" s="3"/>
      <c r="W31" s="3"/>
      <c r="AC31" s="7">
        <f>SUM(AC2:AC30)</f>
        <v>1286496468.5265818</v>
      </c>
      <c r="AE31" s="7">
        <f>SUM(AE2:AE29)</f>
        <v>99731070.387351379</v>
      </c>
      <c r="AF31" s="40">
        <f>AL3</f>
        <v>131000000</v>
      </c>
      <c r="AG31" s="40">
        <f>AF31-AF30</f>
        <v>65499999.999999993</v>
      </c>
      <c r="AH31" s="40"/>
    </row>
    <row r="33" spans="1:38" x14ac:dyDescent="0.25">
      <c r="AB33" t="s">
        <v>89</v>
      </c>
      <c r="AC33" s="63">
        <f>AE31/AC31</f>
        <v>7.7521449010717378E-2</v>
      </c>
    </row>
    <row r="34" spans="1:38" x14ac:dyDescent="0.25"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</row>
    <row r="35" spans="1:38" ht="60" x14ac:dyDescent="0.25">
      <c r="A35" t="s">
        <v>51</v>
      </c>
      <c r="B35" s="5" t="s">
        <v>52</v>
      </c>
      <c r="C35" s="5"/>
      <c r="D35" s="5"/>
      <c r="E35" s="5"/>
      <c r="F35" s="5"/>
      <c r="G35" s="5"/>
      <c r="H35" s="5" t="s">
        <v>53</v>
      </c>
      <c r="K35" s="5" t="s">
        <v>54</v>
      </c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8"/>
    </row>
    <row r="36" spans="1:38" x14ac:dyDescent="0.25">
      <c r="A36">
        <v>1</v>
      </c>
      <c r="B36" s="2">
        <f>AVERAGE(H2:H4)</f>
        <v>1026</v>
      </c>
      <c r="C36" s="2"/>
      <c r="D36" s="2"/>
      <c r="E36" s="2"/>
      <c r="F36" s="2"/>
      <c r="G36" s="2"/>
      <c r="H36" s="7">
        <f>AVERAGE(W2:W4)</f>
        <v>9506.7672638486038</v>
      </c>
      <c r="K36">
        <v>11742</v>
      </c>
      <c r="Z36" s="16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1:38" x14ac:dyDescent="0.25">
      <c r="A37">
        <v>2</v>
      </c>
      <c r="B37" s="2">
        <f>AVERAGE(H5:H7)</f>
        <v>2560.3333333333335</v>
      </c>
      <c r="C37" s="2"/>
      <c r="D37" s="2"/>
      <c r="E37" s="2"/>
      <c r="F37" s="2"/>
      <c r="G37" s="2"/>
      <c r="H37" s="7">
        <f>AVERAGE(W5:W7)</f>
        <v>7558.9620995215819</v>
      </c>
      <c r="K37">
        <v>9644</v>
      </c>
      <c r="Z37" s="75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7"/>
      <c r="AL37" s="8"/>
    </row>
    <row r="38" spans="1:38" x14ac:dyDescent="0.25">
      <c r="A38">
        <v>3</v>
      </c>
      <c r="B38" s="2">
        <f>AVERAGE(H8:H11)</f>
        <v>3945</v>
      </c>
      <c r="C38" s="2"/>
      <c r="D38" s="2"/>
      <c r="E38" s="2"/>
      <c r="F38" s="2"/>
      <c r="G38" s="2"/>
      <c r="H38" s="7">
        <f>AVERAGE(W8:W11)</f>
        <v>5666.330466877138</v>
      </c>
      <c r="K38">
        <v>7856</v>
      </c>
      <c r="Z38" s="9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1"/>
      <c r="AL38" s="8"/>
    </row>
    <row r="39" spans="1:38" x14ac:dyDescent="0.25">
      <c r="A39">
        <v>4</v>
      </c>
      <c r="B39" s="2">
        <f>AVERAGE(H12:H16)</f>
        <v>6960</v>
      </c>
      <c r="C39" s="2"/>
      <c r="D39" s="2"/>
      <c r="E39" s="2"/>
      <c r="F39" s="2"/>
      <c r="G39" s="2"/>
      <c r="H39" s="7">
        <f>AVERAGE(W12:W16)</f>
        <v>5091.2793074499668</v>
      </c>
      <c r="K39">
        <v>7478</v>
      </c>
      <c r="Z39" s="12"/>
      <c r="AA39" s="13"/>
      <c r="AB39" s="14"/>
      <c r="AC39" s="14"/>
      <c r="AD39" s="14"/>
      <c r="AE39" s="14"/>
      <c r="AF39" s="14"/>
      <c r="AG39" s="18"/>
      <c r="AH39" s="18"/>
      <c r="AI39" s="13"/>
      <c r="AJ39" s="13"/>
      <c r="AK39" s="15"/>
      <c r="AL39" s="8"/>
    </row>
    <row r="40" spans="1:38" x14ac:dyDescent="0.25">
      <c r="A40">
        <v>5</v>
      </c>
      <c r="B40" s="2">
        <f>AVERAGE(H17:H22)</f>
        <v>10478.333333333334</v>
      </c>
      <c r="C40" s="2"/>
      <c r="D40" s="2"/>
      <c r="E40" s="2"/>
      <c r="F40" s="2"/>
      <c r="G40" s="2"/>
      <c r="H40" s="7">
        <f>AVERAGE(W17:W22)</f>
        <v>4418.3242741614076</v>
      </c>
      <c r="K40">
        <v>6674</v>
      </c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8"/>
    </row>
    <row r="41" spans="1:38" x14ac:dyDescent="0.25">
      <c r="A41">
        <v>6</v>
      </c>
      <c r="B41" s="2">
        <f>AVERAGE(H23:H26)</f>
        <v>17178.25</v>
      </c>
      <c r="C41" s="2"/>
      <c r="D41" s="2"/>
      <c r="E41" s="2"/>
      <c r="F41" s="2"/>
      <c r="G41" s="2"/>
      <c r="H41" s="7">
        <f>AVERAGE(W23:W26)</f>
        <v>4379.1447662619466</v>
      </c>
      <c r="K41">
        <v>6828</v>
      </c>
      <c r="Z41" s="17"/>
      <c r="AA41" s="17"/>
      <c r="AB41" s="17"/>
      <c r="AC41" s="17"/>
      <c r="AD41" s="17"/>
      <c r="AE41" s="17"/>
      <c r="AF41" s="17"/>
      <c r="AG41" s="17"/>
      <c r="AH41" s="39"/>
      <c r="AI41" s="17"/>
      <c r="AJ41" s="17"/>
      <c r="AK41" s="17"/>
    </row>
    <row r="42" spans="1:38" x14ac:dyDescent="0.25">
      <c r="A42">
        <v>7</v>
      </c>
      <c r="B42" s="2">
        <f>AVERAGE(H27:H29)</f>
        <v>33317.666666666664</v>
      </c>
      <c r="C42" s="2"/>
      <c r="D42" s="2"/>
      <c r="E42" s="2"/>
      <c r="F42" s="2"/>
      <c r="G42" s="2"/>
      <c r="H42" s="7">
        <f>AVERAGE(W27:W29)</f>
        <v>3636.6527372689002</v>
      </c>
      <c r="K42">
        <v>6289</v>
      </c>
    </row>
    <row r="43" spans="1:38" x14ac:dyDescent="0.25"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8"/>
    </row>
    <row r="44" spans="1:38" x14ac:dyDescent="0.25"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8"/>
    </row>
    <row r="45" spans="1:38" x14ac:dyDescent="0.25">
      <c r="Z45" s="16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</row>
    <row r="46" spans="1:38" x14ac:dyDescent="0.25">
      <c r="Z46" s="75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7"/>
      <c r="AL46" s="8"/>
    </row>
    <row r="47" spans="1:38" x14ac:dyDescent="0.25">
      <c r="Z47" s="9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1"/>
      <c r="AL47" s="8"/>
    </row>
    <row r="48" spans="1:38" x14ac:dyDescent="0.25">
      <c r="Z48" s="12"/>
      <c r="AA48" s="13"/>
      <c r="AB48" s="14"/>
      <c r="AC48" s="14"/>
      <c r="AD48" s="14"/>
      <c r="AE48" s="14"/>
      <c r="AF48" s="14"/>
      <c r="AG48" s="18"/>
      <c r="AH48" s="18"/>
      <c r="AI48" s="13"/>
      <c r="AJ48" s="13"/>
      <c r="AK48" s="15"/>
      <c r="AL48" s="8"/>
    </row>
    <row r="49" spans="26:37" x14ac:dyDescent="0.25"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</row>
    <row r="74" spans="1:26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65"/>
      <c r="U74" s="65"/>
      <c r="V74" s="65"/>
      <c r="W74" s="4"/>
      <c r="X74" s="4"/>
    </row>
    <row r="75" spans="1:26" x14ac:dyDescent="0.25">
      <c r="Z75" s="4"/>
    </row>
  </sheetData>
  <autoFilter ref="A1:AF29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V16"/>
  <sheetViews>
    <sheetView zoomScale="115" zoomScaleNormal="115" workbookViewId="0"/>
  </sheetViews>
  <sheetFormatPr defaultRowHeight="15" x14ac:dyDescent="0.25"/>
  <cols>
    <col min="7" max="7" width="10.28515625" customWidth="1"/>
  </cols>
  <sheetData>
    <row r="1" spans="1:22" ht="14.65" customHeight="1" x14ac:dyDescent="0.25">
      <c r="A1" s="89" t="s">
        <v>55</v>
      </c>
      <c r="B1" s="89"/>
      <c r="C1" s="89"/>
      <c r="D1" s="89"/>
      <c r="E1" s="89"/>
      <c r="F1" s="89"/>
      <c r="G1" s="89"/>
      <c r="H1" s="89"/>
      <c r="I1" s="29"/>
    </row>
    <row r="2" spans="1:22" x14ac:dyDescent="0.25">
      <c r="A2" s="90" t="s">
        <v>56</v>
      </c>
      <c r="B2" s="90" t="s">
        <v>78</v>
      </c>
      <c r="C2" s="91"/>
      <c r="D2" s="91"/>
      <c r="E2" s="91"/>
      <c r="F2" s="91"/>
      <c r="G2" s="91"/>
      <c r="H2" s="91"/>
      <c r="I2" s="29"/>
    </row>
    <row r="3" spans="1:22" ht="16.5" customHeight="1" x14ac:dyDescent="0.35">
      <c r="A3" s="92"/>
      <c r="B3" s="94" t="s">
        <v>58</v>
      </c>
      <c r="C3" s="95"/>
      <c r="D3" s="95"/>
      <c r="E3" s="95"/>
      <c r="F3" s="95"/>
      <c r="G3" s="93" t="s">
        <v>59</v>
      </c>
      <c r="H3" s="96"/>
      <c r="I3" s="29"/>
      <c r="O3" s="82" t="s">
        <v>124</v>
      </c>
      <c r="P3" s="83"/>
      <c r="Q3" s="83"/>
      <c r="R3" s="83"/>
      <c r="S3" s="84"/>
      <c r="T3" s="84"/>
      <c r="U3" s="85"/>
    </row>
    <row r="4" spans="1:22" ht="17.25" customHeight="1" x14ac:dyDescent="0.35">
      <c r="A4" s="92" t="s">
        <v>57</v>
      </c>
      <c r="B4" s="30" t="s">
        <v>60</v>
      </c>
      <c r="C4" s="31" t="s">
        <v>61</v>
      </c>
      <c r="D4" s="31" t="s">
        <v>62</v>
      </c>
      <c r="E4" s="31" t="s">
        <v>63</v>
      </c>
      <c r="F4" s="31" t="s">
        <v>64</v>
      </c>
      <c r="G4" s="31" t="s">
        <v>65</v>
      </c>
      <c r="H4" s="32" t="s">
        <v>66</v>
      </c>
      <c r="I4" s="29"/>
      <c r="O4" s="86" t="s">
        <v>125</v>
      </c>
      <c r="P4" s="87"/>
      <c r="Q4" s="87"/>
      <c r="R4" s="87"/>
      <c r="S4" s="4"/>
      <c r="T4" s="4"/>
      <c r="U4" s="88"/>
    </row>
    <row r="5" spans="1:22" ht="15" customHeight="1" x14ac:dyDescent="0.35">
      <c r="A5" s="33" t="s">
        <v>67</v>
      </c>
      <c r="B5" s="66">
        <v>0.89184428512437797</v>
      </c>
      <c r="C5" s="34">
        <v>41.229642194589061</v>
      </c>
      <c r="D5" s="35">
        <v>1</v>
      </c>
      <c r="E5" s="35">
        <v>5</v>
      </c>
      <c r="F5" s="34">
        <v>1.3600707554255504E-3</v>
      </c>
      <c r="G5" s="34">
        <v>190097.93484002296</v>
      </c>
      <c r="H5" s="36">
        <v>-0.30301302576889039</v>
      </c>
      <c r="I5" s="29"/>
      <c r="O5" s="81"/>
      <c r="P5" s="81"/>
      <c r="Q5" s="81"/>
      <c r="R5" s="81"/>
    </row>
    <row r="6" spans="1:22" ht="14.65" customHeight="1" x14ac:dyDescent="0.35">
      <c r="A6" s="80" t="s">
        <v>79</v>
      </c>
      <c r="B6" s="80"/>
      <c r="C6" s="80"/>
      <c r="D6" s="80"/>
      <c r="E6" s="80"/>
      <c r="F6" s="80"/>
      <c r="G6" s="80"/>
      <c r="H6" s="80"/>
      <c r="I6" s="29"/>
      <c r="O6" s="81"/>
      <c r="P6" s="81"/>
      <c r="Q6" s="81"/>
      <c r="R6" s="81"/>
    </row>
    <row r="7" spans="1:22" ht="15" customHeight="1" x14ac:dyDescent="0.35">
      <c r="O7" s="81"/>
      <c r="P7" s="81"/>
      <c r="Q7" s="81"/>
      <c r="R7" s="81"/>
    </row>
    <row r="8" spans="1:22" ht="15" customHeight="1" x14ac:dyDescent="0.35">
      <c r="O8" s="81"/>
      <c r="P8" s="81"/>
      <c r="Q8" s="81"/>
      <c r="R8" s="81"/>
    </row>
    <row r="9" spans="1:22" ht="15" customHeight="1" x14ac:dyDescent="0.35">
      <c r="O9" s="81"/>
      <c r="P9" s="81"/>
      <c r="Q9" s="81"/>
      <c r="R9" s="81"/>
    </row>
    <row r="11" spans="1:22" ht="21" customHeight="1" x14ac:dyDescent="0.35">
      <c r="O11" s="81" t="s">
        <v>75</v>
      </c>
      <c r="P11" s="81"/>
      <c r="Q11" s="81"/>
      <c r="R11" s="81"/>
      <c r="S11" s="81"/>
      <c r="T11" s="81"/>
      <c r="U11" s="81"/>
      <c r="V11" s="81"/>
    </row>
    <row r="12" spans="1:22" ht="15" customHeight="1" x14ac:dyDescent="0.35">
      <c r="O12" s="81"/>
      <c r="P12" s="81"/>
      <c r="Q12" s="81"/>
      <c r="R12" s="81"/>
      <c r="S12" s="81"/>
      <c r="T12" s="81"/>
      <c r="U12" s="81"/>
      <c r="V12" s="81"/>
    </row>
    <row r="14" spans="1:22" x14ac:dyDescent="0.25">
      <c r="O14" s="28" t="s">
        <v>76</v>
      </c>
    </row>
    <row r="15" spans="1:22" x14ac:dyDescent="0.25">
      <c r="O15" t="s">
        <v>77</v>
      </c>
    </row>
    <row r="16" spans="1:22" x14ac:dyDescent="0.25">
      <c r="O16" s="24" t="s">
        <v>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G25" sqref="G25"/>
    </sheetView>
  </sheetViews>
  <sheetFormatPr defaultRowHeight="15" x14ac:dyDescent="0.25"/>
  <cols>
    <col min="2" max="2" width="11.42578125" customWidth="1"/>
    <col min="3" max="3" width="14.28515625" customWidth="1"/>
  </cols>
  <sheetData>
    <row r="1" spans="1:5" ht="30" x14ac:dyDescent="0.25">
      <c r="A1" s="5" t="s">
        <v>51</v>
      </c>
      <c r="B1" s="5" t="s">
        <v>68</v>
      </c>
      <c r="C1" s="5" t="s">
        <v>69</v>
      </c>
      <c r="D1" s="5"/>
      <c r="E1" s="5"/>
    </row>
    <row r="2" spans="1:5" x14ac:dyDescent="0.25">
      <c r="A2">
        <v>1</v>
      </c>
      <c r="B2">
        <v>271</v>
      </c>
      <c r="C2">
        <v>35884</v>
      </c>
    </row>
    <row r="3" spans="1:5" x14ac:dyDescent="0.25">
      <c r="A3">
        <v>2</v>
      </c>
      <c r="B3">
        <v>618</v>
      </c>
      <c r="C3">
        <v>31532</v>
      </c>
    </row>
    <row r="4" spans="1:5" x14ac:dyDescent="0.25">
      <c r="A4">
        <v>3</v>
      </c>
      <c r="B4">
        <v>1136</v>
      </c>
      <c r="C4">
        <v>19862</v>
      </c>
    </row>
    <row r="5" spans="1:5" x14ac:dyDescent="0.25">
      <c r="A5">
        <v>4</v>
      </c>
      <c r="B5">
        <v>2167</v>
      </c>
      <c r="C5">
        <v>16092</v>
      </c>
    </row>
    <row r="6" spans="1:5" x14ac:dyDescent="0.25">
      <c r="A6">
        <v>5</v>
      </c>
      <c r="B6">
        <v>3145</v>
      </c>
      <c r="C6">
        <v>14639</v>
      </c>
    </row>
    <row r="7" spans="1:5" x14ac:dyDescent="0.25">
      <c r="A7">
        <v>6</v>
      </c>
      <c r="B7">
        <v>4365</v>
      </c>
      <c r="C7">
        <v>16946</v>
      </c>
    </row>
    <row r="8" spans="1:5" x14ac:dyDescent="0.25">
      <c r="A8">
        <v>7</v>
      </c>
      <c r="B8">
        <v>9394</v>
      </c>
      <c r="C8">
        <v>12996</v>
      </c>
    </row>
    <row r="12" spans="1:5" x14ac:dyDescent="0.25">
      <c r="A12" s="78" t="s">
        <v>74</v>
      </c>
      <c r="B12" s="78"/>
      <c r="C12" s="78"/>
      <c r="D12" s="78"/>
    </row>
    <row r="13" spans="1:5" x14ac:dyDescent="0.25">
      <c r="A13" s="78"/>
      <c r="B13" s="78"/>
      <c r="C13" s="78"/>
      <c r="D13" s="78"/>
    </row>
    <row r="14" spans="1:5" x14ac:dyDescent="0.25">
      <c r="A14" s="78"/>
      <c r="B14" s="78"/>
      <c r="C14" s="78"/>
      <c r="D14" s="78"/>
    </row>
    <row r="15" spans="1:5" x14ac:dyDescent="0.25">
      <c r="A15" s="78"/>
      <c r="B15" s="78"/>
      <c r="C15" s="78"/>
      <c r="D15" s="78"/>
    </row>
    <row r="16" spans="1:5" x14ac:dyDescent="0.25">
      <c r="A16" s="78"/>
      <c r="B16" s="78"/>
      <c r="C16" s="78"/>
      <c r="D16" s="78"/>
    </row>
    <row r="17" spans="1:4" x14ac:dyDescent="0.25">
      <c r="A17" s="78"/>
      <c r="B17" s="78"/>
      <c r="C17" s="78"/>
      <c r="D17" s="78"/>
    </row>
    <row r="18" spans="1:4" x14ac:dyDescent="0.25">
      <c r="A18" s="78"/>
      <c r="B18" s="78"/>
      <c r="C18" s="78"/>
      <c r="D18" s="78"/>
    </row>
  </sheetData>
  <mergeCells count="1">
    <mergeCell ref="A12:D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48"/>
  <sheetViews>
    <sheetView workbookViewId="0">
      <selection activeCell="K13" sqref="K13"/>
    </sheetView>
  </sheetViews>
  <sheetFormatPr defaultRowHeight="15" x14ac:dyDescent="0.25"/>
  <cols>
    <col min="9" max="9" width="38.42578125" bestFit="1" customWidth="1"/>
    <col min="27" max="27" width="15.7109375" customWidth="1"/>
  </cols>
  <sheetData>
    <row r="3" spans="2:28" x14ac:dyDescent="0.25">
      <c r="C3" t="s">
        <v>68</v>
      </c>
      <c r="E3" t="s">
        <v>85</v>
      </c>
      <c r="I3" t="s">
        <v>1</v>
      </c>
    </row>
    <row r="4" spans="2:28" x14ac:dyDescent="0.25">
      <c r="C4">
        <v>50</v>
      </c>
      <c r="E4">
        <v>58098.83</v>
      </c>
      <c r="F4" t="s">
        <v>90</v>
      </c>
      <c r="G4">
        <v>249</v>
      </c>
      <c r="H4">
        <v>32857.891566265062</v>
      </c>
      <c r="I4" t="s">
        <v>22</v>
      </c>
      <c r="J4" t="s">
        <v>70</v>
      </c>
      <c r="K4" t="s">
        <v>71</v>
      </c>
    </row>
    <row r="5" spans="2:28" x14ac:dyDescent="0.25">
      <c r="C5">
        <v>100</v>
      </c>
      <c r="E5">
        <v>47092.456721015005</v>
      </c>
      <c r="F5" t="s">
        <v>91</v>
      </c>
      <c r="G5">
        <v>161</v>
      </c>
      <c r="H5">
        <v>52638.863354037268</v>
      </c>
      <c r="I5" t="s">
        <v>23</v>
      </c>
    </row>
    <row r="6" spans="2:28" ht="14.45" customHeight="1" x14ac:dyDescent="0.25">
      <c r="B6">
        <v>1</v>
      </c>
      <c r="C6">
        <v>271</v>
      </c>
      <c r="E6">
        <v>34814.167334863378</v>
      </c>
      <c r="F6" t="s">
        <v>95</v>
      </c>
      <c r="G6">
        <v>404</v>
      </c>
      <c r="H6">
        <v>31071.982673267328</v>
      </c>
      <c r="I6" t="s">
        <v>24</v>
      </c>
      <c r="U6" s="97"/>
      <c r="V6" s="99" t="s">
        <v>58</v>
      </c>
      <c r="W6" s="100"/>
      <c r="X6" s="100"/>
      <c r="Y6" s="100"/>
      <c r="Z6" s="100"/>
      <c r="AA6" s="98" t="s">
        <v>59</v>
      </c>
      <c r="AB6" s="101"/>
    </row>
    <row r="7" spans="2:28" x14ac:dyDescent="0.25">
      <c r="B7">
        <v>2</v>
      </c>
      <c r="C7">
        <v>618</v>
      </c>
      <c r="E7">
        <v>27118.866685787936</v>
      </c>
      <c r="F7" t="s">
        <v>96</v>
      </c>
      <c r="G7">
        <v>615</v>
      </c>
      <c r="H7">
        <v>23968.183739837397</v>
      </c>
      <c r="I7" t="s">
        <v>25</v>
      </c>
      <c r="U7" s="97" t="s">
        <v>57</v>
      </c>
      <c r="V7" s="49" t="s">
        <v>60</v>
      </c>
      <c r="W7" s="48" t="s">
        <v>61</v>
      </c>
      <c r="X7" s="48" t="s">
        <v>62</v>
      </c>
      <c r="Y7" s="48" t="s">
        <v>63</v>
      </c>
      <c r="Z7" s="48" t="s">
        <v>64</v>
      </c>
      <c r="AA7" s="48" t="s">
        <v>65</v>
      </c>
      <c r="AB7" s="47" t="s">
        <v>66</v>
      </c>
    </row>
    <row r="8" spans="2:28" x14ac:dyDescent="0.25">
      <c r="B8">
        <v>3</v>
      </c>
      <c r="C8">
        <v>1136</v>
      </c>
      <c r="E8">
        <v>22550.592950490711</v>
      </c>
      <c r="F8" t="s">
        <v>97</v>
      </c>
      <c r="G8">
        <v>390</v>
      </c>
      <c r="H8">
        <v>49325.1</v>
      </c>
      <c r="I8" t="s">
        <v>26</v>
      </c>
      <c r="U8" s="46" t="s">
        <v>67</v>
      </c>
      <c r="V8" s="45">
        <v>0.89184428512437797</v>
      </c>
      <c r="W8" s="43">
        <v>41.229642194589061</v>
      </c>
      <c r="X8" s="44">
        <v>1</v>
      </c>
      <c r="Y8" s="44">
        <v>5</v>
      </c>
      <c r="Z8" s="43">
        <v>1.3600707554255504E-3</v>
      </c>
      <c r="AA8" s="43">
        <v>190097.93484002296</v>
      </c>
      <c r="AB8" s="42">
        <v>-0.30301302576889039</v>
      </c>
    </row>
    <row r="9" spans="2:28" ht="14.45" customHeight="1" x14ac:dyDescent="0.25">
      <c r="B9">
        <v>4</v>
      </c>
      <c r="C9">
        <v>2167</v>
      </c>
      <c r="E9">
        <v>18542.517459171599</v>
      </c>
      <c r="F9" t="s">
        <v>98</v>
      </c>
      <c r="G9">
        <v>850</v>
      </c>
      <c r="H9">
        <v>28841.821176470588</v>
      </c>
      <c r="I9" t="s">
        <v>27</v>
      </c>
      <c r="U9" s="102" t="s">
        <v>79</v>
      </c>
      <c r="V9" s="102"/>
      <c r="W9" s="102"/>
      <c r="X9" s="102"/>
      <c r="Y9" s="102"/>
      <c r="Z9" s="102"/>
      <c r="AA9" s="102"/>
      <c r="AB9" s="102"/>
    </row>
    <row r="10" spans="2:28" x14ac:dyDescent="0.25">
      <c r="B10">
        <v>5</v>
      </c>
      <c r="C10">
        <v>3145</v>
      </c>
      <c r="E10">
        <v>16563.525581172729</v>
      </c>
      <c r="F10" t="s">
        <v>99</v>
      </c>
      <c r="G10">
        <v>947</v>
      </c>
      <c r="H10">
        <v>16250.533262935585</v>
      </c>
      <c r="I10" t="s">
        <v>28</v>
      </c>
    </row>
    <row r="11" spans="2:28" x14ac:dyDescent="0.25">
      <c r="B11">
        <v>6</v>
      </c>
      <c r="C11">
        <v>4365</v>
      </c>
      <c r="E11">
        <v>14997.357983708369</v>
      </c>
      <c r="F11" t="s">
        <v>100</v>
      </c>
      <c r="G11">
        <v>1120</v>
      </c>
      <c r="H11">
        <v>18325.972321428573</v>
      </c>
      <c r="I11" t="s">
        <v>29</v>
      </c>
    </row>
    <row r="12" spans="2:28" x14ac:dyDescent="0.25">
      <c r="C12">
        <v>6000</v>
      </c>
      <c r="E12">
        <v>13619.098366673112</v>
      </c>
      <c r="F12" t="s">
        <v>101</v>
      </c>
      <c r="G12">
        <v>1048</v>
      </c>
      <c r="H12">
        <v>23867.862595419847</v>
      </c>
      <c r="I12" t="s">
        <v>30</v>
      </c>
    </row>
    <row r="13" spans="2:28" x14ac:dyDescent="0.25">
      <c r="C13">
        <v>8000</v>
      </c>
      <c r="E13">
        <v>12482.175717450669</v>
      </c>
      <c r="F13" t="s">
        <v>102</v>
      </c>
      <c r="G13">
        <v>1427</v>
      </c>
      <c r="H13">
        <v>20522.063069376312</v>
      </c>
      <c r="I13" t="s">
        <v>31</v>
      </c>
    </row>
    <row r="14" spans="2:28" x14ac:dyDescent="0.25">
      <c r="B14">
        <v>7</v>
      </c>
      <c r="C14">
        <v>9394</v>
      </c>
      <c r="E14">
        <v>11889.180787462372</v>
      </c>
      <c r="F14" t="s">
        <v>103</v>
      </c>
      <c r="G14">
        <v>2145</v>
      </c>
      <c r="H14">
        <v>18026.616317016316</v>
      </c>
      <c r="I14" t="s">
        <v>32</v>
      </c>
    </row>
    <row r="15" spans="2:28" x14ac:dyDescent="0.25">
      <c r="C15">
        <v>11000</v>
      </c>
      <c r="E15">
        <v>11333.98863993307</v>
      </c>
      <c r="F15" t="s">
        <v>103</v>
      </c>
      <c r="G15">
        <v>2080</v>
      </c>
      <c r="H15">
        <v>18369.772596153845</v>
      </c>
      <c r="I15" t="s">
        <v>33</v>
      </c>
    </row>
    <row r="16" spans="2:28" x14ac:dyDescent="0.25">
      <c r="C16">
        <v>13000</v>
      </c>
      <c r="E16">
        <v>10774.545905774861</v>
      </c>
      <c r="F16" t="s">
        <v>104</v>
      </c>
      <c r="G16">
        <v>1767</v>
      </c>
      <c r="H16">
        <v>14722.500848896434</v>
      </c>
      <c r="I16" t="s">
        <v>34</v>
      </c>
    </row>
    <row r="17" spans="6:9" x14ac:dyDescent="0.25">
      <c r="F17" t="s">
        <v>105</v>
      </c>
      <c r="G17">
        <v>1968</v>
      </c>
      <c r="H17">
        <v>18888.908028455284</v>
      </c>
      <c r="I17" t="s">
        <v>35</v>
      </c>
    </row>
    <row r="18" spans="6:9" x14ac:dyDescent="0.25">
      <c r="F18" t="s">
        <v>92</v>
      </c>
      <c r="G18">
        <v>2876</v>
      </c>
      <c r="H18">
        <v>11924.893602225313</v>
      </c>
      <c r="I18" t="s">
        <v>36</v>
      </c>
    </row>
    <row r="19" spans="6:9" x14ac:dyDescent="0.25">
      <c r="F19" t="s">
        <v>93</v>
      </c>
      <c r="G19">
        <v>2990</v>
      </c>
      <c r="H19">
        <v>14867.090969899666</v>
      </c>
      <c r="I19" t="s">
        <v>37</v>
      </c>
    </row>
    <row r="20" spans="6:9" x14ac:dyDescent="0.25">
      <c r="F20" t="s">
        <v>106</v>
      </c>
      <c r="G20">
        <v>2993</v>
      </c>
      <c r="H20">
        <v>12335.94320080187</v>
      </c>
      <c r="I20" t="s">
        <v>38</v>
      </c>
    </row>
    <row r="21" spans="6:9" x14ac:dyDescent="0.25">
      <c r="F21" t="s">
        <v>107</v>
      </c>
      <c r="G21">
        <v>2992</v>
      </c>
      <c r="H21">
        <v>17380.105280748663</v>
      </c>
      <c r="I21" t="s">
        <v>39</v>
      </c>
    </row>
    <row r="22" spans="6:9" x14ac:dyDescent="0.25">
      <c r="F22" t="s">
        <v>108</v>
      </c>
      <c r="G22">
        <v>3308</v>
      </c>
      <c r="H22">
        <v>13722.059854897219</v>
      </c>
      <c r="I22" t="s">
        <v>40</v>
      </c>
    </row>
    <row r="23" spans="6:9" x14ac:dyDescent="0.25">
      <c r="F23" t="s">
        <v>109</v>
      </c>
      <c r="G23">
        <v>3308</v>
      </c>
      <c r="H23">
        <v>15545.033555018137</v>
      </c>
      <c r="I23" t="s">
        <v>41</v>
      </c>
    </row>
    <row r="24" spans="6:9" x14ac:dyDescent="0.25">
      <c r="F24" t="s">
        <v>110</v>
      </c>
      <c r="G24">
        <v>3278</v>
      </c>
      <c r="H24">
        <v>14130.852348993289</v>
      </c>
      <c r="I24" t="s">
        <v>42</v>
      </c>
    </row>
    <row r="25" spans="6:9" x14ac:dyDescent="0.25">
      <c r="F25" t="s">
        <v>111</v>
      </c>
      <c r="G25">
        <v>2776</v>
      </c>
      <c r="H25">
        <v>28413.791786743517</v>
      </c>
      <c r="I25" t="s">
        <v>43</v>
      </c>
    </row>
    <row r="26" spans="6:9" x14ac:dyDescent="0.25">
      <c r="F26" t="s">
        <v>112</v>
      </c>
      <c r="G26">
        <v>5289</v>
      </c>
      <c r="H26">
        <v>14677.043486481376</v>
      </c>
      <c r="I26" t="s">
        <v>44</v>
      </c>
    </row>
    <row r="27" spans="6:9" x14ac:dyDescent="0.25">
      <c r="F27" t="s">
        <v>94</v>
      </c>
      <c r="G27">
        <v>4181</v>
      </c>
      <c r="H27">
        <v>17084.086342980147</v>
      </c>
      <c r="I27" t="s">
        <v>45</v>
      </c>
    </row>
    <row r="28" spans="6:9" x14ac:dyDescent="0.25">
      <c r="F28" t="s">
        <v>113</v>
      </c>
      <c r="G28">
        <v>5215</v>
      </c>
      <c r="H28">
        <v>13032.888015340364</v>
      </c>
      <c r="I28" t="s">
        <v>46</v>
      </c>
    </row>
    <row r="29" spans="6:9" x14ac:dyDescent="0.25">
      <c r="F29" t="s">
        <v>114</v>
      </c>
      <c r="G29">
        <v>7243</v>
      </c>
      <c r="H29">
        <v>12722.010216761011</v>
      </c>
      <c r="I29" t="s">
        <v>47</v>
      </c>
    </row>
    <row r="30" spans="6:9" x14ac:dyDescent="0.25">
      <c r="F30" t="s">
        <v>115</v>
      </c>
      <c r="G30">
        <v>9039</v>
      </c>
      <c r="H30">
        <v>10532.289301913928</v>
      </c>
      <c r="I30" t="s">
        <v>48</v>
      </c>
    </row>
    <row r="31" spans="6:9" x14ac:dyDescent="0.25">
      <c r="F31" t="s">
        <v>116</v>
      </c>
      <c r="G31">
        <v>11900</v>
      </c>
      <c r="H31">
        <v>15034.113193277311</v>
      </c>
      <c r="I31" t="s">
        <v>49</v>
      </c>
    </row>
    <row r="32" spans="6:9" x14ac:dyDescent="0.25">
      <c r="F32" t="s">
        <v>117</v>
      </c>
      <c r="H32">
        <v>15666.356460228442</v>
      </c>
      <c r="I32" t="s">
        <v>50</v>
      </c>
    </row>
    <row r="36" spans="3:7" x14ac:dyDescent="0.25">
      <c r="C36" t="s">
        <v>88</v>
      </c>
      <c r="E36">
        <v>50</v>
      </c>
      <c r="G36">
        <f>$AA$8*(E36^$AB$8)</f>
        <v>58098.826059518709</v>
      </c>
    </row>
    <row r="37" spans="3:7" x14ac:dyDescent="0.25">
      <c r="C37" t="s">
        <v>88</v>
      </c>
      <c r="E37">
        <v>100</v>
      </c>
      <c r="G37">
        <f t="shared" ref="G37:G48" si="0">$AA$8*(E37^$AB$8)</f>
        <v>47092.456721015005</v>
      </c>
    </row>
    <row r="38" spans="3:7" x14ac:dyDescent="0.25">
      <c r="C38">
        <v>1</v>
      </c>
      <c r="E38">
        <v>271</v>
      </c>
      <c r="G38">
        <f t="shared" si="0"/>
        <v>34814.167334863378</v>
      </c>
    </row>
    <row r="39" spans="3:7" x14ac:dyDescent="0.25">
      <c r="C39">
        <v>2</v>
      </c>
      <c r="E39">
        <v>618</v>
      </c>
      <c r="G39">
        <f t="shared" si="0"/>
        <v>27118.866685787936</v>
      </c>
    </row>
    <row r="40" spans="3:7" x14ac:dyDescent="0.25">
      <c r="C40">
        <v>3</v>
      </c>
      <c r="E40">
        <v>1136</v>
      </c>
      <c r="G40">
        <f t="shared" si="0"/>
        <v>22550.592950490711</v>
      </c>
    </row>
    <row r="41" spans="3:7" x14ac:dyDescent="0.25">
      <c r="C41">
        <v>4</v>
      </c>
      <c r="E41">
        <v>2167</v>
      </c>
      <c r="G41">
        <f t="shared" si="0"/>
        <v>18542.517459171599</v>
      </c>
    </row>
    <row r="42" spans="3:7" x14ac:dyDescent="0.25">
      <c r="C42">
        <v>5</v>
      </c>
      <c r="E42">
        <v>3145</v>
      </c>
      <c r="G42">
        <f t="shared" si="0"/>
        <v>16563.525581172729</v>
      </c>
    </row>
    <row r="43" spans="3:7" x14ac:dyDescent="0.25">
      <c r="C43">
        <v>6</v>
      </c>
      <c r="E43">
        <v>4365</v>
      </c>
      <c r="G43">
        <f t="shared" si="0"/>
        <v>14997.357983708369</v>
      </c>
    </row>
    <row r="44" spans="3:7" x14ac:dyDescent="0.25">
      <c r="C44" t="s">
        <v>88</v>
      </c>
      <c r="E44">
        <v>6000</v>
      </c>
      <c r="G44">
        <f t="shared" si="0"/>
        <v>13619.098366673112</v>
      </c>
    </row>
    <row r="45" spans="3:7" x14ac:dyDescent="0.25">
      <c r="C45" t="s">
        <v>88</v>
      </c>
      <c r="E45">
        <v>8000</v>
      </c>
      <c r="G45">
        <f t="shared" si="0"/>
        <v>12482.175717450669</v>
      </c>
    </row>
    <row r="46" spans="3:7" x14ac:dyDescent="0.25">
      <c r="C46">
        <v>7</v>
      </c>
      <c r="E46">
        <v>9394</v>
      </c>
      <c r="G46">
        <f t="shared" si="0"/>
        <v>11889.180787462372</v>
      </c>
    </row>
    <row r="47" spans="3:7" x14ac:dyDescent="0.25">
      <c r="C47" t="s">
        <v>88</v>
      </c>
      <c r="E47">
        <v>11000</v>
      </c>
      <c r="G47">
        <f t="shared" si="0"/>
        <v>11333.98863993307</v>
      </c>
    </row>
    <row r="48" spans="3:7" x14ac:dyDescent="0.25">
      <c r="C48" t="s">
        <v>88</v>
      </c>
      <c r="E48">
        <v>13000</v>
      </c>
      <c r="G48">
        <f t="shared" si="0"/>
        <v>10774.545905774861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2288968AE7C049B7B11A9750850B10" ma:contentTypeVersion="4" ma:contentTypeDescription="Create a new document." ma:contentTypeScope="" ma:versionID="d61fed4109eb8b9a8d112d3233972f64">
  <xsd:schema xmlns:xsd="http://www.w3.org/2001/XMLSchema" xmlns:xs="http://www.w3.org/2001/XMLSchema" xmlns:p="http://schemas.microsoft.com/office/2006/metadata/properties" xmlns:ns3="9a5abe50-b523-4702-8af2-903dc9767712" targetNamespace="http://schemas.microsoft.com/office/2006/metadata/properties" ma:root="true" ma:fieldsID="7b4249a247cdada1fac4957f106fdf4f" ns3:_="">
    <xsd:import namespace="9a5abe50-b523-4702-8af2-903dc97677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abe50-b523-4702-8af2-903dc9767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10F3DC-D087-4E11-9133-3A25AE8279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abe50-b523-4702-8af2-903dc97677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DBD4A2-6969-45FE-B232-706B1549629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9a5abe50-b523-4702-8af2-903dc9767712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D916FF-5336-41C7-B3C2-F6CD8242DF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Outputs Results</vt:lpstr>
      <vt:lpstr>SPSS Output 4</vt:lpstr>
      <vt:lpstr>Tiers by Output</vt:lpstr>
      <vt:lpstr>System vs. Expected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Hale, Ryan</dc:creator>
  <cp:keywords/>
  <dc:description/>
  <cp:lastModifiedBy>Sisley, Dottie</cp:lastModifiedBy>
  <cp:revision/>
  <dcterms:created xsi:type="dcterms:W3CDTF">2021-10-31T23:08:04Z</dcterms:created>
  <dcterms:modified xsi:type="dcterms:W3CDTF">2022-06-23T17:54:53Z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0x010100142288968AE7C049B7B11A9750850B10</vt:lpwstr>
  </property>
</Properties>
</file>