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7FF12696-E352-554E-A654-9EE9DF4DB01F}" xr6:coauthVersionLast="47" xr6:coauthVersionMax="47" xr10:uidLastSave="{00000000-0000-0000-0000-000000000000}"/>
  <bookViews>
    <workbookView xWindow="0" yWindow="500" windowWidth="23040" windowHeight="9300" xr2:uid="{00000000-000D-0000-FFFF-FFFF00000000}"/>
  </bookViews>
  <sheets>
    <sheet name="Sheet1" sheetId="1" r:id="rId1"/>
  </sheets>
  <definedNames>
    <definedName name="_xlnm._FilterDatabase" localSheetId="0" hidden="1">Sheet1!$A$9:$I$74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G54" i="1" l="1"/>
  <c r="H47" i="1" l="1"/>
  <c r="G47" i="1"/>
  <c r="I44" i="1" l="1"/>
  <c r="H43" i="1"/>
  <c r="G43" i="1"/>
  <c r="I43" i="1" l="1"/>
  <c r="H10" i="1"/>
  <c r="H69" i="1"/>
  <c r="H68" i="1"/>
  <c r="G68" i="1"/>
  <c r="H49" i="1"/>
  <c r="G49" i="1"/>
  <c r="H46" i="1"/>
  <c r="G46" i="1"/>
  <c r="G53" i="1"/>
  <c r="H53" i="1"/>
  <c r="H32" i="1"/>
  <c r="I34" i="1" l="1"/>
  <c r="I49" i="1"/>
  <c r="I50" i="1"/>
  <c r="I67" i="1"/>
  <c r="I68" i="1"/>
  <c r="I69" i="1"/>
  <c r="I65" i="1"/>
  <c r="I31" i="1"/>
  <c r="I36" i="1"/>
  <c r="I56" i="1"/>
  <c r="I58" i="1"/>
  <c r="I54" i="1"/>
  <c r="I55" i="1"/>
  <c r="I33" i="1"/>
  <c r="I29" i="1"/>
  <c r="I35" i="1"/>
  <c r="I63" i="1"/>
  <c r="I64" i="1"/>
  <c r="I32" i="1"/>
  <c r="I52" i="1"/>
  <c r="I53" i="1"/>
  <c r="I45" i="1"/>
  <c r="I46" i="1"/>
  <c r="I51" i="1"/>
  <c r="I66" i="1"/>
  <c r="I28" i="1"/>
  <c r="I47" i="1"/>
  <c r="I21" i="1"/>
  <c r="I70" i="1"/>
  <c r="I42" i="1"/>
  <c r="I40" i="1"/>
  <c r="I48" i="1"/>
  <c r="H41" i="1"/>
  <c r="G41" i="1"/>
  <c r="I41" i="1" l="1"/>
  <c r="G39" i="1"/>
  <c r="I39" i="1" s="1"/>
  <c r="H37" i="1"/>
  <c r="H38" i="1" s="1"/>
  <c r="G37" i="1"/>
  <c r="I37" i="1" s="1"/>
  <c r="G38" i="1" l="1"/>
  <c r="I38" i="1" s="1"/>
  <c r="G27" i="1" l="1"/>
  <c r="H27" i="1" s="1"/>
  <c r="G25" i="1"/>
  <c r="G26" i="1" s="1"/>
  <c r="G24" i="1"/>
  <c r="H24" i="1" s="1"/>
  <c r="I24" i="1" s="1"/>
  <c r="G22" i="1"/>
  <c r="G23" i="1" s="1"/>
  <c r="G62" i="1"/>
  <c r="H62" i="1" s="1"/>
  <c r="G60" i="1"/>
  <c r="G61" i="1" s="1"/>
  <c r="G19" i="1"/>
  <c r="H19" i="1" s="1"/>
  <c r="G17" i="1"/>
  <c r="H17" i="1" s="1"/>
  <c r="H18" i="1" s="1"/>
  <c r="H22" i="1" l="1"/>
  <c r="H23" i="1" s="1"/>
  <c r="I23" i="1" s="1"/>
  <c r="G18" i="1"/>
  <c r="H60" i="1"/>
  <c r="H61" i="1" s="1"/>
  <c r="H25" i="1"/>
  <c r="I25" i="1" s="1"/>
  <c r="I62" i="1"/>
  <c r="I27" i="1"/>
  <c r="H20" i="1"/>
  <c r="G20" i="1"/>
  <c r="I22" i="1" l="1"/>
  <c r="H26" i="1"/>
  <c r="I26" i="1" s="1"/>
  <c r="H14" i="1"/>
  <c r="H12" i="1"/>
  <c r="H74" i="1" s="1"/>
  <c r="G12" i="1"/>
  <c r="G13" i="1"/>
  <c r="I13" i="1" s="1"/>
  <c r="I73" i="1"/>
  <c r="I15" i="1"/>
  <c r="I16" i="1"/>
  <c r="I17" i="1"/>
  <c r="I18" i="1"/>
  <c r="I19" i="1"/>
  <c r="I20" i="1"/>
  <c r="I60" i="1"/>
  <c r="I61" i="1"/>
  <c r="I71" i="1"/>
  <c r="I72" i="1"/>
  <c r="G10" i="1"/>
  <c r="I12" i="1" l="1"/>
  <c r="G14" i="1"/>
  <c r="I14" i="1" s="1"/>
  <c r="I10" i="1"/>
  <c r="G74" i="1" l="1"/>
  <c r="I74" i="1" s="1"/>
  <c r="I81" i="1" l="1"/>
</calcChain>
</file>

<file path=xl/sharedStrings.xml><?xml version="1.0" encoding="utf-8"?>
<sst xmlns="http://schemas.openxmlformats.org/spreadsheetml/2006/main" count="113" uniqueCount="72">
  <si>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</si>
  <si>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</si>
  <si>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</si>
  <si>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</si>
  <si>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</si>
  <si>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</si>
  <si>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</si>
  <si>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</si>
  <si>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</si>
  <si>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</si>
  <si>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</si>
  <si>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</si>
  <si>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</si>
  <si>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</si>
  <si>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</si>
  <si>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</si>
  <si>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</si>
  <si>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</si>
  <si>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Indirect Cost</t>
  </si>
  <si>
    <t>FICA/Payroll taxes</t>
  </si>
  <si>
    <t>Field Trip - To address our LEA learning loss and provide additional enrichment, UCP will allocate $15,000 for educational field trips for summer learning program for Summer 2022, Summer 2023, and Summer 2025</t>
  </si>
  <si>
    <t>Supplemental Materials - To address our LEA learning loss, UCP will allocate $15,000 for evidence based curriculum materials for summer learning program for Summer 2022, Summer 2023, and Summer 2024</t>
  </si>
  <si>
    <t>Salaries - To address our LEA learning loss, UCP will allocate $126,000 in teacher supplements for after school/Saturday tutoring</t>
  </si>
  <si>
    <t>Salaries - To address our LEA learning loss, UCP will allocate $49,000 in Paraprofessional supplements for after school/Saturday tutoring</t>
  </si>
  <si>
    <t>Salaries - Family Services Social Workers (2) to provide outreach to students and families and mental health counseling services.</t>
  </si>
  <si>
    <t>health Insurance -  FSSW</t>
  </si>
  <si>
    <t>Other Certified Instructional Personnel - Curriculum Instruction Specialist focused on math/science to support and train teachers in strategies to address learning loss.</t>
  </si>
  <si>
    <t>Other Certified Instructional Personnel (2) - Interventionist to work with students with learning loss.</t>
  </si>
  <si>
    <r>
      <t>A)</t>
    </r>
    <r>
      <rPr>
        <u/>
        <sz val="11"/>
        <color theme="1"/>
        <rFont val="Arial"/>
        <family val="2"/>
      </rPr>
      <t xml:space="preserve"> UCP Charter School LEA__</t>
    </r>
    <r>
      <rPr>
        <sz val="11"/>
        <color theme="1"/>
        <rFont val="Arial"/>
        <family val="2"/>
      </rPr>
      <t xml:space="preserve">__
     Name of Eligible Recipient </t>
    </r>
  </si>
  <si>
    <t>2F</t>
  </si>
  <si>
    <t>Aides/paraprofessionals-One (2) Additional Bilingual Paraprofessionals to support ELL students with learning loss due to COVID</t>
  </si>
  <si>
    <t>Salary - Quality IEP Specialist to support teachers in writing IEP.</t>
  </si>
  <si>
    <t>ELL Coordinator - To support and train staff on ELL strategies and compliance</t>
  </si>
  <si>
    <t>FICA</t>
  </si>
  <si>
    <t>Training - Professional Development - Franklin Covey/Leader in Me Coaching Subscription/School Membership</t>
  </si>
  <si>
    <t>Technology-Related Noncapitalized furniture and equipment including classroom desktops and student laptops/tablets</t>
  </si>
  <si>
    <t>Technology-Related Noncapitalized furniture and equipment - teacher and paraprofessional laptops to  aid in regular and substantive educational interaction between students  and the teachers/paras.</t>
  </si>
  <si>
    <t>Training - Professional Development - Franklin Covey/Leader in Me - Social Emotional - Face to face trainings for 125 teachers and paraprofessionals</t>
  </si>
  <si>
    <t>Frog Street/PreK ESE Curriculum - 2 sets</t>
  </si>
  <si>
    <t>Training - Professional Development - Neuhaus Science of Reading with three days of face to face "stream live" (due to COVID), two self-paced online module and 3 hours of individualized coaching per year per teacher.  School Year 2021-2022 and School Year 2022-2023</t>
  </si>
  <si>
    <t>Training - Principal Professional Development - Sessions and individual coaching</t>
  </si>
  <si>
    <t>Classroom Books - Hi Interest/Low Level for struggling readers</t>
  </si>
  <si>
    <t>Power School Performance Matter Assessment - to support in assessments</t>
  </si>
  <si>
    <t>Training - Professional Development - Frog Street/ESE Curriculum - 3 Half Day Trainings</t>
  </si>
  <si>
    <t xml:space="preserve">Computer Software - On-Line - to purchase software program ( i.e. Athlos) to track IEP goals/progress monitoring supporting Students with Disabilities </t>
  </si>
  <si>
    <t>Rental - Curriculum - additional curriculum materials to support learning including Readopia, Carnegie Math, Raz Kids/ELL Learning A to Z, Accelerated Reading, Typing Club and Nearpod</t>
  </si>
  <si>
    <t>Health Insurance</t>
  </si>
  <si>
    <t>Floor Cleaning Machine</t>
  </si>
  <si>
    <t>Salary - To address our LEA learning loss, UCP Charter Schools will allocate $180,000 for salaries of Paraprofessionals for an evidence based Summer Learning Academy</t>
  </si>
  <si>
    <t>Salary - To address our LEA learning loss, UCP Charter Schools will allocate $120,000 for salaries of teachers for an evidence based Summer Learning Academy</t>
  </si>
  <si>
    <t>After School clubs</t>
  </si>
  <si>
    <t>2L</t>
  </si>
  <si>
    <t>Health Insurance - QIEP</t>
  </si>
  <si>
    <t>2S</t>
  </si>
  <si>
    <t>Health Insurance - ELL Paras</t>
  </si>
  <si>
    <t>Health Insurance - CIS Math</t>
  </si>
  <si>
    <t>Health Insurance - Interventionist</t>
  </si>
  <si>
    <t>Health Insurance/SLP</t>
  </si>
  <si>
    <t>Health Insurance - Recuiter</t>
  </si>
  <si>
    <t>Salary - .5 FTE Staff Recruiter to assist in recruiting/on-boarding teachers/paras to ensure the staffing of schools.</t>
  </si>
  <si>
    <t>Stipend - Paraprofessionals to learn strategies to support instruction.</t>
  </si>
  <si>
    <t>2R</t>
  </si>
  <si>
    <t>2K</t>
  </si>
  <si>
    <t>Computer Software - Online - to purchase software program to integrate curriculum and lesson planning</t>
  </si>
  <si>
    <r>
      <t>Materials and Supplies - Math Curriculum to align to BEST Standards for Math for grades K-12</t>
    </r>
    <r>
      <rPr>
        <vertAlign val="superscript"/>
        <sz val="10"/>
        <color theme="1"/>
        <rFont val="Calibri"/>
        <family val="2"/>
        <scheme val="minor"/>
      </rPr>
      <t>th</t>
    </r>
  </si>
  <si>
    <t>2N</t>
  </si>
  <si>
    <t>2J</t>
  </si>
  <si>
    <t>2I</t>
  </si>
  <si>
    <t>Computer Software - Professional Learning Management Tracking System</t>
  </si>
  <si>
    <t>Salaries - Behavior Coach to support social emotional functioning for students who were impacted by COVID.</t>
  </si>
  <si>
    <t>Salaries - 2 FTE Speech Language Pathologists to support language and reading development in classrooms for SWD and learning loss due to COVID.</t>
  </si>
  <si>
    <t>Salaries - Food Nutrition Manager to ensure coordination of meals for eligible students during long term closures.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</si>
</sst>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u/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/>
    <xf numFmtId="0" fontId="0" fillId="0" borderId="1" xfId="0" applyBorder="1"/>
    <xf numFmtId="44" fontId="0" fillId="0" borderId="0" xfId="1" applyFont="1"/>
    <xf numFmtId="164" fontId="0" fillId="0" borderId="0" xfId="1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75</xdr:row>
      <xdr:rowOff>1077</xdr:rowOff>
    </xdr:from>
    <xdr:to>
      <xdr:col>8</xdr:col>
      <xdr:colOff>950594</xdr:colOff>
      <xdr:row>77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style="14" bestFit="1" customWidth="1"/>
    <col min="2" max="2" width="7.1640625" style="14" customWidth="1"/>
    <col min="3" max="3" width="10.1640625" style="14" customWidth="1"/>
    <col min="4" max="4" width="9.6640625" style="14" customWidth="1"/>
    <col min="5" max="5" width="42.6640625" style="21" customWidth="1"/>
    <col min="6" max="6" width="8.1640625" bestFit="1" customWidth="1"/>
    <col min="7" max="7" width="16.33203125" style="6" customWidth="1"/>
    <col min="8" max="8" width="15.6640625" style="6" customWidth="1"/>
    <col min="9" max="9" width="17.1640625" style="6" customWidth="1"/>
    <col min="11" max="11" width="13.5" customWidth="1"/>
    <col min="12" max="12" width="12.5" bestFit="1" customWidth="1"/>
  </cols>
  <sheetData>
    <row r="1" spans="1:12" x14ac:dyDescent="0.2">
      <c r="A1" s="29" t="s">
        <v>28</v>
      </c>
      <c r="B1" s="30"/>
      <c r="C1" s="30"/>
      <c r="D1" s="30"/>
      <c r="H1" s="31" t="s">
        <v>17</v>
      </c>
      <c r="I1" s="32"/>
    </row>
    <row r="2" spans="1:12" x14ac:dyDescent="0.2">
      <c r="A2" s="30"/>
      <c r="B2" s="30"/>
      <c r="C2" s="30"/>
      <c r="D2" s="30"/>
      <c r="H2" s="32"/>
      <c r="I2" s="32"/>
    </row>
    <row r="3" spans="1:12" x14ac:dyDescent="0.2">
      <c r="A3" s="29" t="s">
        <v>8</v>
      </c>
      <c r="B3" s="30"/>
      <c r="C3" s="30"/>
      <c r="D3" s="30"/>
      <c r="H3" s="32"/>
      <c r="I3" s="32"/>
    </row>
    <row r="4" spans="1:12" x14ac:dyDescent="0.2">
      <c r="A4" s="30"/>
      <c r="B4" s="30"/>
      <c r="C4" s="30"/>
      <c r="D4" s="30"/>
    </row>
    <row r="6" spans="1:12" ht="23.25" customHeight="1" x14ac:dyDescent="0.25">
      <c r="A6" s="35" t="s">
        <v>3</v>
      </c>
      <c r="B6" s="35"/>
      <c r="C6" s="35"/>
      <c r="D6" s="35"/>
      <c r="E6" s="35"/>
      <c r="F6" s="35"/>
      <c r="G6" s="35"/>
      <c r="H6" s="35"/>
      <c r="I6" s="35"/>
    </row>
    <row r="7" spans="1:12" ht="23.25" customHeight="1" x14ac:dyDescent="0.25">
      <c r="A7" s="35" t="s">
        <v>15</v>
      </c>
      <c r="B7" s="35"/>
      <c r="C7" s="35"/>
      <c r="D7" s="35"/>
      <c r="E7" s="35"/>
      <c r="F7" s="35"/>
      <c r="G7" s="35"/>
      <c r="H7" s="35"/>
      <c r="I7" s="35"/>
    </row>
    <row r="9" spans="1:12" ht="42" x14ac:dyDescent="0.2">
      <c r="A9" s="12" t="s">
        <v>0</v>
      </c>
      <c r="B9" s="12" t="s">
        <v>1</v>
      </c>
      <c r="C9" s="13" t="s">
        <v>9</v>
      </c>
      <c r="D9" s="13" t="s">
        <v>10</v>
      </c>
      <c r="E9" s="1" t="s">
        <v>2</v>
      </c>
      <c r="F9" s="1" t="s">
        <v>4</v>
      </c>
      <c r="G9" s="7" t="s">
        <v>13</v>
      </c>
      <c r="H9" s="8" t="s">
        <v>12</v>
      </c>
      <c r="I9" s="9" t="s">
        <v>14</v>
      </c>
    </row>
    <row r="10" spans="1:12" ht="20" customHeight="1" x14ac:dyDescent="0.2">
      <c r="A10" s="2">
        <v>5100</v>
      </c>
      <c r="B10" s="2">
        <v>792</v>
      </c>
      <c r="C10" s="2" t="s">
        <v>53</v>
      </c>
      <c r="D10" s="2">
        <v>1</v>
      </c>
      <c r="E10" s="22" t="s">
        <v>18</v>
      </c>
      <c r="F10" s="2"/>
      <c r="G10" s="10">
        <f>135000/3*2</f>
        <v>90000</v>
      </c>
      <c r="H10" s="10">
        <f>135000/3+372</f>
        <v>45372</v>
      </c>
      <c r="I10" s="10">
        <f>G10+H10</f>
        <v>135372</v>
      </c>
    </row>
    <row r="11" spans="1:12" ht="45" x14ac:dyDescent="0.2">
      <c r="A11" s="2">
        <v>5100</v>
      </c>
      <c r="B11" s="2">
        <v>120</v>
      </c>
      <c r="C11" s="2">
        <v>1</v>
      </c>
      <c r="D11" s="2">
        <v>1</v>
      </c>
      <c r="E11" s="23" t="s">
        <v>49</v>
      </c>
      <c r="F11" s="4"/>
      <c r="G11" s="10">
        <v>90000</v>
      </c>
      <c r="H11" s="10">
        <v>30000</v>
      </c>
      <c r="I11" s="10">
        <f>G11+H11</f>
        <v>120000</v>
      </c>
    </row>
    <row r="12" spans="1:12" x14ac:dyDescent="0.2">
      <c r="A12" s="2">
        <v>5100</v>
      </c>
      <c r="B12" s="2">
        <v>220</v>
      </c>
      <c r="C12" s="2">
        <v>1</v>
      </c>
      <c r="D12" s="2">
        <v>1</v>
      </c>
      <c r="E12" s="23" t="s">
        <v>19</v>
      </c>
      <c r="F12" s="4"/>
      <c r="G12" s="10">
        <f>G11*0.0765</f>
        <v>6885</v>
      </c>
      <c r="H12" s="10">
        <f>H11*0.0765</f>
        <v>2295</v>
      </c>
      <c r="I12" s="10">
        <f t="shared" ref="I12:I72" si="0">G12+H12</f>
        <v>9180</v>
      </c>
    </row>
    <row r="13" spans="1:12" ht="58.5" customHeight="1" x14ac:dyDescent="0.2">
      <c r="A13" s="2">
        <v>5100</v>
      </c>
      <c r="B13" s="2">
        <v>130</v>
      </c>
      <c r="C13" s="2">
        <v>1</v>
      </c>
      <c r="D13" s="2">
        <v>1</v>
      </c>
      <c r="E13" s="22" t="s">
        <v>48</v>
      </c>
      <c r="F13" s="2"/>
      <c r="G13" s="10">
        <f>180000/3*2</f>
        <v>120000</v>
      </c>
      <c r="H13" s="10">
        <v>60000</v>
      </c>
      <c r="I13" s="10">
        <f t="shared" si="0"/>
        <v>180000</v>
      </c>
    </row>
    <row r="14" spans="1:12" ht="20" customHeight="1" x14ac:dyDescent="0.2">
      <c r="A14" s="2">
        <v>5100</v>
      </c>
      <c r="B14" s="2">
        <v>220</v>
      </c>
      <c r="C14" s="2">
        <v>1</v>
      </c>
      <c r="D14" s="2">
        <v>1</v>
      </c>
      <c r="E14" s="22" t="s">
        <v>19</v>
      </c>
      <c r="F14" s="2"/>
      <c r="G14" s="10">
        <f>G13*0.0765</f>
        <v>9180</v>
      </c>
      <c r="H14" s="10">
        <f>H13*0.0765</f>
        <v>4590</v>
      </c>
      <c r="I14" s="10">
        <f t="shared" si="0"/>
        <v>13770</v>
      </c>
      <c r="L14" s="5"/>
    </row>
    <row r="15" spans="1:12" ht="83.25" customHeight="1" x14ac:dyDescent="0.2">
      <c r="A15" s="2">
        <v>5100</v>
      </c>
      <c r="B15" s="2">
        <v>510</v>
      </c>
      <c r="C15" s="2">
        <v>1</v>
      </c>
      <c r="D15" s="2">
        <v>1</v>
      </c>
      <c r="E15" s="22" t="s">
        <v>21</v>
      </c>
      <c r="F15" s="2"/>
      <c r="G15" s="10">
        <v>10000</v>
      </c>
      <c r="H15" s="10">
        <v>5000</v>
      </c>
      <c r="I15" s="10">
        <f t="shared" si="0"/>
        <v>15000</v>
      </c>
    </row>
    <row r="16" spans="1:12" ht="84.75" customHeight="1" x14ac:dyDescent="0.2">
      <c r="A16" s="2">
        <v>5100</v>
      </c>
      <c r="B16" s="2">
        <v>790</v>
      </c>
      <c r="C16" s="2">
        <v>1</v>
      </c>
      <c r="D16" s="2">
        <v>1</v>
      </c>
      <c r="E16" s="22" t="s">
        <v>20</v>
      </c>
      <c r="F16" s="2"/>
      <c r="G16" s="10">
        <v>10000</v>
      </c>
      <c r="H16" s="10">
        <v>5000</v>
      </c>
      <c r="I16" s="10">
        <f t="shared" si="0"/>
        <v>15000</v>
      </c>
    </row>
    <row r="17" spans="1:12" ht="48" customHeight="1" x14ac:dyDescent="0.2">
      <c r="A17" s="2">
        <v>5100</v>
      </c>
      <c r="B17" s="2">
        <v>120</v>
      </c>
      <c r="C17" s="2">
        <v>1</v>
      </c>
      <c r="D17" s="2">
        <v>2</v>
      </c>
      <c r="E17" s="22" t="s">
        <v>22</v>
      </c>
      <c r="F17" s="2"/>
      <c r="G17" s="10">
        <f>126000/3*2</f>
        <v>84000</v>
      </c>
      <c r="H17" s="10">
        <f>126000-G17</f>
        <v>42000</v>
      </c>
      <c r="I17" s="10">
        <f t="shared" si="0"/>
        <v>126000</v>
      </c>
      <c r="K17" s="16"/>
      <c r="L17" s="16"/>
    </row>
    <row r="18" spans="1:12" ht="20" customHeight="1" x14ac:dyDescent="0.2">
      <c r="A18" s="2">
        <v>5100</v>
      </c>
      <c r="B18" s="2">
        <v>220</v>
      </c>
      <c r="C18" s="2">
        <v>1</v>
      </c>
      <c r="D18" s="2">
        <v>2</v>
      </c>
      <c r="E18" s="22" t="s">
        <v>19</v>
      </c>
      <c r="F18" s="2"/>
      <c r="G18" s="10">
        <f>G17*0.0765</f>
        <v>6426</v>
      </c>
      <c r="H18" s="10">
        <f>H17*0.0765</f>
        <v>3213</v>
      </c>
      <c r="I18" s="10">
        <f t="shared" si="0"/>
        <v>9639</v>
      </c>
    </row>
    <row r="19" spans="1:12" ht="58.5" customHeight="1" x14ac:dyDescent="0.2">
      <c r="A19" s="2">
        <v>5100</v>
      </c>
      <c r="B19" s="2">
        <v>130</v>
      </c>
      <c r="C19" s="2">
        <v>1</v>
      </c>
      <c r="D19" s="2">
        <v>2</v>
      </c>
      <c r="E19" s="22" t="s">
        <v>23</v>
      </c>
      <c r="F19" s="2"/>
      <c r="G19" s="10">
        <f>49000/3*2</f>
        <v>32666.666666666668</v>
      </c>
      <c r="H19" s="10">
        <f>49000-G19</f>
        <v>16333.333333333332</v>
      </c>
      <c r="I19" s="10">
        <f t="shared" si="0"/>
        <v>49000</v>
      </c>
    </row>
    <row r="20" spans="1:12" ht="20" customHeight="1" x14ac:dyDescent="0.2">
      <c r="A20" s="2">
        <v>5100</v>
      </c>
      <c r="B20" s="2">
        <v>220</v>
      </c>
      <c r="C20" s="2">
        <v>1</v>
      </c>
      <c r="D20" s="2">
        <v>2</v>
      </c>
      <c r="E20" s="22" t="s">
        <v>19</v>
      </c>
      <c r="F20" s="2"/>
      <c r="G20" s="10">
        <f>G19*0.0765</f>
        <v>2499</v>
      </c>
      <c r="H20" s="10">
        <f>H19*0.0765</f>
        <v>1249.4999999999998</v>
      </c>
      <c r="I20" s="10">
        <f t="shared" si="0"/>
        <v>3748.5</v>
      </c>
    </row>
    <row r="21" spans="1:12" ht="20" customHeight="1" x14ac:dyDescent="0.2">
      <c r="A21" s="2">
        <v>5100</v>
      </c>
      <c r="B21" s="2">
        <v>150</v>
      </c>
      <c r="C21" s="2">
        <v>1</v>
      </c>
      <c r="D21" s="2">
        <v>3</v>
      </c>
      <c r="E21" s="22" t="s">
        <v>50</v>
      </c>
      <c r="F21" s="2"/>
      <c r="G21" s="10">
        <v>3537</v>
      </c>
      <c r="H21" s="10"/>
      <c r="I21" s="10">
        <f>G21+H21</f>
        <v>3537</v>
      </c>
    </row>
    <row r="22" spans="1:12" ht="60.75" customHeight="1" x14ac:dyDescent="0.2">
      <c r="A22" s="2">
        <v>6300</v>
      </c>
      <c r="B22" s="2">
        <v>130</v>
      </c>
      <c r="C22" s="2">
        <v>1</v>
      </c>
      <c r="D22" s="2">
        <v>4</v>
      </c>
      <c r="E22" s="21" t="s">
        <v>27</v>
      </c>
      <c r="F22" s="26">
        <v>2</v>
      </c>
      <c r="G22" s="10">
        <f>200000/3*2</f>
        <v>133333.33333333334</v>
      </c>
      <c r="H22" s="10">
        <f>200001-G22</f>
        <v>66667.666666666657</v>
      </c>
      <c r="I22" s="10">
        <f t="shared" si="0"/>
        <v>200001</v>
      </c>
    </row>
    <row r="23" spans="1:12" ht="20" customHeight="1" x14ac:dyDescent="0.2">
      <c r="A23" s="2">
        <v>6300</v>
      </c>
      <c r="B23" s="2">
        <v>220</v>
      </c>
      <c r="C23" s="2">
        <v>1</v>
      </c>
      <c r="D23" s="2">
        <v>4</v>
      </c>
      <c r="E23" s="22" t="s">
        <v>19</v>
      </c>
      <c r="F23" s="2"/>
      <c r="G23" s="10">
        <f>G22*0.0765</f>
        <v>10200</v>
      </c>
      <c r="H23" s="10">
        <f>H22*0.0765</f>
        <v>5100.0764999999992</v>
      </c>
      <c r="I23" s="10">
        <f t="shared" si="0"/>
        <v>15300.076499999999</v>
      </c>
    </row>
    <row r="24" spans="1:12" ht="20" customHeight="1" x14ac:dyDescent="0.2">
      <c r="A24" s="2">
        <v>6300</v>
      </c>
      <c r="B24" s="2">
        <v>230</v>
      </c>
      <c r="C24" s="2">
        <v>1</v>
      </c>
      <c r="D24" s="2">
        <v>4</v>
      </c>
      <c r="E24" s="22" t="s">
        <v>56</v>
      </c>
      <c r="F24" s="2"/>
      <c r="G24" s="10">
        <f>27840/3*2</f>
        <v>18560</v>
      </c>
      <c r="H24" s="10">
        <f>27840-G24</f>
        <v>9280</v>
      </c>
      <c r="I24" s="10">
        <f t="shared" si="0"/>
        <v>27840</v>
      </c>
    </row>
    <row r="25" spans="1:12" ht="57" customHeight="1" x14ac:dyDescent="0.2">
      <c r="A25" s="2">
        <v>6300</v>
      </c>
      <c r="B25" s="2">
        <v>130</v>
      </c>
      <c r="C25" s="2">
        <v>1</v>
      </c>
      <c r="D25" s="2">
        <v>5</v>
      </c>
      <c r="E25" s="22" t="s">
        <v>26</v>
      </c>
      <c r="F25" s="2"/>
      <c r="G25" s="10">
        <f>83200/3*2</f>
        <v>55466.666666666664</v>
      </c>
      <c r="H25" s="10">
        <f>83200-G25</f>
        <v>27733.333333333336</v>
      </c>
      <c r="I25" s="10">
        <f t="shared" si="0"/>
        <v>83200</v>
      </c>
    </row>
    <row r="26" spans="1:12" ht="20" customHeight="1" x14ac:dyDescent="0.2">
      <c r="A26" s="2">
        <v>6300</v>
      </c>
      <c r="B26" s="2">
        <v>220</v>
      </c>
      <c r="C26" s="2">
        <v>1</v>
      </c>
      <c r="D26" s="2">
        <v>5</v>
      </c>
      <c r="E26" s="22" t="s">
        <v>19</v>
      </c>
      <c r="F26" s="2"/>
      <c r="G26" s="10">
        <f>G25*0.0765</f>
        <v>4243.2</v>
      </c>
      <c r="H26" s="10">
        <f>H25*0.0765</f>
        <v>2121.6000000000004</v>
      </c>
      <c r="I26" s="10">
        <f t="shared" si="0"/>
        <v>6364.8</v>
      </c>
    </row>
    <row r="27" spans="1:12" ht="20" customHeight="1" x14ac:dyDescent="0.2">
      <c r="A27" s="2">
        <v>6300</v>
      </c>
      <c r="B27" s="2">
        <v>230</v>
      </c>
      <c r="C27" s="2">
        <v>1</v>
      </c>
      <c r="D27" s="2">
        <v>5</v>
      </c>
      <c r="E27" s="22" t="s">
        <v>55</v>
      </c>
      <c r="F27" s="2"/>
      <c r="G27" s="10">
        <f>13920/3*2</f>
        <v>9280</v>
      </c>
      <c r="H27" s="10">
        <f>13920-G27</f>
        <v>4640</v>
      </c>
      <c r="I27" s="10">
        <f t="shared" si="0"/>
        <v>13920</v>
      </c>
    </row>
    <row r="28" spans="1:12" ht="44.25" customHeight="1" x14ac:dyDescent="0.2">
      <c r="A28" s="18">
        <v>5100</v>
      </c>
      <c r="B28" s="18">
        <v>610</v>
      </c>
      <c r="C28" s="2">
        <v>1</v>
      </c>
      <c r="D28" s="2">
        <v>6</v>
      </c>
      <c r="E28" s="19" t="s">
        <v>41</v>
      </c>
      <c r="F28" s="2"/>
      <c r="G28" s="10">
        <v>5000</v>
      </c>
      <c r="H28" s="10">
        <v>5000</v>
      </c>
      <c r="I28" s="10">
        <f t="shared" ref="I28:I36" si="1">G28+H28</f>
        <v>10000</v>
      </c>
    </row>
    <row r="29" spans="1:12" ht="80.25" customHeight="1" x14ac:dyDescent="0.2">
      <c r="A29" s="18">
        <v>6400</v>
      </c>
      <c r="B29" s="18">
        <v>311</v>
      </c>
      <c r="C29" s="2">
        <v>1</v>
      </c>
      <c r="D29" s="2">
        <v>7</v>
      </c>
      <c r="E29" s="19" t="s">
        <v>39</v>
      </c>
      <c r="F29" s="2"/>
      <c r="G29" s="10">
        <v>25000</v>
      </c>
      <c r="H29" s="10">
        <v>0</v>
      </c>
      <c r="I29" s="10">
        <f t="shared" si="1"/>
        <v>25000</v>
      </c>
    </row>
    <row r="30" spans="1:12" ht="80.25" customHeight="1" x14ac:dyDescent="0.2">
      <c r="A30" s="18">
        <v>6400</v>
      </c>
      <c r="B30" s="18">
        <v>312</v>
      </c>
      <c r="C30" s="2">
        <v>1</v>
      </c>
      <c r="D30" s="2">
        <v>7</v>
      </c>
      <c r="E30" s="19" t="s">
        <v>39</v>
      </c>
      <c r="F30" s="2"/>
      <c r="G30" s="10">
        <v>125000</v>
      </c>
      <c r="H30" s="10"/>
      <c r="I30" s="10">
        <v>125000</v>
      </c>
    </row>
    <row r="31" spans="1:12" ht="29.25" customHeight="1" x14ac:dyDescent="0.2">
      <c r="A31" s="2">
        <v>510</v>
      </c>
      <c r="B31" s="2">
        <v>510</v>
      </c>
      <c r="C31" s="2">
        <v>1</v>
      </c>
      <c r="D31" s="2">
        <v>8</v>
      </c>
      <c r="E31" s="21" t="s">
        <v>64</v>
      </c>
      <c r="F31" s="2"/>
      <c r="G31" s="10">
        <v>52000</v>
      </c>
      <c r="H31" s="10">
        <v>0</v>
      </c>
      <c r="I31" s="10">
        <f t="shared" si="1"/>
        <v>52000</v>
      </c>
    </row>
    <row r="32" spans="1:12" ht="66.75" customHeight="1" x14ac:dyDescent="0.2">
      <c r="A32" s="18">
        <v>5100</v>
      </c>
      <c r="B32" s="18">
        <v>369</v>
      </c>
      <c r="C32" s="2">
        <v>1</v>
      </c>
      <c r="D32" s="2">
        <v>9</v>
      </c>
      <c r="E32" s="20" t="s">
        <v>45</v>
      </c>
      <c r="F32" s="2"/>
      <c r="G32" s="10">
        <v>4950</v>
      </c>
      <c r="H32" s="10">
        <f>20361+25978</f>
        <v>46339</v>
      </c>
      <c r="I32" s="10">
        <f t="shared" si="1"/>
        <v>51289</v>
      </c>
    </row>
    <row r="33" spans="1:11" ht="20" customHeight="1" x14ac:dyDescent="0.2">
      <c r="A33" s="18">
        <v>5500</v>
      </c>
      <c r="B33" s="18">
        <v>520</v>
      </c>
      <c r="C33" s="2">
        <v>1</v>
      </c>
      <c r="D33" s="2">
        <v>10</v>
      </c>
      <c r="E33" s="20" t="s">
        <v>38</v>
      </c>
      <c r="F33" s="2"/>
      <c r="G33" s="10">
        <v>7000</v>
      </c>
      <c r="H33" s="10"/>
      <c r="I33" s="10">
        <f t="shared" si="1"/>
        <v>7000</v>
      </c>
    </row>
    <row r="34" spans="1:11" ht="44.25" customHeight="1" x14ac:dyDescent="0.2">
      <c r="A34" s="18">
        <v>6400</v>
      </c>
      <c r="B34" s="18">
        <v>310</v>
      </c>
      <c r="C34" s="2">
        <v>1</v>
      </c>
      <c r="D34" s="2">
        <v>10</v>
      </c>
      <c r="E34" s="19" t="s">
        <v>43</v>
      </c>
      <c r="F34" s="2"/>
      <c r="G34" s="10">
        <v>3500</v>
      </c>
      <c r="H34" s="10">
        <v>3500</v>
      </c>
      <c r="I34" s="10">
        <f t="shared" si="1"/>
        <v>7000</v>
      </c>
    </row>
    <row r="35" spans="1:11" ht="44.25" customHeight="1" x14ac:dyDescent="0.2">
      <c r="A35" s="18">
        <v>6300</v>
      </c>
      <c r="B35" s="18">
        <v>310</v>
      </c>
      <c r="C35" s="2">
        <v>1</v>
      </c>
      <c r="D35" s="2">
        <v>10</v>
      </c>
      <c r="E35" s="19" t="s">
        <v>40</v>
      </c>
      <c r="F35" s="2"/>
      <c r="G35" s="10"/>
      <c r="H35" s="10">
        <v>6000</v>
      </c>
      <c r="I35" s="10">
        <f t="shared" si="1"/>
        <v>6000</v>
      </c>
    </row>
    <row r="36" spans="1:11" ht="28.5" customHeight="1" x14ac:dyDescent="0.2">
      <c r="A36" s="2">
        <v>5100</v>
      </c>
      <c r="B36" s="2">
        <v>150</v>
      </c>
      <c r="C36" s="2">
        <v>1</v>
      </c>
      <c r="D36" s="2">
        <v>11</v>
      </c>
      <c r="E36" s="22" t="s">
        <v>60</v>
      </c>
      <c r="F36" s="2"/>
      <c r="G36" s="10">
        <v>23000</v>
      </c>
      <c r="H36" s="10">
        <v>23000</v>
      </c>
      <c r="I36" s="10">
        <f t="shared" si="1"/>
        <v>46000</v>
      </c>
    </row>
    <row r="37" spans="1:11" ht="57" customHeight="1" x14ac:dyDescent="0.2">
      <c r="A37" s="17">
        <v>5100</v>
      </c>
      <c r="B37" s="17">
        <v>150</v>
      </c>
      <c r="C37" s="2" t="s">
        <v>29</v>
      </c>
      <c r="D37" s="2">
        <v>1</v>
      </c>
      <c r="E37" s="19" t="s">
        <v>30</v>
      </c>
      <c r="F37" s="26">
        <v>2</v>
      </c>
      <c r="G37" s="10">
        <f>59800/2</f>
        <v>29900</v>
      </c>
      <c r="H37" s="10">
        <f>59800/2</f>
        <v>29900</v>
      </c>
      <c r="I37" s="10">
        <f t="shared" si="0"/>
        <v>59800</v>
      </c>
    </row>
    <row r="38" spans="1:11" ht="20" customHeight="1" x14ac:dyDescent="0.2">
      <c r="A38" s="2">
        <v>5100</v>
      </c>
      <c r="B38" s="2">
        <v>220</v>
      </c>
      <c r="C38" s="2" t="s">
        <v>29</v>
      </c>
      <c r="D38" s="2">
        <v>1</v>
      </c>
      <c r="E38" s="22" t="s">
        <v>19</v>
      </c>
      <c r="F38" s="2"/>
      <c r="G38" s="10">
        <f>G37*0.0765</f>
        <v>2287.35</v>
      </c>
      <c r="H38" s="10">
        <f>H37*0.0765</f>
        <v>2287.35</v>
      </c>
      <c r="I38" s="10">
        <f t="shared" si="0"/>
        <v>4574.7</v>
      </c>
    </row>
    <row r="39" spans="1:11" ht="20" customHeight="1" x14ac:dyDescent="0.2">
      <c r="A39" s="2">
        <v>5100</v>
      </c>
      <c r="B39" s="2">
        <v>230</v>
      </c>
      <c r="C39" s="2" t="s">
        <v>29</v>
      </c>
      <c r="D39" s="2">
        <v>1</v>
      </c>
      <c r="E39" s="22" t="s">
        <v>54</v>
      </c>
      <c r="F39" s="2"/>
      <c r="G39" s="10">
        <f>13900</f>
        <v>13900</v>
      </c>
      <c r="H39" s="10">
        <v>13900</v>
      </c>
      <c r="I39" s="10">
        <f t="shared" si="0"/>
        <v>27800</v>
      </c>
    </row>
    <row r="40" spans="1:11" ht="41.25" customHeight="1" x14ac:dyDescent="0.2">
      <c r="A40" s="18">
        <v>5100</v>
      </c>
      <c r="B40" s="18">
        <v>150</v>
      </c>
      <c r="C40" s="2" t="s">
        <v>29</v>
      </c>
      <c r="D40" s="2">
        <v>2</v>
      </c>
      <c r="E40" s="19" t="s">
        <v>32</v>
      </c>
      <c r="F40" s="26">
        <v>1</v>
      </c>
      <c r="G40" s="10">
        <v>35200</v>
      </c>
      <c r="H40" s="10">
        <v>35200</v>
      </c>
      <c r="I40" s="10">
        <f t="shared" si="0"/>
        <v>70400</v>
      </c>
    </row>
    <row r="41" spans="1:11" ht="20" customHeight="1" x14ac:dyDescent="0.2">
      <c r="A41" s="18">
        <v>5100</v>
      </c>
      <c r="B41" s="18">
        <v>220</v>
      </c>
      <c r="C41" s="2" t="s">
        <v>29</v>
      </c>
      <c r="D41" s="2">
        <v>2</v>
      </c>
      <c r="E41" s="20" t="s">
        <v>19</v>
      </c>
      <c r="F41" s="2"/>
      <c r="G41" s="10">
        <f>G40*0.0765</f>
        <v>2692.7999999999997</v>
      </c>
      <c r="H41" s="10">
        <f>H40*0.0765</f>
        <v>2692.7999999999997</v>
      </c>
      <c r="I41" s="10">
        <f t="shared" si="0"/>
        <v>5385.5999999999995</v>
      </c>
    </row>
    <row r="42" spans="1:11" ht="28.5" customHeight="1" x14ac:dyDescent="0.2">
      <c r="A42" s="2">
        <v>6190</v>
      </c>
      <c r="B42" s="2">
        <v>130</v>
      </c>
      <c r="C42" s="2" t="s">
        <v>29</v>
      </c>
      <c r="D42" s="2">
        <v>3</v>
      </c>
      <c r="E42" s="22" t="s">
        <v>31</v>
      </c>
      <c r="F42" s="26">
        <v>2</v>
      </c>
      <c r="G42" s="10">
        <v>67200</v>
      </c>
      <c r="H42" s="10">
        <v>20000</v>
      </c>
      <c r="I42" s="10">
        <f t="shared" ref="I42:I47" si="2">G42+H42</f>
        <v>87200</v>
      </c>
    </row>
    <row r="43" spans="1:11" ht="28.5" customHeight="1" x14ac:dyDescent="0.2">
      <c r="A43" s="2">
        <v>6190</v>
      </c>
      <c r="B43" s="2">
        <v>220</v>
      </c>
      <c r="C43" s="2" t="s">
        <v>29</v>
      </c>
      <c r="D43" s="2">
        <v>3</v>
      </c>
      <c r="E43" s="22" t="s">
        <v>19</v>
      </c>
      <c r="F43" s="2"/>
      <c r="G43" s="10">
        <f>G42*0.0765</f>
        <v>5140.8</v>
      </c>
      <c r="H43" s="10">
        <f>H42*0.0765</f>
        <v>1530</v>
      </c>
      <c r="I43" s="10">
        <f t="shared" si="2"/>
        <v>6670.8</v>
      </c>
    </row>
    <row r="44" spans="1:11" ht="28.5" customHeight="1" x14ac:dyDescent="0.2">
      <c r="A44" s="2">
        <v>6190</v>
      </c>
      <c r="B44" s="2">
        <v>230</v>
      </c>
      <c r="C44" s="2" t="s">
        <v>29</v>
      </c>
      <c r="D44" s="2">
        <v>3</v>
      </c>
      <c r="E44" s="22" t="s">
        <v>52</v>
      </c>
      <c r="F44" s="2"/>
      <c r="G44" s="10">
        <v>25600</v>
      </c>
      <c r="H44" s="10">
        <v>12800</v>
      </c>
      <c r="I44" s="10">
        <f t="shared" si="2"/>
        <v>38400</v>
      </c>
    </row>
    <row r="45" spans="1:11" ht="43.5" customHeight="1" x14ac:dyDescent="0.2">
      <c r="A45" s="2">
        <v>5200</v>
      </c>
      <c r="B45" s="2">
        <v>160</v>
      </c>
      <c r="C45" s="2" t="s">
        <v>29</v>
      </c>
      <c r="D45" s="2">
        <v>4</v>
      </c>
      <c r="E45" s="22" t="s">
        <v>69</v>
      </c>
      <c r="F45" s="2"/>
      <c r="G45" s="10">
        <v>42560</v>
      </c>
      <c r="H45" s="10">
        <v>8960</v>
      </c>
      <c r="I45" s="10">
        <f t="shared" si="2"/>
        <v>51520</v>
      </c>
    </row>
    <row r="46" spans="1:11" ht="20" customHeight="1" x14ac:dyDescent="0.2">
      <c r="A46" s="2">
        <v>5200</v>
      </c>
      <c r="B46" s="2">
        <v>220</v>
      </c>
      <c r="C46" s="2" t="s">
        <v>29</v>
      </c>
      <c r="D46" s="2">
        <v>4</v>
      </c>
      <c r="E46" s="20" t="s">
        <v>33</v>
      </c>
      <c r="F46" s="2"/>
      <c r="G46" s="10">
        <f>G45*0.0765</f>
        <v>3255.84</v>
      </c>
      <c r="H46" s="10">
        <f>H45*0.0765</f>
        <v>685.43999999999994</v>
      </c>
      <c r="I46" s="10">
        <f t="shared" si="2"/>
        <v>3941.28</v>
      </c>
      <c r="K46" s="16"/>
    </row>
    <row r="47" spans="1:11" ht="20" customHeight="1" x14ac:dyDescent="0.2">
      <c r="A47" s="2">
        <v>5200</v>
      </c>
      <c r="B47" s="2">
        <v>230</v>
      </c>
      <c r="C47" s="2" t="s">
        <v>29</v>
      </c>
      <c r="D47" s="2">
        <v>4</v>
      </c>
      <c r="E47" s="22" t="s">
        <v>46</v>
      </c>
      <c r="F47" s="2"/>
      <c r="G47" s="10">
        <f>3000</f>
        <v>3000</v>
      </c>
      <c r="H47" s="10">
        <f>9000</f>
        <v>9000</v>
      </c>
      <c r="I47" s="10">
        <f t="shared" si="2"/>
        <v>12000</v>
      </c>
    </row>
    <row r="48" spans="1:11" ht="42.75" customHeight="1" x14ac:dyDescent="0.2">
      <c r="A48" s="2">
        <v>6190</v>
      </c>
      <c r="B48" s="2">
        <v>130</v>
      </c>
      <c r="C48" s="2" t="s">
        <v>29</v>
      </c>
      <c r="D48" s="2">
        <v>5</v>
      </c>
      <c r="E48" s="22" t="s">
        <v>70</v>
      </c>
      <c r="F48" s="26">
        <v>2</v>
      </c>
      <c r="G48" s="10">
        <v>200000</v>
      </c>
      <c r="H48" s="10">
        <v>56000</v>
      </c>
      <c r="I48" s="10">
        <f t="shared" si="0"/>
        <v>256000</v>
      </c>
    </row>
    <row r="49" spans="1:9" ht="20" customHeight="1" x14ac:dyDescent="0.2">
      <c r="A49" s="2">
        <v>6190</v>
      </c>
      <c r="B49" s="2">
        <v>220</v>
      </c>
      <c r="C49" s="2" t="s">
        <v>29</v>
      </c>
      <c r="D49" s="2">
        <v>5</v>
      </c>
      <c r="E49" s="22" t="s">
        <v>19</v>
      </c>
      <c r="F49" s="2"/>
      <c r="G49" s="10">
        <f>G48*0.0765</f>
        <v>15300</v>
      </c>
      <c r="H49" s="10">
        <f>H48*0.0765</f>
        <v>4284</v>
      </c>
      <c r="I49" s="10">
        <f t="shared" si="0"/>
        <v>19584</v>
      </c>
    </row>
    <row r="50" spans="1:9" ht="20" customHeight="1" x14ac:dyDescent="0.2">
      <c r="A50" s="2">
        <v>6190</v>
      </c>
      <c r="B50" s="2">
        <v>230</v>
      </c>
      <c r="C50" s="2" t="s">
        <v>29</v>
      </c>
      <c r="D50" s="2">
        <v>5</v>
      </c>
      <c r="E50" s="22" t="s">
        <v>57</v>
      </c>
      <c r="F50" s="2"/>
      <c r="G50" s="10">
        <v>30000</v>
      </c>
      <c r="H50" s="10">
        <v>8400</v>
      </c>
      <c r="I50" s="10">
        <f t="shared" si="0"/>
        <v>38400</v>
      </c>
    </row>
    <row r="51" spans="1:9" ht="20" customHeight="1" x14ac:dyDescent="0.2">
      <c r="A51" s="2">
        <v>7900</v>
      </c>
      <c r="B51" s="2">
        <v>682</v>
      </c>
      <c r="C51" s="2" t="s">
        <v>67</v>
      </c>
      <c r="D51" s="2">
        <v>1</v>
      </c>
      <c r="E51" s="22" t="s">
        <v>47</v>
      </c>
      <c r="F51" s="2"/>
      <c r="G51" s="10">
        <v>16000</v>
      </c>
      <c r="H51" s="10"/>
      <c r="I51" s="10">
        <f t="shared" ref="I51:I64" si="3">G51+H51</f>
        <v>16000</v>
      </c>
    </row>
    <row r="52" spans="1:9" ht="49.5" customHeight="1" x14ac:dyDescent="0.2">
      <c r="A52" s="2">
        <v>5100</v>
      </c>
      <c r="B52" s="2">
        <v>150</v>
      </c>
      <c r="C52" s="2" t="s">
        <v>66</v>
      </c>
      <c r="D52" s="2">
        <v>1</v>
      </c>
      <c r="E52" s="22" t="s">
        <v>71</v>
      </c>
      <c r="F52" s="2"/>
      <c r="G52" s="10">
        <v>91744</v>
      </c>
      <c r="H52" s="10">
        <v>45872</v>
      </c>
      <c r="I52" s="10">
        <f t="shared" si="3"/>
        <v>137616</v>
      </c>
    </row>
    <row r="53" spans="1:9" ht="20" customHeight="1" x14ac:dyDescent="0.2">
      <c r="A53" s="2">
        <v>5100</v>
      </c>
      <c r="B53" s="2">
        <v>220</v>
      </c>
      <c r="C53" s="2" t="s">
        <v>66</v>
      </c>
      <c r="D53" s="2">
        <v>1</v>
      </c>
      <c r="E53" s="20" t="s">
        <v>33</v>
      </c>
      <c r="F53" s="2"/>
      <c r="G53" s="10">
        <f>G52*0.0765</f>
        <v>7018.4160000000002</v>
      </c>
      <c r="H53" s="10">
        <f>H52*0.0765</f>
        <v>3509.2080000000001</v>
      </c>
      <c r="I53" s="10">
        <f t="shared" si="3"/>
        <v>10527.624</v>
      </c>
    </row>
    <row r="54" spans="1:9" ht="45" customHeight="1" x14ac:dyDescent="0.2">
      <c r="A54" s="18">
        <v>5100</v>
      </c>
      <c r="B54" s="18">
        <v>644</v>
      </c>
      <c r="C54" s="2" t="s">
        <v>62</v>
      </c>
      <c r="D54" s="2">
        <v>1</v>
      </c>
      <c r="E54" s="19" t="s">
        <v>35</v>
      </c>
      <c r="F54" s="2"/>
      <c r="G54" s="10">
        <f>17000+16147+10000</f>
        <v>43147</v>
      </c>
      <c r="H54" s="10">
        <v>7000</v>
      </c>
      <c r="I54" s="10">
        <f t="shared" si="3"/>
        <v>50147</v>
      </c>
    </row>
    <row r="55" spans="1:9" ht="51" customHeight="1" x14ac:dyDescent="0.2">
      <c r="A55" s="18">
        <v>5100</v>
      </c>
      <c r="B55" s="18">
        <v>644</v>
      </c>
      <c r="C55" s="2" t="s">
        <v>62</v>
      </c>
      <c r="D55" s="2">
        <v>2</v>
      </c>
      <c r="E55" s="20" t="s">
        <v>36</v>
      </c>
      <c r="F55" s="2"/>
      <c r="G55" s="10">
        <v>30000</v>
      </c>
      <c r="H55" s="10">
        <v>4000</v>
      </c>
      <c r="I55" s="10">
        <f t="shared" si="3"/>
        <v>34000</v>
      </c>
    </row>
    <row r="56" spans="1:9" ht="43.5" customHeight="1" x14ac:dyDescent="0.2">
      <c r="A56" s="2">
        <v>6400</v>
      </c>
      <c r="B56" s="2">
        <v>311</v>
      </c>
      <c r="C56" s="2" t="s">
        <v>51</v>
      </c>
      <c r="D56" s="2">
        <v>1</v>
      </c>
      <c r="E56" s="22" t="s">
        <v>37</v>
      </c>
      <c r="F56" s="2"/>
      <c r="G56" s="10">
        <v>15000</v>
      </c>
      <c r="H56" s="10">
        <v>10000</v>
      </c>
      <c r="I56" s="10">
        <f t="shared" si="3"/>
        <v>25000</v>
      </c>
    </row>
    <row r="57" spans="1:9" ht="43.5" customHeight="1" x14ac:dyDescent="0.2">
      <c r="A57" s="2">
        <v>6400</v>
      </c>
      <c r="B57" s="2">
        <v>312</v>
      </c>
      <c r="C57" s="2" t="s">
        <v>51</v>
      </c>
      <c r="D57" s="2">
        <v>1</v>
      </c>
      <c r="E57" s="22" t="s">
        <v>37</v>
      </c>
      <c r="F57" s="2"/>
      <c r="G57" s="10">
        <v>5000</v>
      </c>
      <c r="H57" s="10"/>
      <c r="I57" s="10">
        <v>5000</v>
      </c>
    </row>
    <row r="58" spans="1:9" ht="45.75" customHeight="1" x14ac:dyDescent="0.2">
      <c r="A58" s="2">
        <v>6400</v>
      </c>
      <c r="B58" s="2">
        <v>311</v>
      </c>
      <c r="C58" s="2" t="s">
        <v>51</v>
      </c>
      <c r="D58" s="2">
        <v>1</v>
      </c>
      <c r="E58" s="22" t="s">
        <v>34</v>
      </c>
      <c r="F58" s="2"/>
      <c r="G58" s="10">
        <v>25000</v>
      </c>
      <c r="H58" s="10"/>
      <c r="I58" s="10">
        <f t="shared" si="3"/>
        <v>25000</v>
      </c>
    </row>
    <row r="59" spans="1:9" ht="45.75" customHeight="1" x14ac:dyDescent="0.2">
      <c r="A59" s="2">
        <v>6400</v>
      </c>
      <c r="B59" s="2">
        <v>312</v>
      </c>
      <c r="C59" s="2" t="s">
        <v>51</v>
      </c>
      <c r="D59" s="2">
        <v>1</v>
      </c>
      <c r="E59" s="22" t="s">
        <v>34</v>
      </c>
      <c r="F59" s="2"/>
      <c r="G59" s="10"/>
      <c r="H59" s="10"/>
      <c r="I59" s="10">
        <v>25000</v>
      </c>
    </row>
    <row r="60" spans="1:9" ht="42" customHeight="1" x14ac:dyDescent="0.2">
      <c r="A60" s="2">
        <v>6110</v>
      </c>
      <c r="B60" s="2">
        <v>100</v>
      </c>
      <c r="C60" s="2" t="s">
        <v>51</v>
      </c>
      <c r="D60" s="2">
        <v>2</v>
      </c>
      <c r="E60" s="22" t="s">
        <v>24</v>
      </c>
      <c r="F60" s="26">
        <v>2</v>
      </c>
      <c r="G60" s="10">
        <f>170520/3*2</f>
        <v>113680</v>
      </c>
      <c r="H60" s="10">
        <f>170520-G60</f>
        <v>56840</v>
      </c>
      <c r="I60" s="10">
        <f t="shared" si="3"/>
        <v>170520</v>
      </c>
    </row>
    <row r="61" spans="1:9" ht="20" customHeight="1" x14ac:dyDescent="0.2">
      <c r="A61" s="2">
        <v>6110</v>
      </c>
      <c r="B61" s="2">
        <v>220</v>
      </c>
      <c r="C61" s="2" t="s">
        <v>51</v>
      </c>
      <c r="D61" s="2">
        <v>2</v>
      </c>
      <c r="E61" s="22" t="s">
        <v>19</v>
      </c>
      <c r="F61" s="2"/>
      <c r="G61" s="10">
        <f>G60*0.0765</f>
        <v>8696.52</v>
      </c>
      <c r="H61" s="10">
        <f>H60*0.0765</f>
        <v>4348.26</v>
      </c>
      <c r="I61" s="10">
        <f t="shared" si="3"/>
        <v>13044.78</v>
      </c>
    </row>
    <row r="62" spans="1:9" ht="20" customHeight="1" x14ac:dyDescent="0.2">
      <c r="A62" s="2">
        <v>6110</v>
      </c>
      <c r="B62" s="2">
        <v>230</v>
      </c>
      <c r="C62" s="2" t="s">
        <v>51</v>
      </c>
      <c r="D62" s="2">
        <v>2</v>
      </c>
      <c r="E62" s="22" t="s">
        <v>25</v>
      </c>
      <c r="F62" s="2"/>
      <c r="G62" s="10">
        <f>27840/3*2</f>
        <v>18560</v>
      </c>
      <c r="H62" s="10">
        <f>27840-G62</f>
        <v>9280</v>
      </c>
      <c r="I62" s="10">
        <f t="shared" si="3"/>
        <v>27840</v>
      </c>
    </row>
    <row r="63" spans="1:9" ht="43.5" customHeight="1" x14ac:dyDescent="0.2">
      <c r="A63" s="18">
        <v>5100</v>
      </c>
      <c r="B63" s="18">
        <v>369</v>
      </c>
      <c r="C63" s="2" t="s">
        <v>65</v>
      </c>
      <c r="D63" s="2">
        <v>1</v>
      </c>
      <c r="E63" s="20" t="s">
        <v>42</v>
      </c>
      <c r="F63" s="2"/>
      <c r="G63" s="10">
        <v>9000</v>
      </c>
      <c r="H63" s="10">
        <v>9000</v>
      </c>
      <c r="I63" s="10">
        <f t="shared" si="3"/>
        <v>18000</v>
      </c>
    </row>
    <row r="64" spans="1:9" ht="45" customHeight="1" x14ac:dyDescent="0.2">
      <c r="A64" s="2">
        <v>5200</v>
      </c>
      <c r="B64" s="2">
        <v>369</v>
      </c>
      <c r="C64" s="2" t="s">
        <v>65</v>
      </c>
      <c r="D64" s="14">
        <v>2</v>
      </c>
      <c r="E64" s="24" t="s">
        <v>44</v>
      </c>
      <c r="F64" s="2"/>
      <c r="G64" s="10">
        <v>7500</v>
      </c>
      <c r="H64" s="10">
        <v>7500</v>
      </c>
      <c r="I64" s="10">
        <f t="shared" si="3"/>
        <v>15000</v>
      </c>
    </row>
    <row r="65" spans="1:11" ht="43.5" customHeight="1" x14ac:dyDescent="0.2">
      <c r="A65" s="2">
        <v>5100</v>
      </c>
      <c r="B65" s="2">
        <v>369</v>
      </c>
      <c r="C65" s="2" t="s">
        <v>65</v>
      </c>
      <c r="D65" s="2">
        <v>3</v>
      </c>
      <c r="E65" s="22" t="s">
        <v>63</v>
      </c>
      <c r="F65" s="2"/>
      <c r="G65" s="10">
        <v>6000</v>
      </c>
      <c r="H65" s="10">
        <v>12000</v>
      </c>
      <c r="I65" s="10">
        <f t="shared" ref="I65" si="4">G65+H65</f>
        <v>18000</v>
      </c>
    </row>
    <row r="66" spans="1:11" ht="39" customHeight="1" x14ac:dyDescent="0.2">
      <c r="A66" s="2">
        <v>5200</v>
      </c>
      <c r="B66" s="2">
        <v>369</v>
      </c>
      <c r="C66" s="2" t="s">
        <v>65</v>
      </c>
      <c r="D66" s="2">
        <v>4</v>
      </c>
      <c r="E66" s="22" t="s">
        <v>68</v>
      </c>
      <c r="F66" s="2"/>
      <c r="G66" s="10">
        <v>8000</v>
      </c>
      <c r="H66" s="10">
        <v>6400</v>
      </c>
      <c r="I66" s="10">
        <f>G66+H66</f>
        <v>14400</v>
      </c>
    </row>
    <row r="67" spans="1:11" ht="47.25" customHeight="1" x14ac:dyDescent="0.2">
      <c r="A67" s="2">
        <v>6400</v>
      </c>
      <c r="B67" s="2">
        <v>100</v>
      </c>
      <c r="C67" s="2" t="s">
        <v>61</v>
      </c>
      <c r="D67" s="2">
        <v>1</v>
      </c>
      <c r="E67" s="22" t="s">
        <v>59</v>
      </c>
      <c r="F67" s="2">
        <v>0.5</v>
      </c>
      <c r="G67" s="10">
        <v>32000</v>
      </c>
      <c r="H67" s="10">
        <v>15000</v>
      </c>
      <c r="I67" s="10">
        <f t="shared" si="0"/>
        <v>47000</v>
      </c>
    </row>
    <row r="68" spans="1:11" ht="20" customHeight="1" x14ac:dyDescent="0.2">
      <c r="A68" s="2">
        <v>6400</v>
      </c>
      <c r="B68" s="2">
        <v>120</v>
      </c>
      <c r="C68" s="2" t="s">
        <v>61</v>
      </c>
      <c r="D68" s="2">
        <v>1</v>
      </c>
      <c r="E68" s="22" t="s">
        <v>19</v>
      </c>
      <c r="F68" s="2"/>
      <c r="G68" s="10">
        <f>G67*0.0765</f>
        <v>2448</v>
      </c>
      <c r="H68" s="10">
        <f>H67*0.0765</f>
        <v>1147.5</v>
      </c>
      <c r="I68" s="10">
        <f t="shared" si="0"/>
        <v>3595.5</v>
      </c>
    </row>
    <row r="69" spans="1:11" ht="20" customHeight="1" x14ac:dyDescent="0.2">
      <c r="A69" s="2">
        <v>6500</v>
      </c>
      <c r="B69" s="2">
        <v>130</v>
      </c>
      <c r="C69" s="2" t="s">
        <v>61</v>
      </c>
      <c r="D69" s="2">
        <v>1</v>
      </c>
      <c r="E69" s="22" t="s">
        <v>58</v>
      </c>
      <c r="F69" s="2"/>
      <c r="G69" s="10">
        <v>3000</v>
      </c>
      <c r="H69" s="10">
        <f>13920-3000</f>
        <v>10920</v>
      </c>
      <c r="I69" s="10">
        <f t="shared" si="0"/>
        <v>13920</v>
      </c>
    </row>
    <row r="70" spans="1:11" ht="20" customHeight="1" x14ac:dyDescent="0.2">
      <c r="A70" s="2"/>
      <c r="B70" s="2"/>
      <c r="C70" s="2"/>
      <c r="D70" s="2"/>
      <c r="E70" s="22"/>
      <c r="F70" s="2"/>
      <c r="G70" s="10"/>
      <c r="H70" s="10"/>
      <c r="I70" s="10">
        <f t="shared" si="0"/>
        <v>0</v>
      </c>
    </row>
    <row r="71" spans="1:11" ht="20" customHeight="1" x14ac:dyDescent="0.2">
      <c r="A71" s="2"/>
      <c r="B71" s="2"/>
      <c r="C71" s="2"/>
      <c r="D71" s="2"/>
      <c r="E71" s="22"/>
      <c r="F71" s="2"/>
      <c r="G71" s="10"/>
      <c r="H71" s="10"/>
      <c r="I71" s="10">
        <f t="shared" si="0"/>
        <v>0</v>
      </c>
    </row>
    <row r="72" spans="1:11" ht="20" customHeight="1" x14ac:dyDescent="0.2">
      <c r="A72" s="2"/>
      <c r="B72" s="2"/>
      <c r="C72" s="2"/>
      <c r="D72" s="2"/>
      <c r="E72" s="22"/>
      <c r="F72" s="2"/>
      <c r="G72" s="10"/>
      <c r="H72" s="10"/>
      <c r="I72" s="10">
        <f t="shared" si="0"/>
        <v>0</v>
      </c>
    </row>
    <row r="73" spans="1:11" ht="20" customHeight="1" x14ac:dyDescent="0.2">
      <c r="A73" s="2"/>
      <c r="B73" s="2"/>
      <c r="C73" s="2"/>
      <c r="D73" s="2"/>
      <c r="E73" s="22"/>
      <c r="F73" s="2"/>
      <c r="G73" s="10"/>
      <c r="H73" s="10"/>
      <c r="I73" s="10">
        <f>G73+H73</f>
        <v>0</v>
      </c>
    </row>
    <row r="74" spans="1:11" x14ac:dyDescent="0.2">
      <c r="A74" s="33" t="s">
        <v>5</v>
      </c>
      <c r="B74" s="33"/>
      <c r="C74" s="33"/>
      <c r="D74" s="33"/>
      <c r="E74" s="33"/>
      <c r="F74" s="33"/>
      <c r="G74" s="10">
        <f>SUM(G10:G73)</f>
        <v>1859557.5926666667</v>
      </c>
      <c r="H74" s="10">
        <f>SUM(H10:H73)</f>
        <v>822891.06783333316</v>
      </c>
      <c r="I74" s="10">
        <f>G74+H74</f>
        <v>2682448.6604999998</v>
      </c>
      <c r="K74" s="16"/>
    </row>
    <row r="75" spans="1:11" x14ac:dyDescent="0.2">
      <c r="K75" s="25"/>
    </row>
    <row r="76" spans="1:11" x14ac:dyDescent="0.2">
      <c r="A76" s="34" t="s">
        <v>16</v>
      </c>
      <c r="B76" s="34"/>
      <c r="C76" s="34"/>
    </row>
    <row r="77" spans="1:11" x14ac:dyDescent="0.2">
      <c r="A77" s="15"/>
      <c r="B77" s="15"/>
      <c r="C77" s="15" t="s">
        <v>7</v>
      </c>
      <c r="D77" s="28" t="s">
        <v>6</v>
      </c>
      <c r="E77" s="28"/>
      <c r="F77" s="3"/>
      <c r="G77" s="11"/>
    </row>
    <row r="79" spans="1:11" x14ac:dyDescent="0.2">
      <c r="A79" s="27" t="s">
        <v>11</v>
      </c>
      <c r="B79" s="27"/>
      <c r="C79" s="27"/>
      <c r="D79" s="27"/>
      <c r="E79" s="27"/>
      <c r="F79" s="27"/>
      <c r="G79" s="27"/>
    </row>
    <row r="81" spans="9:9" x14ac:dyDescent="0.2">
      <c r="I81" s="6">
        <f>2707449-I74</f>
        <v>25000.339500000235</v>
      </c>
    </row>
  </sheetData>
  <autoFilter ref="A9:I74" xr:uid="{00000000-0009-0000-0000-000000000000}"/>
  <mergeCells count="9">
    <mergeCell ref="A79:G79"/>
    <mergeCell ref="D77:E77"/>
    <mergeCell ref="A1:D2"/>
    <mergeCell ref="H1:I3"/>
    <mergeCell ref="A3:D4"/>
    <mergeCell ref="A74:F74"/>
    <mergeCell ref="A76:C76"/>
    <mergeCell ref="A7:I7"/>
    <mergeCell ref="A6:I6"/>
  </mergeCells>
  <phoneticPr fontId="7" type="noConversion"/>
  <printOptions gridLines="1"/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dcmitype/"/>
    <ds:schemaRef ds:uri="6175c4d1-a53c-410c-92b6-74bcb683b4aa"/>
    <ds:schemaRef ds:uri="http://purl.org/dc/elements/1.1/"/>
    <ds:schemaRef ds:uri="http://schemas.microsoft.com/office/2006/metadata/properties"/>
    <ds:schemaRef ds:uri="http://schemas.microsoft.com/office/2006/documentManagement/types"/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2022-02-03T19:33:55Z</cp:lastPrinted>
  <dcterms:created xsi:type="dcterms:W3CDTF">2021-06-09T18:28:06Z</dcterms:created>
  <dcterms:modified xsi:type="dcterms:W3CDTF">2022-04-11T18:05:54Z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