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E050ECA1-5843-2347-83DD-7A860C2559F9}" xr6:coauthVersionLast="47" xr6:coauthVersionMax="47" xr10:uidLastSave="{00000000-0000-0000-0000-000000000000}"/>
  <bookViews>
    <workbookView xWindow="0" yWindow="500" windowWidth="24240" windowHeight="13140" xr2:uid="{00000000-000D-0000-FFFF-FFFF00000000}"/>
  </bookViews>
  <sheets>
    <sheet name="Sheet1" sheetId="1" r:id="rId1"/>
    <sheet name="Sheet3" sheetId="3" r:id="rId2"/>
  </sheets>
  <definedNames>
    <definedName name="_xlnm._FilterDatabase" localSheetId="0" hidden="1">Sheet1!$A$9:$I$285</definedName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_xlnm.Print_Area" localSheetId="0">Sheet1!$A$1:$I$286</definedName>
    <definedName name="Total_allocation">Sheet1!$I$9</definedName>
    <definedName name="Use_of__Funds_Number">Sheet1!$C$9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1" l="1"/>
  <c r="H74" i="1"/>
  <c r="H66" i="1"/>
  <c r="I66" i="1" s="1"/>
  <c r="H65" i="1"/>
  <c r="I65" i="1" s="1"/>
  <c r="H64" i="1"/>
  <c r="I64" i="1" s="1"/>
  <c r="I63" i="1"/>
  <c r="F164" i="1" l="1"/>
  <c r="G167" i="1" s="1"/>
  <c r="G168" i="1"/>
  <c r="I168" i="1" s="1"/>
  <c r="G166" i="1"/>
  <c r="I166" i="1" s="1"/>
  <c r="G165" i="1"/>
  <c r="M8" i="1"/>
  <c r="L8" i="1"/>
  <c r="K257" i="1"/>
  <c r="G257" i="1" s="1"/>
  <c r="I257" i="1" s="1"/>
  <c r="K254" i="1"/>
  <c r="G254" i="1" s="1"/>
  <c r="I254" i="1" s="1"/>
  <c r="K251" i="1"/>
  <c r="G251" i="1" s="1"/>
  <c r="K248" i="1"/>
  <c r="G248" i="1" s="1"/>
  <c r="I248" i="1" s="1"/>
  <c r="K245" i="1"/>
  <c r="G245" i="1" s="1"/>
  <c r="I245" i="1" s="1"/>
  <c r="K242" i="1"/>
  <c r="G242" i="1" s="1"/>
  <c r="I242" i="1" s="1"/>
  <c r="K239" i="1"/>
  <c r="G239" i="1" s="1"/>
  <c r="I239" i="1" s="1"/>
  <c r="K236" i="1"/>
  <c r="G236" i="1" s="1"/>
  <c r="I236" i="1" s="1"/>
  <c r="K233" i="1"/>
  <c r="G233" i="1" s="1"/>
  <c r="I233" i="1" s="1"/>
  <c r="K230" i="1"/>
  <c r="G230" i="1" s="1"/>
  <c r="I230" i="1" s="1"/>
  <c r="K227" i="1"/>
  <c r="G227" i="1" s="1"/>
  <c r="I227" i="1" s="1"/>
  <c r="K224" i="1"/>
  <c r="G224" i="1" s="1"/>
  <c r="I224" i="1" s="1"/>
  <c r="K221" i="1"/>
  <c r="G221" i="1" s="1"/>
  <c r="I221" i="1" s="1"/>
  <c r="K218" i="1"/>
  <c r="G218" i="1" s="1"/>
  <c r="I218" i="1" s="1"/>
  <c r="K215" i="1"/>
  <c r="G215" i="1" s="1"/>
  <c r="I215" i="1" s="1"/>
  <c r="K212" i="1"/>
  <c r="G212" i="1" s="1"/>
  <c r="I212" i="1" s="1"/>
  <c r="K209" i="1"/>
  <c r="G209" i="1" s="1"/>
  <c r="I209" i="1" s="1"/>
  <c r="K206" i="1"/>
  <c r="G206" i="1" s="1"/>
  <c r="I206" i="1" s="1"/>
  <c r="K203" i="1"/>
  <c r="G203" i="1" s="1"/>
  <c r="G205" i="1" s="1"/>
  <c r="K200" i="1"/>
  <c r="G200" i="1" s="1"/>
  <c r="I200" i="1" s="1"/>
  <c r="K197" i="1"/>
  <c r="G197" i="1" s="1"/>
  <c r="I197" i="1" s="1"/>
  <c r="K194" i="1"/>
  <c r="G194" i="1" s="1"/>
  <c r="G196" i="1" s="1"/>
  <c r="K191" i="1"/>
  <c r="G191" i="1" s="1"/>
  <c r="I191" i="1" s="1"/>
  <c r="K188" i="1"/>
  <c r="G188" i="1" s="1"/>
  <c r="I188" i="1" s="1"/>
  <c r="K185" i="1"/>
  <c r="G185" i="1" s="1"/>
  <c r="I185" i="1" s="1"/>
  <c r="K182" i="1"/>
  <c r="G182" i="1" s="1"/>
  <c r="I182" i="1" s="1"/>
  <c r="K179" i="1"/>
  <c r="G179" i="1" s="1"/>
  <c r="G181" i="1" s="1"/>
  <c r="K176" i="1"/>
  <c r="G176" i="1" s="1"/>
  <c r="I176" i="1" s="1"/>
  <c r="K173" i="1"/>
  <c r="G173" i="1" s="1"/>
  <c r="G175" i="1" s="1"/>
  <c r="K170" i="1"/>
  <c r="G170" i="1" s="1"/>
  <c r="G172" i="1" s="1"/>
  <c r="I12" i="1"/>
  <c r="I14" i="1"/>
  <c r="I15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3" i="1"/>
  <c r="I54" i="1"/>
  <c r="I55" i="1"/>
  <c r="I56" i="1"/>
  <c r="I57" i="1"/>
  <c r="I58" i="1"/>
  <c r="I59" i="1"/>
  <c r="I60" i="1"/>
  <c r="I61" i="1"/>
  <c r="I62" i="1"/>
  <c r="I67" i="1"/>
  <c r="I68" i="1"/>
  <c r="I69" i="1"/>
  <c r="I70" i="1"/>
  <c r="I71" i="1"/>
  <c r="I72" i="1"/>
  <c r="I77" i="1"/>
  <c r="I79" i="1"/>
  <c r="I80" i="1"/>
  <c r="I81" i="1"/>
  <c r="I82" i="1"/>
  <c r="I83" i="1"/>
  <c r="I84" i="1"/>
  <c r="I85" i="1"/>
  <c r="I87" i="1"/>
  <c r="I88" i="1"/>
  <c r="I89" i="1"/>
  <c r="I90" i="1"/>
  <c r="I91" i="1"/>
  <c r="I92" i="1"/>
  <c r="I93" i="1"/>
  <c r="I94" i="1"/>
  <c r="I95" i="1"/>
  <c r="I97" i="1"/>
  <c r="I98" i="1"/>
  <c r="I99" i="1"/>
  <c r="I100" i="1"/>
  <c r="I101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9" i="1"/>
  <c r="I261" i="1"/>
  <c r="I262" i="1"/>
  <c r="I265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102" i="1"/>
  <c r="M283" i="1"/>
  <c r="H10" i="1"/>
  <c r="I10" i="1" s="1"/>
  <c r="I167" i="1" l="1"/>
  <c r="G193" i="1"/>
  <c r="I193" i="1" s="1"/>
  <c r="G199" i="1"/>
  <c r="I199" i="1" s="1"/>
  <c r="G178" i="1"/>
  <c r="I178" i="1" s="1"/>
  <c r="G202" i="1"/>
  <c r="I202" i="1" s="1"/>
  <c r="G184" i="1"/>
  <c r="I184" i="1" s="1"/>
  <c r="G208" i="1"/>
  <c r="I208" i="1" s="1"/>
  <c r="G187" i="1"/>
  <c r="I187" i="1" s="1"/>
  <c r="G211" i="1"/>
  <c r="I211" i="1" s="1"/>
  <c r="G190" i="1"/>
  <c r="I190" i="1" s="1"/>
  <c r="G214" i="1"/>
  <c r="I214" i="1" s="1"/>
  <c r="G259" i="1"/>
  <c r="I259" i="1" s="1"/>
  <c r="G237" i="1"/>
  <c r="I237" i="1" s="1"/>
  <c r="G222" i="1"/>
  <c r="I222" i="1" s="1"/>
  <c r="G189" i="1"/>
  <c r="I189" i="1" s="1"/>
  <c r="G213" i="1"/>
  <c r="I213" i="1" s="1"/>
  <c r="G210" i="1"/>
  <c r="I210" i="1" s="1"/>
  <c r="G249" i="1"/>
  <c r="I249" i="1" s="1"/>
  <c r="G225" i="1"/>
  <c r="I225" i="1" s="1"/>
  <c r="G238" i="1"/>
  <c r="I238" i="1" s="1"/>
  <c r="G246" i="1"/>
  <c r="I246" i="1" s="1"/>
  <c r="G198" i="1"/>
  <c r="I198" i="1" s="1"/>
  <c r="G186" i="1"/>
  <c r="I186" i="1" s="1"/>
  <c r="G174" i="1"/>
  <c r="I203" i="1"/>
  <c r="I205" i="1"/>
  <c r="G204" i="1"/>
  <c r="I204" i="1" s="1"/>
  <c r="I251" i="1"/>
  <c r="G253" i="1"/>
  <c r="I253" i="1" s="1"/>
  <c r="G252" i="1"/>
  <c r="I252" i="1" s="1"/>
  <c r="I194" i="1"/>
  <c r="I196" i="1"/>
  <c r="G195" i="1"/>
  <c r="I195" i="1" s="1"/>
  <c r="I179" i="1"/>
  <c r="I181" i="1"/>
  <c r="G180" i="1"/>
  <c r="I180" i="1" s="1"/>
  <c r="G192" i="1"/>
  <c r="I192" i="1" s="1"/>
  <c r="G216" i="1"/>
  <c r="I216" i="1" s="1"/>
  <c r="G228" i="1"/>
  <c r="I228" i="1" s="1"/>
  <c r="G240" i="1"/>
  <c r="I240" i="1" s="1"/>
  <c r="G177" i="1"/>
  <c r="I177" i="1" s="1"/>
  <c r="G201" i="1"/>
  <c r="I201" i="1" s="1"/>
  <c r="G250" i="1"/>
  <c r="I250" i="1" s="1"/>
  <c r="G217" i="1"/>
  <c r="I217" i="1" s="1"/>
  <c r="G229" i="1"/>
  <c r="I229" i="1" s="1"/>
  <c r="G241" i="1"/>
  <c r="I241" i="1" s="1"/>
  <c r="G171" i="1"/>
  <c r="G183" i="1"/>
  <c r="I183" i="1" s="1"/>
  <c r="G207" i="1"/>
  <c r="I207" i="1" s="1"/>
  <c r="G219" i="1"/>
  <c r="G231" i="1"/>
  <c r="I231" i="1" s="1"/>
  <c r="G243" i="1"/>
  <c r="I243" i="1" s="1"/>
  <c r="G255" i="1"/>
  <c r="I255" i="1" s="1"/>
  <c r="G226" i="1"/>
  <c r="I226" i="1" s="1"/>
  <c r="G220" i="1"/>
  <c r="I220" i="1" s="1"/>
  <c r="G232" i="1"/>
  <c r="I232" i="1" s="1"/>
  <c r="G244" i="1"/>
  <c r="I244" i="1" s="1"/>
  <c r="G256" i="1"/>
  <c r="I256" i="1" s="1"/>
  <c r="G234" i="1"/>
  <c r="I234" i="1" s="1"/>
  <c r="G223" i="1"/>
  <c r="I223" i="1" s="1"/>
  <c r="G235" i="1"/>
  <c r="I235" i="1" s="1"/>
  <c r="G247" i="1"/>
  <c r="I247" i="1" s="1"/>
  <c r="G258" i="1"/>
  <c r="I258" i="1" s="1"/>
  <c r="I165" i="1"/>
  <c r="I219" i="1" l="1"/>
  <c r="G86" i="1"/>
  <c r="L283" i="1" s="1"/>
  <c r="G96" i="1"/>
  <c r="I96" i="1" s="1"/>
  <c r="N283" i="1" l="1"/>
  <c r="I86" i="1"/>
  <c r="G52" i="1"/>
  <c r="H264" i="1"/>
  <c r="I264" i="1" s="1"/>
  <c r="H263" i="1"/>
  <c r="I263" i="1" s="1"/>
  <c r="H260" i="1"/>
  <c r="I260" i="1" s="1"/>
  <c r="I52" i="1" l="1"/>
  <c r="L282" i="1"/>
  <c r="I171" i="1"/>
  <c r="I172" i="1"/>
  <c r="I174" i="1"/>
  <c r="I175" i="1"/>
  <c r="I173" i="1"/>
  <c r="H266" i="1"/>
  <c r="I266" i="1" s="1"/>
  <c r="H136" i="1" l="1"/>
  <c r="I136" i="1" s="1"/>
  <c r="H78" i="1"/>
  <c r="I78" i="1" s="1"/>
  <c r="H11" i="1" l="1"/>
  <c r="I11" i="1" s="1"/>
  <c r="H19" i="1"/>
  <c r="I19" i="1" s="1"/>
  <c r="H16" i="1"/>
  <c r="I16" i="1" s="1"/>
  <c r="H13" i="1"/>
  <c r="I13" i="1" s="1"/>
  <c r="I170" i="1" l="1"/>
  <c r="L284" i="1" l="1"/>
  <c r="L285" i="1" l="1"/>
  <c r="G279" i="1" s="1"/>
  <c r="G280" i="1" l="1"/>
  <c r="I73" i="1" l="1"/>
  <c r="I76" i="1"/>
  <c r="H75" i="1"/>
  <c r="I75" i="1" s="1"/>
  <c r="I74" i="1" l="1"/>
  <c r="M282" i="1"/>
  <c r="N282" i="1" l="1"/>
  <c r="M284" i="1"/>
  <c r="N284" i="1" l="1"/>
  <c r="M285" i="1"/>
  <c r="H279" i="1" l="1"/>
  <c r="N285" i="1"/>
  <c r="H280" i="1" l="1"/>
  <c r="I279" i="1"/>
  <c r="I280" i="1" s="1"/>
  <c r="J280" i="1" l="1"/>
</calcChain>
</file>

<file path=xl/sharedStrings.xml><?xml version="1.0" encoding="utf-8"?>
<sst xmlns="http://schemas.openxmlformats.org/spreadsheetml/2006/main" count="792" uniqueCount="215">
  <si>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</si>
  <si>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</si>
  <si>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</si>
  <si>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</si>
  <si>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</si>
  <si>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</si>
  <si>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</si>
  <si>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</si>
  <si>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</si>
  <si>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</si>
  <si>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</si>
  <si>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</si>
  <si>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</si>
  <si>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</si>
  <si>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</si>
  <si>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</si>
  <si>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</si>
  <si>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</si>
  <si>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r>
      <t xml:space="preserve">A) </t>
    </r>
    <r>
      <rPr>
        <u/>
        <sz val="11"/>
        <color theme="1"/>
        <rFont val="Arial"/>
        <family val="2"/>
      </rPr>
      <t>Seminole County Public Schools</t>
    </r>
    <r>
      <rPr>
        <sz val="11"/>
        <color theme="1"/>
        <rFont val="Arial"/>
        <family val="2"/>
      </rPr>
      <t xml:space="preserve">
     Name of Eligible Recipient </t>
    </r>
  </si>
  <si>
    <t>1(a)</t>
  </si>
  <si>
    <t>Retirement - Tutorial</t>
  </si>
  <si>
    <t>Social Security/Medicare - Tutorial</t>
  </si>
  <si>
    <t xml:space="preserve">Worker's Compensation - Tutorial </t>
  </si>
  <si>
    <t>Salaries.  Extended Contract - Classroom Teachers, Tutorial - In/Out of School Time (School Based)</t>
  </si>
  <si>
    <t>Educational software (online access) for use during student tutorial</t>
  </si>
  <si>
    <t>Transportation to support outside of school time student tutorial programs</t>
  </si>
  <si>
    <t>Printing to support student tutorial programs</t>
  </si>
  <si>
    <t>Materials/supplies to support student tutorial programs</t>
  </si>
  <si>
    <t>Instructional materials to support student tutorial programs</t>
  </si>
  <si>
    <t>1(b)</t>
  </si>
  <si>
    <t>Salaries: Other Personal Services (OPS), Tutorial - In/Out of School Time (School Based)</t>
  </si>
  <si>
    <t>Salaries. Extended Contract - Instructional Assistants/Paraprofessionals, Tutorial - In/Out of School Time (School Based)</t>
  </si>
  <si>
    <t>Salaries.  Extended Contract - Classroom Teachers, Summer Intervention Camp</t>
  </si>
  <si>
    <t>Retirement - Summer Intervention Camp</t>
  </si>
  <si>
    <t>Social Security/Medicare - Summer Intervention Camp</t>
  </si>
  <si>
    <t>Worker's Compensation - Summer Intervention Camp</t>
  </si>
  <si>
    <t>Transportation to support summer intervention camp</t>
  </si>
  <si>
    <t>Materials/supplies to support summer intervention camp</t>
  </si>
  <si>
    <t>Digital access to curriculum for summer intervention camp</t>
  </si>
  <si>
    <t>Salaries.  Extended Contract - Classroom Teachers, Summer Intervention Camp - Curriculum Training</t>
  </si>
  <si>
    <t>Retirement - Summer Intervention Camp - Curriculum Training</t>
  </si>
  <si>
    <t>Social Security/Medicare - Summer Intervention Camp - Curriculum Training</t>
  </si>
  <si>
    <t>Worker's Compensation - Summer Intervention Camp - Curriculum Training</t>
  </si>
  <si>
    <t>Salaries. Extended Contract - Lead Teachers - Summer Intervention Camp</t>
  </si>
  <si>
    <t>Salaries. Extended Contract - Program Administrators (On campus) - Summer Intervention Camp</t>
  </si>
  <si>
    <t xml:space="preserve">1(c) </t>
  </si>
  <si>
    <t xml:space="preserve">Contracted services: Virtual tutorial platform for students.  </t>
  </si>
  <si>
    <t>Retirement - PLC</t>
  </si>
  <si>
    <t>Social Security/Medicare - Supplemental PLC</t>
  </si>
  <si>
    <t xml:space="preserve">Worker's Compensation - Supplemental PLC </t>
  </si>
  <si>
    <t>Salaries.  Extended Contract - Classroom Teachers, Supplemental PLC Participation.</t>
  </si>
  <si>
    <t>1(d)</t>
  </si>
  <si>
    <t>1(e)</t>
  </si>
  <si>
    <t>1(f)</t>
  </si>
  <si>
    <t>Instructional materials to support mitigation of learning loss</t>
  </si>
  <si>
    <t>Digital access to supplemental curriculum and progress monitoring tools to support mitigation of learning loss</t>
  </si>
  <si>
    <t>1(g)</t>
  </si>
  <si>
    <t>2(A)(a)</t>
  </si>
  <si>
    <t>Retirement</t>
  </si>
  <si>
    <t>Social Security/Medicare</t>
  </si>
  <si>
    <t>Worker's Compensation</t>
  </si>
  <si>
    <t>Salaries.  Extended Contract for instructional staff to participate in additional days of pre-plan prior to the start of the school year.</t>
  </si>
  <si>
    <t>2(A)(b)</t>
  </si>
  <si>
    <t>2(A)(c)</t>
  </si>
  <si>
    <t>Digital access to a tool to analyze student data for the purpose of guiding teacher development and instructional decisions (2 year access)</t>
  </si>
  <si>
    <t>2(I)(a)</t>
  </si>
  <si>
    <t>2(I)(b)</t>
  </si>
  <si>
    <t>Other purchased services.  Microfiber towel service for schools to maintain healthy learning environment.</t>
  </si>
  <si>
    <t>2(N)(a)</t>
  </si>
  <si>
    <t>Retirement - Teacher-on-Assignment, Student Success</t>
  </si>
  <si>
    <t>Social Security/Medicare - Teacher-on-Assignment, Student Success</t>
  </si>
  <si>
    <t>Health/Life Insurance - Teacher-on-Assignment, Student Success</t>
  </si>
  <si>
    <t>Worker's Compensation - Teacher-on-Assignment, Student Success</t>
  </si>
  <si>
    <t>Retirement - Manager, Student Success</t>
  </si>
  <si>
    <t>Social Security/Medicare - Manager, Student Success</t>
  </si>
  <si>
    <t>Health/Life Insurance - Manager, Student Success</t>
  </si>
  <si>
    <t>Worker's Compensation - Manager, Student Success</t>
  </si>
  <si>
    <t>Retirement - Assist Super, Student Success</t>
  </si>
  <si>
    <t>Social Security/Medicare - Assist Super, Student Success</t>
  </si>
  <si>
    <t>Health/Life Insurance - Assist Super, Student Success</t>
  </si>
  <si>
    <t>Worker's Compensation - Assist Super, Student Success</t>
  </si>
  <si>
    <t>Retirement - Principal-on-Assignment, Student Success</t>
  </si>
  <si>
    <t>Social Security/Medicare - Principal-on-Assignment, Student Success</t>
  </si>
  <si>
    <t>Health/Life Insurance - Principal-on-Assignment, Student Success</t>
  </si>
  <si>
    <t>Worker's Compensation - Principal-on-Assignment, Student Success</t>
  </si>
  <si>
    <t>Social Security/Medicare - Instructional Coach, Student Success</t>
  </si>
  <si>
    <t>Health/Life Insurance - Instructional Coaches, Student Success</t>
  </si>
  <si>
    <t>Worker's Compensation - Instructional Coaches, Student Success</t>
  </si>
  <si>
    <t>Retirement - Instructional Coaches, Student Success</t>
  </si>
  <si>
    <t>2(N)(b)</t>
  </si>
  <si>
    <t>Retirement - School Nurses</t>
  </si>
  <si>
    <t>Social Security/Medicare -  School Nurses</t>
  </si>
  <si>
    <t>Health/Life Insurance -  School Nurses</t>
  </si>
  <si>
    <t>Worker's Compensation -  School Nurses</t>
  </si>
  <si>
    <t>School Nurses (3.0 FTE)</t>
  </si>
  <si>
    <t>2(Q)(a)</t>
  </si>
  <si>
    <t>2(Q)(b)</t>
  </si>
  <si>
    <t>Salaries. Supplemental pay for staff to support custodial needs; overtime.</t>
  </si>
  <si>
    <t>Salaries. Supplemental pay for staff to support custodial needs; retention/recruitment pay.</t>
  </si>
  <si>
    <t>Retirement - Custodial/OT</t>
  </si>
  <si>
    <t>Social Security/Medicare - Custodial/OT</t>
  </si>
  <si>
    <t xml:space="preserve">Worker's Compensation - Custodial/OT </t>
  </si>
  <si>
    <t>Social Security/Medicare - Custodial/retention-recruitment</t>
  </si>
  <si>
    <t>Worker's Compensation - Custodial/retention-recruitment</t>
  </si>
  <si>
    <t>Contracted services to support custodial needs.</t>
  </si>
  <si>
    <t>Data Analyst (1.0 FTE), Program Evaluation</t>
  </si>
  <si>
    <t>Retirement - Program Evaluation</t>
  </si>
  <si>
    <t>Social Security/Medicare - Program Evaluation</t>
  </si>
  <si>
    <t>Health/Life Insurance - Program Evaluation</t>
  </si>
  <si>
    <t>Worker's Compensation - Program Evaluation</t>
  </si>
  <si>
    <t>Specialist I (1.0 FTE) / Bookkeeper (1.0 FTE) - Grant Management</t>
  </si>
  <si>
    <t>Director (0.2 FTE) - Grant Management</t>
  </si>
  <si>
    <t>Retirement - Grant Management</t>
  </si>
  <si>
    <t>Social Security/Medicare - Grant Management</t>
  </si>
  <si>
    <t>Health/Life Insurance - Grant Management</t>
  </si>
  <si>
    <t>Worker's Compensation - Grant Management</t>
  </si>
  <si>
    <t>2(R)(e)</t>
  </si>
  <si>
    <t>2(S)(a)</t>
  </si>
  <si>
    <t>Supplies. Office supplies to support grants management.</t>
  </si>
  <si>
    <t>2(R)(d)</t>
  </si>
  <si>
    <t xml:space="preserve">Salaries.  Supplemental pay for 10-month Assistant Principal positions to be temporarily extended to 11-month positions for school years 22/23 and 23/24. </t>
  </si>
  <si>
    <t>Retirement - Assist Principal Supplemental Pay</t>
  </si>
  <si>
    <t>Social Security/Medicare - Assist Principal Supplemental Pay</t>
  </si>
  <si>
    <t>Workers Compensation - Assist Principal Supplemental Pay</t>
  </si>
  <si>
    <t>Workers' Compensation (0.43%); Supplemental Pay</t>
  </si>
  <si>
    <t>2(R)(f)</t>
  </si>
  <si>
    <t>Digital access to an online survey and analysis tool. (2 year access)</t>
  </si>
  <si>
    <t>Printing of learning materials for the Bookmobile.</t>
  </si>
  <si>
    <t>Salaries.  Supplemental pay for certified teachers to provide individualized support for students on the Bookmobile in the areas of math, science and/or reading; outside of regularly contracted hours.</t>
  </si>
  <si>
    <t>Salaries.  Supplemental pay for certified teachers to develop lessons and activities for use by students on the Bookmobile in the areas of math, science and/or reading; outside of regularly contracted hours.</t>
  </si>
  <si>
    <t>2(K)(a)</t>
  </si>
  <si>
    <t>Educational technology. Computer devices for teacher and/or student use in the classroom.</t>
  </si>
  <si>
    <t>2(K)(b)</t>
  </si>
  <si>
    <t>2(K)(c)</t>
  </si>
  <si>
    <t>Digital access to web content filtering software.</t>
  </si>
  <si>
    <t>Digital access to interactive software for enhanced learning opportunities/digital lesson development.</t>
  </si>
  <si>
    <t>2(R)(b)</t>
  </si>
  <si>
    <t>Supplemental ELA/Math resources to align with instructional adoption</t>
  </si>
  <si>
    <t>2(P)(a)</t>
  </si>
  <si>
    <t>Contracted services. Outside air unit repairs.</t>
  </si>
  <si>
    <t>2(L)(a)</t>
  </si>
  <si>
    <t>2(L)(b)</t>
  </si>
  <si>
    <t>Retirement - Behavior Interventionists</t>
  </si>
  <si>
    <t>Behavior Interventionists (20 FTE)</t>
  </si>
  <si>
    <t>Social Security/Medicare - Behavior Interventionists</t>
  </si>
  <si>
    <t>Health/Life Insurance - Behavior Interventionists</t>
  </si>
  <si>
    <t>Workers' Compensation - Behavior Interventionists</t>
  </si>
  <si>
    <t>Retirement - School Security Officer</t>
  </si>
  <si>
    <t>Social Security/Medicare - School Security Officer</t>
  </si>
  <si>
    <t>Health/Life Insurance - School Security Officer</t>
  </si>
  <si>
    <t>Workers' Compensation - School Security Officer</t>
  </si>
  <si>
    <t>School Security Officers (2 FTE)</t>
  </si>
  <si>
    <t>Indirect costs (3.7%)</t>
  </si>
  <si>
    <t>Equipment</t>
  </si>
  <si>
    <t>Indirect</t>
  </si>
  <si>
    <t>Direct minus equipment</t>
  </si>
  <si>
    <t>All direct</t>
  </si>
  <si>
    <t>2(R)(c)</t>
  </si>
  <si>
    <t>2(R)(a)</t>
  </si>
  <si>
    <t>Classroom Teachers, Above Staffing</t>
  </si>
  <si>
    <t>Retirement - Classroom Teachers</t>
  </si>
  <si>
    <t>Social Security/Medicare - Classroom Teachers</t>
  </si>
  <si>
    <t>Health/Life Insurance - Classroom Teachers</t>
  </si>
  <si>
    <t>Worker's Compensation - Classroom Teachers</t>
  </si>
  <si>
    <t>2(A)</t>
  </si>
  <si>
    <t>2(I)</t>
  </si>
  <si>
    <t>2(K)</t>
  </si>
  <si>
    <t>2(L)</t>
  </si>
  <si>
    <t>2(N)</t>
  </si>
  <si>
    <t>2(P)</t>
  </si>
  <si>
    <t>2(Q)</t>
  </si>
  <si>
    <t>2(R)</t>
  </si>
  <si>
    <t>2(S)</t>
  </si>
  <si>
    <t>Charter school reimbursement</t>
  </si>
  <si>
    <t>Materials/supplies to support Student Success Department staff</t>
  </si>
  <si>
    <t xml:space="preserve">Manager - Learning Loss Initiatives, Student Success (1.0 FTE) </t>
  </si>
  <si>
    <t>Instructional Coaches, Student Success (3.5 FTE) - Instructional Support</t>
  </si>
  <si>
    <t>Assist Superintendent, Student Success (1.0 FTE)</t>
  </si>
  <si>
    <t>Principal-on-Assignment, Student Success (1.0 FTE)</t>
  </si>
  <si>
    <t xml:space="preserve">Printing to support Student Success Department </t>
  </si>
  <si>
    <t>ACT School Day to support students who are deficient in meeting the state assessment graduation requirement; grades 11-12 (2 year service)</t>
  </si>
  <si>
    <t>Teacher-on-Assignment, Student Success (2.0 FTE) - Family/Community Support</t>
  </si>
  <si>
    <t>2(F)</t>
  </si>
  <si>
    <t>2(M)</t>
  </si>
  <si>
    <t>2(O)</t>
  </si>
  <si>
    <t>2(G)</t>
  </si>
  <si>
    <t>1(h)</t>
  </si>
  <si>
    <t xml:space="preserve">2(K)(d) </t>
  </si>
  <si>
    <t xml:space="preserve">2(A)(d) </t>
  </si>
  <si>
    <t xml:space="preserve">2(F)(a) </t>
  </si>
  <si>
    <t xml:space="preserve">2(G)(a) </t>
  </si>
  <si>
    <t xml:space="preserve">2(I)(c) </t>
  </si>
  <si>
    <t xml:space="preserve">2(M)(a) </t>
  </si>
  <si>
    <t xml:space="preserve">2(N)(c) </t>
  </si>
  <si>
    <t xml:space="preserve">2(O)(a) </t>
  </si>
  <si>
    <t xml:space="preserve">2(P)(b) </t>
  </si>
  <si>
    <t xml:space="preserve">2(Q)(c) </t>
  </si>
  <si>
    <t xml:space="preserve">2(R)(g) </t>
  </si>
  <si>
    <t>2(S)(b)</t>
  </si>
  <si>
    <t>Row Labels</t>
  </si>
  <si>
    <t>Grand Total</t>
  </si>
  <si>
    <t>(All)</t>
  </si>
  <si>
    <t xml:space="preserve">Sum of Amount for 2/3 allocation </t>
  </si>
  <si>
    <t xml:space="preserve">Sum of Amount for 1/3 allocation </t>
  </si>
  <si>
    <t xml:space="preserve">Sum of Total allocation </t>
  </si>
  <si>
    <t xml:space="preserve">2(L)(c) </t>
  </si>
  <si>
    <r>
      <t>Contracted services for content experts to deliver</t>
    </r>
    <r>
      <rPr>
        <sz val="11"/>
        <color rgb="FF00B05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professional learning focused on behavior support and trauma informed care.</t>
    </r>
  </si>
  <si>
    <t>Supplies.  Learning activities for use on the Bookmobile to supplement current materials.</t>
  </si>
  <si>
    <t>Social Security/Medicare (7.65%); Supplemental Pay</t>
  </si>
  <si>
    <t>Supplemental Pay - COVID Disaster Relief Supplement; Employee Stabilization</t>
  </si>
  <si>
    <t>Supplies. Supplemental disinfectant products and supplies to maintain healthy learning environment.</t>
  </si>
  <si>
    <t>Equipment to improve air quality in school facilities and auxiliary sites</t>
  </si>
  <si>
    <t>Renovations and repairs to air handlers/DX, outside air units, other HVAC equipment, and control systems, as well as control efficiency updates to improve air quality in school facilities and auxiliary sites</t>
  </si>
  <si>
    <t>1(i)</t>
  </si>
  <si>
    <t>Salaries.  Extended Contract for instructional staff to participate in additional days of pre-plan prior to the start of the school year. [Continuation of Activity 1(i)]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</si>
</sst>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right"/>
    </xf>
    <xf numFmtId="0" fontId="6" fillId="0" borderId="0" xfId="0" applyFont="1" applyAlignment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3" fontId="0" fillId="0" borderId="0" xfId="0" applyNumberFormat="1"/>
    <xf numFmtId="49" fontId="0" fillId="0" borderId="1" xfId="0" applyNumberFormat="1" applyBorder="1" applyAlignment="1">
      <alignment horizontal="left" vertical="top" wrapText="1"/>
    </xf>
    <xf numFmtId="43" fontId="0" fillId="0" borderId="1" xfId="2" applyFont="1" applyBorder="1" applyAlignment="1">
      <alignment horizontal="left" vertical="top"/>
    </xf>
    <xf numFmtId="43" fontId="0" fillId="0" borderId="1" xfId="2" applyFont="1" applyBorder="1"/>
    <xf numFmtId="43" fontId="0" fillId="0" borderId="0" xfId="0" applyNumberFormat="1"/>
    <xf numFmtId="44" fontId="7" fillId="0" borderId="1" xfId="1" applyFont="1" applyBorder="1"/>
    <xf numFmtId="164" fontId="0" fillId="0" borderId="0" xfId="0" applyNumberFormat="1"/>
    <xf numFmtId="43" fontId="0" fillId="0" borderId="0" xfId="2" applyFont="1"/>
    <xf numFmtId="0" fontId="0" fillId="0" borderId="1" xfId="0" applyFill="1" applyBorder="1" applyAlignment="1">
      <alignment horizontal="center" vertical="center"/>
    </xf>
    <xf numFmtId="44" fontId="0" fillId="0" borderId="0" xfId="0" applyNumberFormat="1"/>
    <xf numFmtId="43" fontId="0" fillId="0" borderId="1" xfId="2" applyFont="1" applyBorder="1" applyAlignment="1">
      <alignment horizontal="left"/>
    </xf>
    <xf numFmtId="49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43" fontId="0" fillId="0" borderId="1" xfId="2" applyFont="1" applyFill="1" applyBorder="1" applyAlignment="1">
      <alignment horizontal="left" vertical="top"/>
    </xf>
    <xf numFmtId="43" fontId="0" fillId="0" borderId="1" xfId="2" applyFont="1" applyFill="1" applyBorder="1"/>
    <xf numFmtId="49" fontId="0" fillId="0" borderId="1" xfId="0" applyNumberFormat="1" applyFill="1" applyBorder="1" applyAlignment="1">
      <alignment horizontal="left" vertical="top" wrapText="1"/>
    </xf>
    <xf numFmtId="0" fontId="0" fillId="0" borderId="0" xfId="0" applyFill="1"/>
    <xf numFmtId="43" fontId="0" fillId="0" borderId="0" xfId="0" applyNumberFormat="1" applyFill="1"/>
    <xf numFmtId="0" fontId="9" fillId="0" borderId="1" xfId="0" applyFont="1" applyFill="1" applyBorder="1" applyAlignment="1">
      <alignment horizontal="center" vertical="center"/>
    </xf>
    <xf numFmtId="43" fontId="9" fillId="0" borderId="1" xfId="2" applyFont="1" applyFill="1" applyBorder="1" applyAlignment="1">
      <alignment horizontal="left" vertical="top"/>
    </xf>
    <xf numFmtId="43" fontId="9" fillId="0" borderId="1" xfId="2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1" applyFont="1"/>
    <xf numFmtId="49" fontId="9" fillId="0" borderId="1" xfId="0" applyNumberFormat="1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center" wrapText="1"/>
    </xf>
    <xf numFmtId="43" fontId="0" fillId="0" borderId="1" xfId="0" applyNumberFormat="1" applyFill="1" applyBorder="1" applyAlignment="1">
      <alignment horizontal="center" vertical="center"/>
    </xf>
    <xf numFmtId="43" fontId="9" fillId="0" borderId="1" xfId="0" applyNumberFormat="1" applyFont="1" applyBorder="1" applyAlignment="1">
      <alignment horizontal="center" vertical="center"/>
    </xf>
    <xf numFmtId="43" fontId="9" fillId="0" borderId="1" xfId="2" applyFont="1" applyBorder="1" applyAlignment="1">
      <alignment horizontal="left" vertical="top"/>
    </xf>
    <xf numFmtId="43" fontId="11" fillId="0" borderId="0" xfId="2" applyFont="1"/>
    <xf numFmtId="0" fontId="11" fillId="0" borderId="0" xfId="0" applyFont="1"/>
    <xf numFmtId="9" fontId="11" fillId="0" borderId="0" xfId="0" applyNumberFormat="1" applyFont="1" applyAlignment="1">
      <alignment horizontal="left"/>
    </xf>
    <xf numFmtId="43" fontId="0" fillId="0" borderId="0" xfId="2" applyFont="1" applyBorder="1"/>
    <xf numFmtId="4" fontId="0" fillId="0" borderId="0" xfId="0" applyNumberFormat="1"/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281</xdr:row>
      <xdr:rowOff>1077</xdr:rowOff>
    </xdr:from>
    <xdr:to>
      <xdr:col>8</xdr:col>
      <xdr:colOff>950594</xdr:colOff>
      <xdr:row>283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8115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nnetto, Jamee E." refreshedDate="44585.575276157404" createdVersion="7" refreshedVersion="7" minRefreshableVersion="3" recordCount="270" xr:uid="{311EAE94-723C-43FA-B230-C1E6E45AB78E}">
  <cacheSource type="worksheet">
    <worksheetSource ref="A9:I279" sheet="Sheet1"/>
  </cacheSource>
  <cacheFields count="9">
    <cacheField name="Function" numFmtId="0">
      <sharedItems containsSemiMixedTypes="0" containsString="0" containsNumber="1" containsInteger="1" minValue="5100" maxValue="9100" count="32">
        <n v="5900"/>
        <n v="6400"/>
        <n v="5100"/>
        <n v="6300"/>
        <n v="5200"/>
        <n v="7100"/>
        <n v="6150"/>
        <n v="6190"/>
        <n v="8200"/>
        <n v="7900"/>
        <n v="6500"/>
        <n v="6110"/>
        <n v="6130"/>
        <n v="6900"/>
        <n v="7200"/>
        <n v="7400"/>
        <n v="7410"/>
        <n v="8100"/>
        <n v="7300"/>
        <n v="5300"/>
        <n v="5500"/>
        <n v="6100"/>
        <n v="6120"/>
        <n v="6140"/>
        <n v="6200"/>
        <n v="7500"/>
        <n v="7600"/>
        <n v="7710"/>
        <n v="7730"/>
        <n v="7760"/>
        <n v="7800"/>
        <n v="9100"/>
      </sharedItems>
    </cacheField>
    <cacheField name="Object" numFmtId="0">
      <sharedItems containsSemiMixedTypes="0" containsString="0" containsNumber="1" containsInteger="1" minValue="100" maxValue="792" count="19">
        <n v="120"/>
        <n v="160"/>
        <n v="210"/>
        <n v="220"/>
        <n v="240"/>
        <n v="360"/>
        <n v="390"/>
        <n v="510"/>
        <n v="520"/>
        <n v="110"/>
        <n v="394"/>
        <n v="310"/>
        <n v="640"/>
        <n v="130"/>
        <n v="230"/>
        <n v="340"/>
        <n v="680"/>
        <n v="100"/>
        <n v="792"/>
      </sharedItems>
    </cacheField>
    <cacheField name="Use of _x000a_Funds_x000a_Number**  " numFmtId="0">
      <sharedItems containsMixedTypes="1" containsNumber="1" containsInteger="1" minValue="1" maxValue="1" count="14">
        <n v="1"/>
        <s v="2(A)"/>
        <s v="2(F)"/>
        <s v="2(G)"/>
        <s v="2(I)"/>
        <s v="2(K)"/>
        <s v="2(L)"/>
        <s v="2(M)"/>
        <s v="2(N)"/>
        <s v="2(O)"/>
        <s v="2(P)"/>
        <s v="2(Q)"/>
        <s v="2(R)"/>
        <s v="2(S)"/>
      </sharedItems>
    </cacheField>
    <cacheField name="Activity_x000a_Number**" numFmtId="0">
      <sharedItems/>
    </cacheField>
    <cacheField name="Account Title " numFmtId="49">
      <sharedItems/>
    </cacheField>
    <cacheField name="FTE _x000a_Position" numFmtId="0">
      <sharedItems containsString="0" containsBlank="1" containsNumber="1" minValue="0.2" maxValue="24.25"/>
    </cacheField>
    <cacheField name="Amount for 2/3 allocation " numFmtId="43">
      <sharedItems containsString="0" containsBlank="1" containsNumber="1" minValue="0" maxValue="21868000"/>
    </cacheField>
    <cacheField name="Amount for 1/3 allocation " numFmtId="43">
      <sharedItems containsString="0" containsBlank="1" containsNumber="1" minValue="0" maxValue="5377250"/>
    </cacheField>
    <cacheField name="Total allocation " numFmtId="43">
      <sharedItems containsSemiMixedTypes="0" containsString="0" containsNumber="1" minValue="8.4924999999999997" maxValue="2186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0">
  <r>
    <x v="0"/>
    <x v="0"/>
    <x v="0"/>
    <s v="1(a)"/>
    <s v="Salaries.  Extended Contract - Classroom Teachers, Tutorial - In/Out of School Time (School Based)"/>
    <m/>
    <n v="0"/>
    <n v="888000"/>
    <n v="888000"/>
  </r>
  <r>
    <x v="0"/>
    <x v="1"/>
    <x v="0"/>
    <s v="1(a)"/>
    <s v="Salaries. Extended Contract - Instructional Assistants/Paraprofessionals, Tutorial - In/Out of School Time (School Based)"/>
    <m/>
    <n v="0"/>
    <n v="180000"/>
    <n v="180000"/>
  </r>
  <r>
    <x v="0"/>
    <x v="1"/>
    <x v="0"/>
    <s v="1(a)"/>
    <s v="Salaries: Other Personal Services (OPS), Tutorial - In/Out of School Time (School Based)"/>
    <m/>
    <n v="0"/>
    <n v="140000"/>
    <n v="140000"/>
  </r>
  <r>
    <x v="0"/>
    <x v="2"/>
    <x v="0"/>
    <s v="1(a)"/>
    <s v="Retirement - Tutorial"/>
    <m/>
    <n v="0"/>
    <n v="104164"/>
    <n v="104164"/>
  </r>
  <r>
    <x v="0"/>
    <x v="2"/>
    <x v="0"/>
    <s v="1(a)"/>
    <s v="Retirement - Tutorial"/>
    <m/>
    <n v="0"/>
    <n v="21114"/>
    <n v="21114"/>
  </r>
  <r>
    <x v="0"/>
    <x v="2"/>
    <x v="0"/>
    <s v="1(a)"/>
    <s v="Retirement - Tutorial"/>
    <m/>
    <n v="0"/>
    <n v="16422"/>
    <n v="16422"/>
  </r>
  <r>
    <x v="0"/>
    <x v="3"/>
    <x v="0"/>
    <s v="1(a)"/>
    <s v="Social Security/Medicare - Tutorial"/>
    <m/>
    <n v="0"/>
    <n v="67932"/>
    <n v="67932"/>
  </r>
  <r>
    <x v="0"/>
    <x v="3"/>
    <x v="0"/>
    <s v="1(a)"/>
    <s v="Social Security/Medicare - Tutorial"/>
    <m/>
    <n v="0"/>
    <n v="13770"/>
    <n v="13770"/>
  </r>
  <r>
    <x v="0"/>
    <x v="3"/>
    <x v="0"/>
    <s v="1(a)"/>
    <s v="Social Security/Medicare - Tutorial"/>
    <m/>
    <n v="0"/>
    <n v="10710"/>
    <n v="10710"/>
  </r>
  <r>
    <x v="0"/>
    <x v="4"/>
    <x v="0"/>
    <s v="1(a)"/>
    <s v="Worker's Compensation - Tutorial "/>
    <m/>
    <n v="0"/>
    <n v="3820"/>
    <n v="3820"/>
  </r>
  <r>
    <x v="0"/>
    <x v="4"/>
    <x v="0"/>
    <s v="1(a)"/>
    <s v="Worker's Compensation - Tutorial "/>
    <m/>
    <n v="0"/>
    <n v="774"/>
    <n v="774"/>
  </r>
  <r>
    <x v="0"/>
    <x v="4"/>
    <x v="0"/>
    <s v="1(a)"/>
    <s v="Worker's Compensation - Tutorial "/>
    <m/>
    <n v="0"/>
    <n v="602"/>
    <n v="602"/>
  </r>
  <r>
    <x v="0"/>
    <x v="5"/>
    <x v="0"/>
    <s v="1(a)"/>
    <s v="Educational software (online access) for use during student tutorial"/>
    <m/>
    <n v="0"/>
    <n v="20000"/>
    <n v="20000"/>
  </r>
  <r>
    <x v="0"/>
    <x v="6"/>
    <x v="0"/>
    <s v="1(a)"/>
    <s v="Transportation to support outside of school time student tutorial programs"/>
    <m/>
    <n v="0"/>
    <n v="40000"/>
    <n v="40000"/>
  </r>
  <r>
    <x v="0"/>
    <x v="6"/>
    <x v="0"/>
    <s v="1(a)"/>
    <s v="Printing to support student tutorial programs"/>
    <m/>
    <n v="0"/>
    <n v="2692"/>
    <n v="2692"/>
  </r>
  <r>
    <x v="0"/>
    <x v="7"/>
    <x v="0"/>
    <s v="1(a)"/>
    <s v="Materials/supplies to support student tutorial programs"/>
    <m/>
    <n v="0"/>
    <n v="50000"/>
    <n v="50000"/>
  </r>
  <r>
    <x v="0"/>
    <x v="8"/>
    <x v="0"/>
    <s v="1(a)"/>
    <s v="Instructional materials to support student tutorial programs"/>
    <m/>
    <n v="0"/>
    <n v="40000"/>
    <n v="40000"/>
  </r>
  <r>
    <x v="0"/>
    <x v="9"/>
    <x v="0"/>
    <s v="1(b)"/>
    <s v="Salaries. Extended Contract - Program Administrators (On campus) - Summer Intervention Camp"/>
    <m/>
    <n v="0"/>
    <n v="120960"/>
    <n v="120960"/>
  </r>
  <r>
    <x v="0"/>
    <x v="0"/>
    <x v="0"/>
    <s v="1(b)"/>
    <s v="Salaries. Extended Contract - Lead Teachers - Summer Intervention Camp"/>
    <m/>
    <n v="0"/>
    <n v="120960"/>
    <n v="120960"/>
  </r>
  <r>
    <x v="0"/>
    <x v="0"/>
    <x v="0"/>
    <s v="1(b)"/>
    <s v="Salaries.  Extended Contract - Classroom Teachers, Summer Intervention Camp"/>
    <m/>
    <n v="0"/>
    <n v="1575000"/>
    <n v="1575000"/>
  </r>
  <r>
    <x v="0"/>
    <x v="2"/>
    <x v="0"/>
    <s v="1(b)"/>
    <s v="Retirement - Summer Intervention Camp"/>
    <m/>
    <n v="0"/>
    <n v="14189"/>
    <n v="14189"/>
  </r>
  <r>
    <x v="0"/>
    <x v="2"/>
    <x v="0"/>
    <s v="1(b)"/>
    <s v="Retirement - Summer Intervention Camp"/>
    <m/>
    <n v="0"/>
    <n v="14189"/>
    <n v="14189"/>
  </r>
  <r>
    <x v="0"/>
    <x v="2"/>
    <x v="0"/>
    <s v="1(b)"/>
    <s v="Retirement - Summer Intervention Camp"/>
    <m/>
    <n v="0"/>
    <n v="184748"/>
    <n v="184748"/>
  </r>
  <r>
    <x v="0"/>
    <x v="3"/>
    <x v="0"/>
    <s v="1(b)"/>
    <s v="Social Security/Medicare - Summer Intervention Camp"/>
    <m/>
    <n v="0"/>
    <n v="9253"/>
    <n v="9253"/>
  </r>
  <r>
    <x v="0"/>
    <x v="3"/>
    <x v="0"/>
    <s v="1(b)"/>
    <s v="Social Security/Medicare - Summer Intervention Camp"/>
    <m/>
    <n v="0"/>
    <n v="9253"/>
    <n v="9253"/>
  </r>
  <r>
    <x v="0"/>
    <x v="3"/>
    <x v="0"/>
    <s v="1(b)"/>
    <s v="Social Security/Medicare - Summer Intervention Camp"/>
    <m/>
    <n v="0"/>
    <n v="120488"/>
    <n v="120488"/>
  </r>
  <r>
    <x v="0"/>
    <x v="4"/>
    <x v="0"/>
    <s v="1(b)"/>
    <s v="Worker's Compensation - Summer Intervention Camp"/>
    <m/>
    <n v="0"/>
    <n v="520"/>
    <n v="520"/>
  </r>
  <r>
    <x v="0"/>
    <x v="4"/>
    <x v="0"/>
    <s v="1(b)"/>
    <s v="Worker's Compensation - Summer Intervention Camp"/>
    <m/>
    <n v="0"/>
    <n v="520"/>
    <n v="520"/>
  </r>
  <r>
    <x v="0"/>
    <x v="4"/>
    <x v="0"/>
    <s v="1(b)"/>
    <s v="Worker's Compensation - Summer Intervention Camp"/>
    <m/>
    <n v="0"/>
    <n v="6772"/>
    <n v="6772"/>
  </r>
  <r>
    <x v="0"/>
    <x v="5"/>
    <x v="0"/>
    <s v="1(b)"/>
    <s v="Digital access to curriculum for summer intervention camp"/>
    <m/>
    <n v="0"/>
    <n v="432000"/>
    <n v="432000"/>
  </r>
  <r>
    <x v="0"/>
    <x v="6"/>
    <x v="0"/>
    <s v="1(b)"/>
    <s v="Transportation to support summer intervention camp"/>
    <m/>
    <n v="898613"/>
    <n v="898613"/>
    <n v="1797226"/>
  </r>
  <r>
    <x v="0"/>
    <x v="7"/>
    <x v="0"/>
    <s v="1(b)"/>
    <s v="Materials/supplies to support summer intervention camp"/>
    <m/>
    <n v="0"/>
    <n v="288000"/>
    <n v="288000"/>
  </r>
  <r>
    <x v="1"/>
    <x v="0"/>
    <x v="0"/>
    <s v="1(b)"/>
    <s v="Salaries.  Extended Contract - Classroom Teachers, Summer Intervention Camp - Curriculum Training"/>
    <m/>
    <n v="352800"/>
    <n v="352800"/>
    <n v="705600"/>
  </r>
  <r>
    <x v="1"/>
    <x v="2"/>
    <x v="0"/>
    <s v="1(b)"/>
    <s v="Retirement - Summer Intervention Camp - Curriculum Training"/>
    <m/>
    <n v="41384"/>
    <n v="41384"/>
    <n v="82768"/>
  </r>
  <r>
    <x v="1"/>
    <x v="3"/>
    <x v="0"/>
    <s v="1(b)"/>
    <s v="Social Security/Medicare - Summer Intervention Camp - Curriculum Training"/>
    <m/>
    <n v="26989"/>
    <n v="26989"/>
    <n v="53978"/>
  </r>
  <r>
    <x v="1"/>
    <x v="4"/>
    <x v="0"/>
    <s v="1(b)"/>
    <s v="Worker's Compensation - Summer Intervention Camp - Curriculum Training"/>
    <m/>
    <n v="1517"/>
    <n v="1517"/>
    <n v="3034"/>
  </r>
  <r>
    <x v="2"/>
    <x v="5"/>
    <x v="0"/>
    <s v="1(c) "/>
    <s v="Contracted services: Virtual tutorial platform for students.  "/>
    <m/>
    <n v="696000"/>
    <n v="1160000"/>
    <n v="1856000"/>
  </r>
  <r>
    <x v="1"/>
    <x v="0"/>
    <x v="0"/>
    <s v="1(d)"/>
    <s v="Salaries.  Extended Contract - Classroom Teachers, Supplemental PLC Participation."/>
    <m/>
    <n v="0"/>
    <n v="1335450"/>
    <n v="1335450"/>
  </r>
  <r>
    <x v="1"/>
    <x v="2"/>
    <x v="0"/>
    <s v="1(d)"/>
    <s v="Retirement - PLC"/>
    <m/>
    <n v="0"/>
    <n v="156647"/>
    <n v="156647"/>
  </r>
  <r>
    <x v="1"/>
    <x v="3"/>
    <x v="0"/>
    <s v="1(d)"/>
    <s v="Social Security/Medicare - Supplemental PLC"/>
    <m/>
    <n v="0"/>
    <n v="102162"/>
    <n v="102162"/>
  </r>
  <r>
    <x v="1"/>
    <x v="4"/>
    <x v="0"/>
    <s v="1(d)"/>
    <s v="Worker's Compensation - Supplemental PLC "/>
    <m/>
    <n v="0"/>
    <n v="5741"/>
    <n v="5741"/>
  </r>
  <r>
    <x v="2"/>
    <x v="5"/>
    <x v="0"/>
    <s v="1(e)"/>
    <s v="Digital access to supplemental curriculum and progress monitoring tools to support mitigation of learning loss"/>
    <m/>
    <n v="950008.85"/>
    <n v="2645054.15"/>
    <n v="3595063"/>
  </r>
  <r>
    <x v="2"/>
    <x v="8"/>
    <x v="0"/>
    <s v="1(f)"/>
    <s v="Instructional materials to support mitigation of learning loss"/>
    <m/>
    <n v="532684"/>
    <n v="0"/>
    <n v="532684"/>
  </r>
  <r>
    <x v="0"/>
    <x v="0"/>
    <x v="0"/>
    <s v="1(g)"/>
    <s v="Salaries.  Supplemental pay for certified teachers to provide individualized support for students on the Bookmobile in the areas of math, science and/or reading; outside of regularly contracted hours."/>
    <m/>
    <n v="22500"/>
    <n v="0"/>
    <n v="22500"/>
  </r>
  <r>
    <x v="0"/>
    <x v="2"/>
    <x v="0"/>
    <s v="1(g)"/>
    <s v="Retirement"/>
    <m/>
    <n v="2640"/>
    <n v="0"/>
    <n v="2640"/>
  </r>
  <r>
    <x v="0"/>
    <x v="3"/>
    <x v="0"/>
    <s v="1(g)"/>
    <s v="Social Security/Medicare"/>
    <m/>
    <n v="1723"/>
    <n v="0"/>
    <n v="1723"/>
  </r>
  <r>
    <x v="0"/>
    <x v="4"/>
    <x v="0"/>
    <s v="1(g)"/>
    <s v="Worker's Compensation"/>
    <m/>
    <n v="97"/>
    <n v="0"/>
    <n v="97"/>
  </r>
  <r>
    <x v="0"/>
    <x v="6"/>
    <x v="0"/>
    <s v="1(g)"/>
    <s v="Printing of learning materials for the Bookmobile."/>
    <m/>
    <n v="5040"/>
    <n v="0"/>
    <n v="5040"/>
  </r>
  <r>
    <x v="0"/>
    <x v="8"/>
    <x v="0"/>
    <s v="1(g)"/>
    <s v="Supplies.  Learning activities for use on the Bookmobile to supplement current materials."/>
    <m/>
    <n v="18000"/>
    <n v="0"/>
    <n v="18000"/>
  </r>
  <r>
    <x v="3"/>
    <x v="0"/>
    <x v="0"/>
    <s v="1(g)"/>
    <s v="Salaries.  Supplemental pay for certified teachers to develop lessons and activities for use by students on the Bookmobile in the areas of math, science and/or reading; outside of regularly contracted hours."/>
    <m/>
    <n v="4175"/>
    <n v="0"/>
    <n v="4175"/>
  </r>
  <r>
    <x v="3"/>
    <x v="2"/>
    <x v="0"/>
    <s v="1(g)"/>
    <s v="Retirement"/>
    <m/>
    <n v="489"/>
    <n v="0"/>
    <n v="489"/>
  </r>
  <r>
    <x v="3"/>
    <x v="3"/>
    <x v="0"/>
    <s v="1(g)"/>
    <s v="Social Security/Medicare"/>
    <m/>
    <n v="319"/>
    <n v="0"/>
    <n v="319"/>
  </r>
  <r>
    <x v="3"/>
    <x v="4"/>
    <x v="0"/>
    <s v="1(g)"/>
    <s v="Worker's Compensation"/>
    <m/>
    <n v="17"/>
    <n v="0"/>
    <n v="17"/>
  </r>
  <r>
    <x v="3"/>
    <x v="0"/>
    <x v="0"/>
    <s v="1(h)"/>
    <s v="Salaries.  Extended Contract for instructional staff to participate in additional days of pre-plan prior to the start of the school year."/>
    <m/>
    <n v="0"/>
    <n v="1300000"/>
    <n v="1300000"/>
  </r>
  <r>
    <x v="3"/>
    <x v="2"/>
    <x v="0"/>
    <s v="1(h)"/>
    <s v="Retirement"/>
    <m/>
    <n v="0"/>
    <n v="152490"/>
    <n v="152490"/>
  </r>
  <r>
    <x v="3"/>
    <x v="3"/>
    <x v="0"/>
    <s v="1(h)"/>
    <s v="Social Security/Medicare"/>
    <m/>
    <n v="0"/>
    <n v="99450"/>
    <n v="99450"/>
  </r>
  <r>
    <x v="3"/>
    <x v="4"/>
    <x v="0"/>
    <s v="1(h)"/>
    <s v="Worker's Compensation"/>
    <m/>
    <n v="0"/>
    <n v="5590"/>
    <n v="5590"/>
  </r>
  <r>
    <x v="2"/>
    <x v="10"/>
    <x v="0"/>
    <s v="1(i)"/>
    <s v="Charter school reimbursement"/>
    <m/>
    <n v="450695.38"/>
    <n v="246368.55"/>
    <n v="697063.92999999993"/>
  </r>
  <r>
    <x v="4"/>
    <x v="10"/>
    <x v="0"/>
    <s v="1(i)"/>
    <s v="Charter school reimbursement"/>
    <m/>
    <n v="277186.8"/>
    <n v="120000"/>
    <n v="397186.8"/>
  </r>
  <r>
    <x v="0"/>
    <x v="10"/>
    <x v="0"/>
    <s v="1(i)"/>
    <s v="Charter school reimbursement"/>
    <m/>
    <n v="36000"/>
    <n v="46336"/>
    <n v="82336"/>
  </r>
  <r>
    <x v="3"/>
    <x v="10"/>
    <x v="0"/>
    <s v="1(i)"/>
    <s v="Charter school reimbursement"/>
    <m/>
    <n v="11294.4"/>
    <n v="0"/>
    <n v="11294.4"/>
  </r>
  <r>
    <x v="1"/>
    <x v="10"/>
    <x v="0"/>
    <s v="1(i)"/>
    <s v="Charter school reimbursement"/>
    <m/>
    <n v="2500"/>
    <n v="215920"/>
    <n v="218420"/>
  </r>
  <r>
    <x v="5"/>
    <x v="10"/>
    <x v="0"/>
    <s v="1(i)"/>
    <s v="Charter school reimbursement"/>
    <m/>
    <n v="7000"/>
    <n v="0"/>
    <n v="7000"/>
  </r>
  <r>
    <x v="3"/>
    <x v="0"/>
    <x v="1"/>
    <s v="2(A)(a)"/>
    <s v="Salaries.  Extended Contract for instructional staff to participate in additional days of pre-plan prior to the start of the school year. [Continuation of Activity 1(i)]"/>
    <m/>
    <n v="0"/>
    <n v="5377250"/>
    <n v="5377250"/>
  </r>
  <r>
    <x v="3"/>
    <x v="2"/>
    <x v="1"/>
    <s v="2(A)(a)"/>
    <s v="Retirement"/>
    <m/>
    <n v="0"/>
    <n v="630737"/>
    <n v="630737"/>
  </r>
  <r>
    <x v="3"/>
    <x v="3"/>
    <x v="1"/>
    <s v="2(A)(a)"/>
    <s v="Social Security/Medicare"/>
    <m/>
    <n v="0"/>
    <n v="411360"/>
    <n v="411360"/>
  </r>
  <r>
    <x v="3"/>
    <x v="4"/>
    <x v="1"/>
    <s v="2(A)(a)"/>
    <s v="Worker's Compensation"/>
    <m/>
    <n v="0"/>
    <n v="23123"/>
    <n v="23123"/>
  </r>
  <r>
    <x v="1"/>
    <x v="11"/>
    <x v="1"/>
    <s v="2(A)(b)"/>
    <s v="Contracted services for content experts to deliver professional learning focused on behavior support and trauma informed care."/>
    <m/>
    <n v="100000"/>
    <n v="0"/>
    <n v="100000"/>
  </r>
  <r>
    <x v="1"/>
    <x v="5"/>
    <x v="1"/>
    <s v="2(A)(c)"/>
    <s v="Digital access to a tool to analyze student data for the purpose of guiding teacher development and instructional decisions (2 year access)"/>
    <m/>
    <n v="0"/>
    <n v="83800"/>
    <n v="83800"/>
  </r>
  <r>
    <x v="6"/>
    <x v="10"/>
    <x v="1"/>
    <s v="2(A)(d) "/>
    <s v="Charter school reimbursement"/>
    <m/>
    <n v="0"/>
    <n v="44000"/>
    <n v="44000"/>
  </r>
  <r>
    <x v="7"/>
    <x v="10"/>
    <x v="2"/>
    <s v="2(F)(a) "/>
    <s v="Charter school reimbursement"/>
    <m/>
    <n v="5474.96"/>
    <n v="0"/>
    <n v="5474.96"/>
  </r>
  <r>
    <x v="3"/>
    <x v="10"/>
    <x v="2"/>
    <s v="2(F)(a) "/>
    <s v="Charter school reimbursement"/>
    <m/>
    <n v="9572"/>
    <n v="0"/>
    <n v="9572"/>
  </r>
  <r>
    <x v="8"/>
    <x v="10"/>
    <x v="3"/>
    <s v="2(G)(a) "/>
    <s v="Charter school reimbursement"/>
    <m/>
    <n v="5013.03"/>
    <n v="6313.03"/>
    <n v="11326.06"/>
  </r>
  <r>
    <x v="9"/>
    <x v="7"/>
    <x v="4"/>
    <s v="2(I)(a)"/>
    <s v="Supplies. Supplemental disinfectant products and supplies to maintain healthy learning environment."/>
    <m/>
    <n v="0"/>
    <n v="76000"/>
    <n v="76000"/>
  </r>
  <r>
    <x v="9"/>
    <x v="6"/>
    <x v="4"/>
    <s v="2(I)(b)"/>
    <s v="Other purchased services.  Microfiber towel service for schools to maintain healthy learning environment."/>
    <m/>
    <n v="0"/>
    <n v="60000"/>
    <n v="60000"/>
  </r>
  <r>
    <x v="9"/>
    <x v="10"/>
    <x v="4"/>
    <s v="2(I)(c) "/>
    <s v="Charter school reimbursement"/>
    <m/>
    <n v="0"/>
    <n v="15000"/>
    <n v="15000"/>
  </r>
  <r>
    <x v="2"/>
    <x v="12"/>
    <x v="5"/>
    <s v="2(K)(a)"/>
    <s v="Educational technology. Computer devices for teacher and/or student use in the classroom."/>
    <m/>
    <n v="3855000"/>
    <n v="0"/>
    <n v="3855000"/>
  </r>
  <r>
    <x v="10"/>
    <x v="5"/>
    <x v="5"/>
    <s v="2(K)(b)"/>
    <s v="Digital access to web content filtering software."/>
    <m/>
    <n v="141450"/>
    <n v="0"/>
    <n v="141450"/>
  </r>
  <r>
    <x v="10"/>
    <x v="5"/>
    <x v="5"/>
    <s v="2(K)(c)"/>
    <s v="Digital access to interactive software for enhanced learning opportunities/digital lesson development."/>
    <m/>
    <n v="80000"/>
    <n v="0"/>
    <n v="80000"/>
  </r>
  <r>
    <x v="2"/>
    <x v="10"/>
    <x v="5"/>
    <s v="2(K)(d) "/>
    <s v="Charter school reimbursement"/>
    <m/>
    <n v="315173.61"/>
    <n v="34003.550000000003"/>
    <n v="349177.16"/>
  </r>
  <r>
    <x v="4"/>
    <x v="10"/>
    <x v="5"/>
    <s v="2(K)(d) "/>
    <s v="Charter school reimbursement"/>
    <m/>
    <n v="9000"/>
    <n v="0"/>
    <n v="9000"/>
  </r>
  <r>
    <x v="2"/>
    <x v="13"/>
    <x v="6"/>
    <s v="2(L)(a)"/>
    <s v="Behavior Interventionists (20 FTE)"/>
    <n v="20"/>
    <n v="1018250"/>
    <n v="1018250"/>
    <n v="2036500"/>
  </r>
  <r>
    <x v="2"/>
    <x v="2"/>
    <x v="6"/>
    <s v="2(L)(a)"/>
    <s v="Retirement - Behavior Interventionists"/>
    <m/>
    <n v="119415"/>
    <n v="119415"/>
    <n v="238830"/>
  </r>
  <r>
    <x v="2"/>
    <x v="3"/>
    <x v="6"/>
    <s v="2(L)(a)"/>
    <s v="Social Security/Medicare - Behavior Interventionists"/>
    <m/>
    <n v="77896"/>
    <n v="77896"/>
    <n v="155792"/>
  </r>
  <r>
    <x v="2"/>
    <x v="14"/>
    <x v="6"/>
    <s v="2(L)(a)"/>
    <s v="Health/Life Insurance - Behavior Interventionists"/>
    <m/>
    <n v="180060"/>
    <n v="180060"/>
    <n v="360120"/>
  </r>
  <r>
    <x v="2"/>
    <x v="4"/>
    <x v="6"/>
    <s v="2(L)(a)"/>
    <s v="Workers' Compensation - Behavior Interventionists"/>
    <m/>
    <n v="4379"/>
    <n v="4379"/>
    <n v="8758"/>
  </r>
  <r>
    <x v="9"/>
    <x v="1"/>
    <x v="6"/>
    <s v="2(L)(b)"/>
    <s v="School Security Officers (2 FTE)"/>
    <n v="2"/>
    <n v="56000"/>
    <n v="56000"/>
    <n v="112000"/>
  </r>
  <r>
    <x v="9"/>
    <x v="2"/>
    <x v="6"/>
    <s v="2(L)(b)"/>
    <s v="Retirement - School Security Officer"/>
    <m/>
    <n v="6569"/>
    <n v="6569"/>
    <n v="13138"/>
  </r>
  <r>
    <x v="9"/>
    <x v="3"/>
    <x v="6"/>
    <s v="2(L)(b)"/>
    <s v="Social Security/Medicare - School Security Officer"/>
    <m/>
    <n v="42840"/>
    <n v="42840"/>
    <n v="85680"/>
  </r>
  <r>
    <x v="9"/>
    <x v="14"/>
    <x v="6"/>
    <s v="2(L)(b)"/>
    <s v="Health/Life Insurance - School Security Officer"/>
    <m/>
    <n v="18006"/>
    <n v="18006"/>
    <n v="36012"/>
  </r>
  <r>
    <x v="9"/>
    <x v="4"/>
    <x v="6"/>
    <s v="2(L)(b)"/>
    <s v="Workers' Compensation - School Security Officer"/>
    <m/>
    <n v="241"/>
    <n v="241"/>
    <n v="482"/>
  </r>
  <r>
    <x v="11"/>
    <x v="10"/>
    <x v="6"/>
    <s v="2(L)(c) "/>
    <s v="Charter school reimbursement"/>
    <m/>
    <n v="3729.5"/>
    <n v="10688.5"/>
    <n v="14418"/>
  </r>
  <r>
    <x v="12"/>
    <x v="10"/>
    <x v="6"/>
    <s v="2(L)(c) "/>
    <s v="Charter school reimbursement"/>
    <m/>
    <n v="197400"/>
    <n v="12000"/>
    <n v="209400"/>
  </r>
  <r>
    <x v="1"/>
    <x v="10"/>
    <x v="6"/>
    <s v="2(L)(c) "/>
    <s v="Charter school reimbursement"/>
    <m/>
    <n v="5000"/>
    <n v="5000"/>
    <n v="10000"/>
  </r>
  <r>
    <x v="12"/>
    <x v="10"/>
    <x v="7"/>
    <s v="2(M)(a) "/>
    <s v="Charter school reimbursement"/>
    <m/>
    <n v="24000"/>
    <n v="0"/>
    <n v="24000"/>
  </r>
  <r>
    <x v="13"/>
    <x v="10"/>
    <x v="7"/>
    <s v="2(M)(a) "/>
    <s v="Charter school reimbursement"/>
    <m/>
    <n v="0"/>
    <n v="800"/>
    <n v="800"/>
  </r>
  <r>
    <x v="6"/>
    <x v="9"/>
    <x v="8"/>
    <s v="2(N)(a)"/>
    <s v="Teacher-on-Assignment, Student Success (2.0 FTE) - Family/Community Support"/>
    <n v="2"/>
    <n v="0"/>
    <n v="106000"/>
    <n v="106000"/>
  </r>
  <r>
    <x v="6"/>
    <x v="2"/>
    <x v="8"/>
    <s v="2(N)(a)"/>
    <s v="Retirement - Teacher-on-Assignment, Student Success"/>
    <m/>
    <n v="0"/>
    <n v="12434"/>
    <n v="12434"/>
  </r>
  <r>
    <x v="6"/>
    <x v="3"/>
    <x v="8"/>
    <s v="2(N)(a)"/>
    <s v="Social Security/Medicare - Teacher-on-Assignment, Student Success"/>
    <m/>
    <n v="0"/>
    <n v="8109"/>
    <n v="8109"/>
  </r>
  <r>
    <x v="6"/>
    <x v="14"/>
    <x v="8"/>
    <s v="2(N)(a)"/>
    <s v="Health/Life Insurance - Teacher-on-Assignment, Student Success"/>
    <m/>
    <n v="0"/>
    <n v="18006"/>
    <n v="18006"/>
  </r>
  <r>
    <x v="6"/>
    <x v="4"/>
    <x v="8"/>
    <s v="2(N)(a)"/>
    <s v="Worker's Compensation - Teacher-on-Assignment, Student Success"/>
    <m/>
    <n v="0"/>
    <n v="456"/>
    <n v="456"/>
  </r>
  <r>
    <x v="6"/>
    <x v="7"/>
    <x v="8"/>
    <s v="2(N)(a)"/>
    <s v="Materials/supplies to support Student Success Department staff"/>
    <m/>
    <n v="0"/>
    <n v="250"/>
    <n v="250"/>
  </r>
  <r>
    <x v="3"/>
    <x v="9"/>
    <x v="8"/>
    <s v="2(N)(a)"/>
    <s v="Manager - Learning Loss Initiatives, Student Success (1.0 FTE) "/>
    <n v="1"/>
    <n v="0"/>
    <n v="53000"/>
    <n v="53000"/>
  </r>
  <r>
    <x v="3"/>
    <x v="2"/>
    <x v="8"/>
    <s v="2(N)(a)"/>
    <s v="Retirement - Manager, Student Success"/>
    <m/>
    <n v="0"/>
    <n v="6217"/>
    <n v="6217"/>
  </r>
  <r>
    <x v="3"/>
    <x v="3"/>
    <x v="8"/>
    <s v="2(N)(a)"/>
    <s v="Social Security/Medicare - Manager, Student Success"/>
    <m/>
    <n v="0"/>
    <n v="4055"/>
    <n v="4055"/>
  </r>
  <r>
    <x v="3"/>
    <x v="14"/>
    <x v="8"/>
    <s v="2(N)(a)"/>
    <s v="Health/Life Insurance - Manager, Student Success"/>
    <m/>
    <n v="0"/>
    <n v="9003"/>
    <n v="9003"/>
  </r>
  <r>
    <x v="3"/>
    <x v="4"/>
    <x v="8"/>
    <s v="2(N)(a)"/>
    <s v="Worker's Compensation - Manager, Student Success"/>
    <m/>
    <n v="0"/>
    <n v="228"/>
    <n v="228"/>
  </r>
  <r>
    <x v="3"/>
    <x v="7"/>
    <x v="8"/>
    <s v="2(N)(a)"/>
    <s v="Materials/supplies to support Student Success Department staff"/>
    <m/>
    <n v="0"/>
    <n v="125"/>
    <n v="125"/>
  </r>
  <r>
    <x v="1"/>
    <x v="9"/>
    <x v="8"/>
    <s v="2(N)(a)"/>
    <s v="Instructional Coaches, Student Success (3.5 FTE) - Instructional Support"/>
    <n v="3.5"/>
    <n v="0"/>
    <n v="185500"/>
    <n v="185500"/>
  </r>
  <r>
    <x v="1"/>
    <x v="2"/>
    <x v="8"/>
    <s v="2(N)(a)"/>
    <s v="Retirement - Instructional Coaches, Student Success"/>
    <m/>
    <n v="0"/>
    <n v="21760"/>
    <n v="21760"/>
  </r>
  <r>
    <x v="1"/>
    <x v="3"/>
    <x v="8"/>
    <s v="2(N)(a)"/>
    <s v="Social Security/Medicare - Instructional Coach, Student Success"/>
    <m/>
    <n v="0"/>
    <n v="14191"/>
    <n v="14191"/>
  </r>
  <r>
    <x v="1"/>
    <x v="14"/>
    <x v="8"/>
    <s v="2(N)(a)"/>
    <s v="Health/Life Insurance - Instructional Coaches, Student Success"/>
    <m/>
    <n v="0"/>
    <n v="31511"/>
    <n v="31511"/>
  </r>
  <r>
    <x v="1"/>
    <x v="4"/>
    <x v="8"/>
    <s v="2(N)(a)"/>
    <s v="Worker's Compensation - Instructional Coaches, Student Success"/>
    <m/>
    <n v="0"/>
    <n v="798"/>
    <n v="798"/>
  </r>
  <r>
    <x v="1"/>
    <x v="4"/>
    <x v="8"/>
    <s v="2(N)(a)"/>
    <s v="Materials/supplies to support Student Success Department staff"/>
    <m/>
    <m/>
    <n v="125"/>
    <n v="125"/>
  </r>
  <r>
    <x v="14"/>
    <x v="9"/>
    <x v="8"/>
    <s v="2(N)(a)"/>
    <s v="Assist Superintendent, Student Success (1.0 FTE)"/>
    <n v="1"/>
    <n v="0"/>
    <n v="132500"/>
    <n v="132500"/>
  </r>
  <r>
    <x v="14"/>
    <x v="9"/>
    <x v="8"/>
    <s v="2(N)(a)"/>
    <s v="Principal-on-Assignment, Student Success (1.0 FTE)"/>
    <n v="1"/>
    <n v="0"/>
    <n v="106000"/>
    <n v="106000"/>
  </r>
  <r>
    <x v="14"/>
    <x v="2"/>
    <x v="8"/>
    <s v="2(N)(a)"/>
    <s v="Retirement - Assist Super, Student Success"/>
    <m/>
    <n v="0"/>
    <n v="15543"/>
    <n v="15543"/>
  </r>
  <r>
    <x v="14"/>
    <x v="2"/>
    <x v="8"/>
    <s v="2(N)(a)"/>
    <s v="Retirement - Principal-on-Assignment, Student Success"/>
    <m/>
    <n v="0"/>
    <n v="12434"/>
    <n v="12434"/>
  </r>
  <r>
    <x v="14"/>
    <x v="3"/>
    <x v="8"/>
    <s v="2(N)(a)"/>
    <s v="Social Security/Medicare - Assist Super, Student Success"/>
    <m/>
    <n v="0"/>
    <n v="10137"/>
    <n v="10137"/>
  </r>
  <r>
    <x v="14"/>
    <x v="3"/>
    <x v="8"/>
    <s v="2(N)(a)"/>
    <s v="Social Security/Medicare - Principal-on-Assignment, Student Success"/>
    <m/>
    <n v="0"/>
    <n v="8109"/>
    <n v="8109"/>
  </r>
  <r>
    <x v="14"/>
    <x v="14"/>
    <x v="8"/>
    <s v="2(N)(a)"/>
    <s v="Health/Life Insurance - Assist Super, Student Success"/>
    <m/>
    <n v="0"/>
    <n v="9003"/>
    <n v="9003"/>
  </r>
  <r>
    <x v="14"/>
    <x v="14"/>
    <x v="8"/>
    <s v="2(N)(a)"/>
    <s v="Health/Life Insurance - Principal-on-Assignment, Student Success"/>
    <m/>
    <n v="0"/>
    <n v="9003"/>
    <n v="9003"/>
  </r>
  <r>
    <x v="14"/>
    <x v="4"/>
    <x v="8"/>
    <s v="2(N)(a)"/>
    <s v="Worker's Compensation - Assist Super, Student Success"/>
    <m/>
    <n v="0"/>
    <n v="570"/>
    <n v="570"/>
  </r>
  <r>
    <x v="14"/>
    <x v="4"/>
    <x v="8"/>
    <s v="2(N)(a)"/>
    <s v="Worker's Compensation - Principal-on-Assignment, Student Success"/>
    <m/>
    <n v="0"/>
    <n v="456"/>
    <n v="456"/>
  </r>
  <r>
    <x v="14"/>
    <x v="6"/>
    <x v="8"/>
    <s v="2(N)(a)"/>
    <s v="Printing to support Student Success Department "/>
    <m/>
    <n v="0"/>
    <n v="227"/>
    <n v="227"/>
  </r>
  <r>
    <x v="14"/>
    <x v="7"/>
    <x v="8"/>
    <s v="2(N)(a)"/>
    <s v="Materials/supplies to support Student Success Department staff"/>
    <m/>
    <n v="0"/>
    <n v="250"/>
    <n v="250"/>
  </r>
  <r>
    <x v="3"/>
    <x v="5"/>
    <x v="8"/>
    <s v="2(N)(b)"/>
    <s v="ACT School Day to support students who are deficient in meeting the state assessment graduation requirement; grades 11-12 (2 year service)"/>
    <m/>
    <n v="0"/>
    <n v="501100"/>
    <n v="501100"/>
  </r>
  <r>
    <x v="2"/>
    <x v="10"/>
    <x v="8"/>
    <s v="2(N)(c) "/>
    <s v="Charter school reimbursement"/>
    <m/>
    <n v="10558.24"/>
    <n v="120000"/>
    <n v="130558.24"/>
  </r>
  <r>
    <x v="15"/>
    <x v="10"/>
    <x v="9"/>
    <s v="2(O)(a) "/>
    <s v="Charter school reimbursement"/>
    <m/>
    <n v="76193"/>
    <n v="0"/>
    <n v="76193"/>
  </r>
  <r>
    <x v="16"/>
    <x v="10"/>
    <x v="9"/>
    <s v="2(O)(a) "/>
    <s v="Charter school reimbursement"/>
    <m/>
    <n v="93635.57"/>
    <n v="0"/>
    <n v="93635.57"/>
  </r>
  <r>
    <x v="9"/>
    <x v="10"/>
    <x v="9"/>
    <s v="2(O)(a) "/>
    <s v="Charter school reimbursement"/>
    <m/>
    <n v="38415.08"/>
    <n v="0"/>
    <n v="38415.08"/>
  </r>
  <r>
    <x v="17"/>
    <x v="15"/>
    <x v="10"/>
    <s v="2(P)(a)"/>
    <s v="Contracted services. Outside air unit repairs."/>
    <m/>
    <n v="1552000"/>
    <n v="0"/>
    <n v="1552000"/>
  </r>
  <r>
    <x v="17"/>
    <x v="12"/>
    <x v="10"/>
    <s v="2(P)(a)"/>
    <s v="Equipment to improve air quality in school facilities and auxiliary sites"/>
    <m/>
    <n v="580000"/>
    <n v="0"/>
    <n v="580000"/>
  </r>
  <r>
    <x v="17"/>
    <x v="16"/>
    <x v="10"/>
    <s v="2(P)(a)"/>
    <s v="Renovations and repairs to air handlers/DX, outside air units, other HVAC equipment, and control systems, as well as control efficiency updates to improve air quality in school facilities and auxiliary sites"/>
    <m/>
    <n v="21868000"/>
    <n v="0"/>
    <n v="21868000"/>
  </r>
  <r>
    <x v="9"/>
    <x v="10"/>
    <x v="10"/>
    <s v="2(P)(b) "/>
    <s v="Charter school reimbursement"/>
    <m/>
    <n v="11000"/>
    <n v="11000"/>
    <n v="22000"/>
  </r>
  <r>
    <x v="17"/>
    <x v="10"/>
    <x v="10"/>
    <s v="2(P)(b) "/>
    <s v="Charter school reimbursement"/>
    <m/>
    <n v="237745"/>
    <n v="0"/>
    <n v="237745"/>
  </r>
  <r>
    <x v="12"/>
    <x v="13"/>
    <x v="11"/>
    <s v="2(Q)(a)"/>
    <s v="School Nurses (3.0 FTE)"/>
    <n v="3"/>
    <n v="0"/>
    <n v="134610"/>
    <n v="134610"/>
  </r>
  <r>
    <x v="12"/>
    <x v="2"/>
    <x v="11"/>
    <s v="2(Q)(a)"/>
    <s v="Retirement - School Nurses"/>
    <m/>
    <n v="0"/>
    <n v="15790"/>
    <n v="15790"/>
  </r>
  <r>
    <x v="12"/>
    <x v="3"/>
    <x v="11"/>
    <s v="2(Q)(a)"/>
    <s v="Social Security/Medicare -  School Nurses"/>
    <m/>
    <n v="0"/>
    <n v="10298"/>
    <n v="10298"/>
  </r>
  <r>
    <x v="12"/>
    <x v="14"/>
    <x v="11"/>
    <s v="2(Q)(a)"/>
    <s v="Health/Life Insurance -  School Nurses"/>
    <m/>
    <n v="0"/>
    <n v="27009"/>
    <n v="27009"/>
  </r>
  <r>
    <x v="12"/>
    <x v="4"/>
    <x v="11"/>
    <s v="2(Q)(a)"/>
    <s v="Worker's Compensation -  School Nurses"/>
    <m/>
    <n v="0"/>
    <n v="579"/>
    <n v="579"/>
  </r>
  <r>
    <x v="9"/>
    <x v="1"/>
    <x v="11"/>
    <s v="2(Q)(b)"/>
    <s v="Salaries. Supplemental pay for staff to support custodial needs; overtime."/>
    <m/>
    <n v="400000"/>
    <n v="400000"/>
    <n v="800000"/>
  </r>
  <r>
    <x v="9"/>
    <x v="1"/>
    <x v="11"/>
    <s v="2(Q)(b)"/>
    <s v="Salaries. Supplemental pay for staff to support custodial needs; retention/recruitment pay."/>
    <m/>
    <n v="100000"/>
    <n v="100000"/>
    <n v="200000"/>
  </r>
  <r>
    <x v="9"/>
    <x v="2"/>
    <x v="11"/>
    <s v="2(Q)(b)"/>
    <s v="Retirement - Custodial/OT"/>
    <m/>
    <n v="46920"/>
    <n v="46920"/>
    <n v="93840"/>
  </r>
  <r>
    <x v="9"/>
    <x v="3"/>
    <x v="11"/>
    <s v="2(Q)(b)"/>
    <s v="Social Security/Medicare - Custodial/OT"/>
    <m/>
    <n v="30600"/>
    <n v="30600"/>
    <n v="61200"/>
  </r>
  <r>
    <x v="9"/>
    <x v="3"/>
    <x v="11"/>
    <s v="2(Q)(b)"/>
    <s v="Social Security/Medicare - Custodial/retention-recruitment"/>
    <m/>
    <n v="7650"/>
    <n v="7650"/>
    <n v="15300"/>
  </r>
  <r>
    <x v="9"/>
    <x v="4"/>
    <x v="11"/>
    <s v="2(Q)(b)"/>
    <s v="Worker's Compensation - Custodial/OT "/>
    <m/>
    <n v="1720"/>
    <n v="1720"/>
    <n v="3440"/>
  </r>
  <r>
    <x v="9"/>
    <x v="4"/>
    <x v="11"/>
    <s v="2(Q)(b)"/>
    <s v="Worker's Compensation - Custodial/retention-recruitment"/>
    <m/>
    <n v="430"/>
    <n v="430"/>
    <n v="860"/>
  </r>
  <r>
    <x v="9"/>
    <x v="11"/>
    <x v="11"/>
    <s v="2(Q)(b)"/>
    <s v="Contracted services to support custodial needs."/>
    <m/>
    <n v="287680"/>
    <n v="287680"/>
    <n v="575360"/>
  </r>
  <r>
    <x v="2"/>
    <x v="10"/>
    <x v="11"/>
    <s v="2(Q)(c) "/>
    <s v="Charter school reimbursement"/>
    <m/>
    <n v="4913.6899999999996"/>
    <n v="0"/>
    <n v="4913.6899999999996"/>
  </r>
  <r>
    <x v="12"/>
    <x v="10"/>
    <x v="11"/>
    <s v="2(Q)(c) "/>
    <s v="Charter school reimbursement"/>
    <m/>
    <n v="127000"/>
    <n v="45000"/>
    <n v="172000"/>
  </r>
  <r>
    <x v="18"/>
    <x v="10"/>
    <x v="11"/>
    <s v="2(Q)(c) "/>
    <s v="Charter school reimbursement"/>
    <m/>
    <n v="0"/>
    <n v="25646.51"/>
    <n v="25646.51"/>
  </r>
  <r>
    <x v="9"/>
    <x v="10"/>
    <x v="11"/>
    <s v="2(Q)(c) "/>
    <s v="Charter school reimbursement"/>
    <m/>
    <n v="139389.10999999999"/>
    <n v="48417.279999999999"/>
    <n v="187806.38999999998"/>
  </r>
  <r>
    <x v="17"/>
    <x v="10"/>
    <x v="11"/>
    <s v="2(Q)(c) "/>
    <s v="Charter school reimbursement"/>
    <m/>
    <n v="3590.73"/>
    <n v="0"/>
    <n v="3590.73"/>
  </r>
  <r>
    <x v="2"/>
    <x v="0"/>
    <x v="12"/>
    <s v="2(R)(a)"/>
    <s v="Classroom Teachers, Above Staffing"/>
    <n v="24.25"/>
    <n v="1212500"/>
    <m/>
    <n v="1212500"/>
  </r>
  <r>
    <x v="2"/>
    <x v="2"/>
    <x v="12"/>
    <s v="2(R)(a)"/>
    <s v="Retirement - Classroom Teachers"/>
    <m/>
    <n v="142226.25"/>
    <m/>
    <n v="142226.25"/>
  </r>
  <r>
    <x v="2"/>
    <x v="3"/>
    <x v="12"/>
    <s v="2(R)(a)"/>
    <s v="Social Security/Medicare - Classroom Teachers"/>
    <m/>
    <n v="92756.25"/>
    <m/>
    <n v="92756.25"/>
  </r>
  <r>
    <x v="2"/>
    <x v="14"/>
    <x v="12"/>
    <s v="2(R)(a)"/>
    <s v="Health/Life Insurance - Classroom Teachers"/>
    <m/>
    <n v="224050.69"/>
    <m/>
    <n v="224050.69"/>
  </r>
  <r>
    <x v="2"/>
    <x v="4"/>
    <x v="12"/>
    <s v="2(R)(a)"/>
    <s v="Worker's Compensation - Classroom Teachers"/>
    <m/>
    <n v="5213.75"/>
    <m/>
    <n v="5213.75"/>
  </r>
  <r>
    <x v="2"/>
    <x v="8"/>
    <x v="12"/>
    <s v="2(R)(b)"/>
    <s v="Supplemental ELA/Math resources to align with instructional adoption"/>
    <m/>
    <n v="14800000"/>
    <n v="0"/>
    <n v="14800000"/>
  </r>
  <r>
    <x v="2"/>
    <x v="17"/>
    <x v="12"/>
    <s v="2(R)(c)"/>
    <s v="Supplemental Pay - COVID Disaster Relief Supplement; Employee Stabilization"/>
    <m/>
    <n v="1228163.1100000001"/>
    <n v="596500"/>
    <n v="1824663.11"/>
  </r>
  <r>
    <x v="2"/>
    <x v="3"/>
    <x v="12"/>
    <s v="2(R)(c)"/>
    <s v="Social Security/Medicare (7.65%); Supplemental Pay"/>
    <m/>
    <n v="93954.47791500001"/>
    <n v="45694.8"/>
    <n v="139649.27791500001"/>
  </r>
  <r>
    <x v="2"/>
    <x v="4"/>
    <x v="12"/>
    <s v="2(R)(c)"/>
    <s v="Workers' Compensation (0.43%); Supplemental Pay"/>
    <m/>
    <n v="5281.1013730000004"/>
    <n v="2564.9499999999998"/>
    <n v="7846.0513730000002"/>
  </r>
  <r>
    <x v="4"/>
    <x v="17"/>
    <x v="12"/>
    <s v="2(R)(c)"/>
    <s v="Supplemental Pay - COVID Disaster Relief Supplement; Employee Stabilization"/>
    <m/>
    <n v="645084.70000000007"/>
    <n v="313300"/>
    <n v="958384.70000000007"/>
  </r>
  <r>
    <x v="4"/>
    <x v="3"/>
    <x v="12"/>
    <s v="2(R)(c)"/>
    <s v="Social Security/Medicare (7.65%); Supplemental Pay"/>
    <m/>
    <n v="49348.979550000004"/>
    <n v="23967.45"/>
    <n v="73316.429550000001"/>
  </r>
  <r>
    <x v="4"/>
    <x v="4"/>
    <x v="12"/>
    <s v="2(R)(c)"/>
    <s v="Workers' Compensation (0.43%); Supplemental Pay"/>
    <m/>
    <n v="2773.8642100000002"/>
    <n v="1347.19"/>
    <n v="4121.0542100000002"/>
  </r>
  <r>
    <x v="19"/>
    <x v="17"/>
    <x v="12"/>
    <s v="2(R)(c)"/>
    <s v="Supplemental Pay - COVID Disaster Relief Supplement; Employee Stabilization"/>
    <m/>
    <n v="4797.47"/>
    <n v="2330"/>
    <n v="7127.47"/>
  </r>
  <r>
    <x v="19"/>
    <x v="3"/>
    <x v="12"/>
    <s v="2(R)(c)"/>
    <s v="Social Security/Medicare (7.65%); Supplemental Pay"/>
    <m/>
    <n v="367.00645500000002"/>
    <n v="178.25"/>
    <n v="545.25645499999996"/>
  </r>
  <r>
    <x v="19"/>
    <x v="4"/>
    <x v="12"/>
    <s v="2(R)(c)"/>
    <s v="Workers' Compensation (0.43%); Supplemental Pay"/>
    <m/>
    <n v="20.629121000000001"/>
    <n v="10.02"/>
    <n v="30.649121000000001"/>
  </r>
  <r>
    <x v="20"/>
    <x v="17"/>
    <x v="12"/>
    <s v="2(R)(c)"/>
    <s v="Supplemental Pay - COVID Disaster Relief Supplement; Employee Stabilization"/>
    <m/>
    <n v="4118"/>
    <n v="2000"/>
    <n v="6118"/>
  </r>
  <r>
    <x v="20"/>
    <x v="3"/>
    <x v="12"/>
    <s v="2(R)(c)"/>
    <s v="Social Security/Medicare (7.65%); Supplemental Pay"/>
    <m/>
    <n v="315.02699999999999"/>
    <n v="153"/>
    <n v="468.02699999999999"/>
  </r>
  <r>
    <x v="20"/>
    <x v="4"/>
    <x v="12"/>
    <s v="2(R)(c)"/>
    <s v="Workers' Compensation (0.43%); Supplemental Pay"/>
    <m/>
    <n v="17.7074"/>
    <n v="8.6"/>
    <n v="26.307400000000001"/>
  </r>
  <r>
    <x v="0"/>
    <x v="17"/>
    <x v="12"/>
    <s v="2(R)(c)"/>
    <s v="Supplemental Pay - COVID Disaster Relief Supplement; Employee Stabilization"/>
    <m/>
    <n v="3912.1"/>
    <n v="1900"/>
    <n v="5812.1"/>
  </r>
  <r>
    <x v="0"/>
    <x v="3"/>
    <x v="12"/>
    <s v="2(R)(c)"/>
    <s v="Social Security/Medicare (7.65%); Supplemental Pay"/>
    <m/>
    <n v="299.27564999999998"/>
    <n v="145.35"/>
    <n v="444.62564999999995"/>
  </r>
  <r>
    <x v="0"/>
    <x v="4"/>
    <x v="12"/>
    <s v="2(R)(c)"/>
    <s v="Workers' Compensation (0.43%); Supplemental Pay"/>
    <m/>
    <n v="16.822029999999998"/>
    <n v="8.17"/>
    <n v="24.99203"/>
  </r>
  <r>
    <x v="21"/>
    <x v="17"/>
    <x v="12"/>
    <s v="2(R)(c)"/>
    <s v="Supplemental Pay - COVID Disaster Relief Supplement; Employee Stabilization"/>
    <m/>
    <n v="48901.25"/>
    <n v="23750"/>
    <n v="72651.25"/>
  </r>
  <r>
    <x v="21"/>
    <x v="3"/>
    <x v="12"/>
    <s v="2(R)(c)"/>
    <s v="Social Security/Medicare (7.65%); Supplemental Pay"/>
    <m/>
    <n v="3740.9456249999998"/>
    <n v="1816.88"/>
    <n v="5557.8256249999995"/>
  </r>
  <r>
    <x v="21"/>
    <x v="4"/>
    <x v="12"/>
    <s v="2(R)(c)"/>
    <s v="Workers' Compensation (0.43%); Supplemental Pay"/>
    <m/>
    <n v="210.275375"/>
    <n v="102.13"/>
    <n v="312.40537499999999"/>
  </r>
  <r>
    <x v="11"/>
    <x v="17"/>
    <x v="12"/>
    <s v="2(R)(c)"/>
    <s v="Supplemental Pay - COVID Disaster Relief Supplement; Employee Stabilization"/>
    <m/>
    <n v="63829"/>
    <n v="31000"/>
    <n v="94829"/>
  </r>
  <r>
    <x v="11"/>
    <x v="3"/>
    <x v="12"/>
    <s v="2(R)(c)"/>
    <s v="Social Security/Medicare (7.65%); Supplemental Pay"/>
    <m/>
    <n v="4882.9184999999998"/>
    <n v="2371.5"/>
    <n v="7254.4184999999998"/>
  </r>
  <r>
    <x v="11"/>
    <x v="4"/>
    <x v="12"/>
    <s v="2(R)(c)"/>
    <s v="Workers' Compensation (0.43%); Supplemental Pay"/>
    <m/>
    <n v="274.46469999999999"/>
    <n v="133.30000000000001"/>
    <n v="407.7647"/>
  </r>
  <r>
    <x v="22"/>
    <x v="17"/>
    <x v="12"/>
    <s v="2(R)(c)"/>
    <s v="Supplemental Pay - COVID Disaster Relief Supplement; Employee Stabilization"/>
    <m/>
    <n v="252227.5"/>
    <n v="122500"/>
    <n v="374727.5"/>
  </r>
  <r>
    <x v="22"/>
    <x v="3"/>
    <x v="12"/>
    <s v="2(R)(c)"/>
    <s v="Social Security/Medicare (7.65%); Supplemental Pay"/>
    <m/>
    <n v="19295.403750000001"/>
    <n v="9371.25"/>
    <n v="28666.653750000001"/>
  </r>
  <r>
    <x v="22"/>
    <x v="4"/>
    <x v="12"/>
    <s v="2(R)(c)"/>
    <s v="Workers' Compensation (0.43%); Supplemental Pay"/>
    <m/>
    <n v="1084.57825"/>
    <n v="526.75"/>
    <n v="1611.32825"/>
  </r>
  <r>
    <x v="12"/>
    <x v="17"/>
    <x v="12"/>
    <s v="2(R)(c)"/>
    <s v="Supplemental Pay - COVID Disaster Relief Supplement; Employee Stabilization"/>
    <m/>
    <n v="182571.53"/>
    <n v="88670"/>
    <n v="271241.53000000003"/>
  </r>
  <r>
    <x v="12"/>
    <x v="3"/>
    <x v="12"/>
    <s v="2(R)(c)"/>
    <s v="Social Security/Medicare (7.65%); Supplemental Pay"/>
    <m/>
    <n v="13966.722045"/>
    <n v="6783.26"/>
    <n v="20749.982045000001"/>
  </r>
  <r>
    <x v="12"/>
    <x v="4"/>
    <x v="12"/>
    <s v="2(R)(c)"/>
    <s v="Workers' Compensation (0.43%); Supplemental Pay"/>
    <m/>
    <n v="785.05757900000003"/>
    <n v="381.28"/>
    <n v="1166.337579"/>
  </r>
  <r>
    <x v="23"/>
    <x v="17"/>
    <x v="12"/>
    <s v="2(R)(c)"/>
    <s v="Supplemental Pay - COVID Disaster Relief Supplement; Employee Stabilization"/>
    <m/>
    <n v="74535.8"/>
    <n v="36200"/>
    <n v="110735.8"/>
  </r>
  <r>
    <x v="23"/>
    <x v="3"/>
    <x v="12"/>
    <s v="2(R)(c)"/>
    <s v="Social Security/Medicare (7.65%); Supplemental Pay"/>
    <m/>
    <n v="5701.9886999999999"/>
    <n v="2769.2999999999997"/>
    <n v="8471.2886999999992"/>
  </r>
  <r>
    <x v="23"/>
    <x v="4"/>
    <x v="12"/>
    <s v="2(R)(c)"/>
    <s v="Workers' Compensation (0.43%); Supplemental Pay"/>
    <m/>
    <n v="320.50394"/>
    <n v="155.66"/>
    <n v="476.16394000000003"/>
  </r>
  <r>
    <x v="6"/>
    <x v="17"/>
    <x v="12"/>
    <s v="2(R)(c)"/>
    <s v="Supplemental Pay - COVID Disaster Relief Supplement; Employee Stabilization"/>
    <m/>
    <n v="8441.9"/>
    <n v="4100"/>
    <n v="12541.9"/>
  </r>
  <r>
    <x v="6"/>
    <x v="3"/>
    <x v="12"/>
    <s v="2(R)(c)"/>
    <s v="Social Security/Medicare (7.65%); Supplemental Pay"/>
    <m/>
    <n v="645.80534999999998"/>
    <n v="313.64999999999998"/>
    <n v="959.45534999999995"/>
  </r>
  <r>
    <x v="6"/>
    <x v="4"/>
    <x v="12"/>
    <s v="2(R)(c)"/>
    <s v="Workers' Compensation (0.43%); Supplemental Pay"/>
    <m/>
    <n v="36.300170000000001"/>
    <n v="17.63"/>
    <n v="53.930170000000004"/>
  </r>
  <r>
    <x v="7"/>
    <x v="17"/>
    <x v="12"/>
    <s v="2(R)(c)"/>
    <s v="Supplemental Pay - COVID Disaster Relief Supplement; Employee Stabilization"/>
    <m/>
    <n v="65888"/>
    <n v="32000"/>
    <n v="97888"/>
  </r>
  <r>
    <x v="7"/>
    <x v="3"/>
    <x v="12"/>
    <s v="2(R)(c)"/>
    <s v="Social Security/Medicare (7.65%); Supplemental Pay"/>
    <m/>
    <n v="5040.4319999999998"/>
    <n v="2448"/>
    <n v="7488.4319999999998"/>
  </r>
  <r>
    <x v="7"/>
    <x v="4"/>
    <x v="12"/>
    <s v="2(R)(c)"/>
    <s v="Workers' Compensation (0.43%); Supplemental Pay"/>
    <m/>
    <n v="283.3184"/>
    <n v="137.6"/>
    <n v="420.91840000000002"/>
  </r>
  <r>
    <x v="24"/>
    <x v="17"/>
    <x v="12"/>
    <s v="2(R)(c)"/>
    <s v="Supplemental Pay - COVID Disaster Relief Supplement; Employee Stabilization"/>
    <m/>
    <n v="31914.5"/>
    <n v="15500"/>
    <n v="47414.5"/>
  </r>
  <r>
    <x v="24"/>
    <x v="3"/>
    <x v="12"/>
    <s v="2(R)(c)"/>
    <s v="Social Security/Medicare (7.65%); Supplemental Pay"/>
    <m/>
    <n v="2441.4592499999999"/>
    <n v="1185.75"/>
    <n v="3627.2092499999999"/>
  </r>
  <r>
    <x v="24"/>
    <x v="4"/>
    <x v="12"/>
    <s v="2(R)(c)"/>
    <s v="Workers' Compensation (0.43%); Supplemental Pay"/>
    <m/>
    <n v="137.23235"/>
    <n v="66.650000000000006"/>
    <n v="203.88235"/>
  </r>
  <r>
    <x v="3"/>
    <x v="17"/>
    <x v="12"/>
    <s v="2(R)(c)"/>
    <s v="Supplemental Pay - COVID Disaster Relief Supplement; Employee Stabilization"/>
    <m/>
    <n v="158975.38999999998"/>
    <n v="77210"/>
    <n v="236185.38999999998"/>
  </r>
  <r>
    <x v="3"/>
    <x v="3"/>
    <x v="12"/>
    <s v="2(R)(c)"/>
    <s v="Social Security/Medicare (7.65%); Supplemental Pay"/>
    <m/>
    <n v="12161.617334999999"/>
    <n v="5906.57"/>
    <n v="18068.187334999999"/>
  </r>
  <r>
    <x v="3"/>
    <x v="4"/>
    <x v="12"/>
    <s v="2(R)(c)"/>
    <s v="Workers' Compensation (0.43%); Supplemental Pay"/>
    <m/>
    <n v="683.59417699999995"/>
    <n v="332"/>
    <n v="1015.5941769999999"/>
  </r>
  <r>
    <x v="1"/>
    <x v="17"/>
    <x v="12"/>
    <s v="2(R)(c)"/>
    <s v="Supplemental Pay - COVID Disaster Relief Supplement; Employee Stabilization"/>
    <m/>
    <n v="188069.06"/>
    <n v="91340"/>
    <n v="279409.06"/>
  </r>
  <r>
    <x v="1"/>
    <x v="3"/>
    <x v="12"/>
    <s v="2(R)(c)"/>
    <s v="Social Security/Medicare (7.65%); Supplemental Pay"/>
    <m/>
    <n v="14387.283089999999"/>
    <n v="6987.51"/>
    <n v="21374.793089999999"/>
  </r>
  <r>
    <x v="1"/>
    <x v="4"/>
    <x v="12"/>
    <s v="2(R)(c)"/>
    <s v="Workers' Compensation (0.43%); Supplemental Pay"/>
    <m/>
    <n v="808.696958"/>
    <n v="392.76"/>
    <n v="1201.456958"/>
  </r>
  <r>
    <x v="10"/>
    <x v="17"/>
    <x v="12"/>
    <s v="2(R)(c)"/>
    <s v="Supplemental Pay - COVID Disaster Relief Supplement; Employee Stabilization"/>
    <m/>
    <n v="54892.5"/>
    <n v="56300"/>
    <n v="111192.5"/>
  </r>
  <r>
    <x v="10"/>
    <x v="3"/>
    <x v="12"/>
    <s v="2(R)(c)"/>
    <s v="Social Security/Medicare (7.65%); Supplemental Pay"/>
    <m/>
    <n v="4199.2762499999999"/>
    <n v="4306.95"/>
    <n v="8506.2262499999997"/>
  </r>
  <r>
    <x v="10"/>
    <x v="4"/>
    <x v="12"/>
    <s v="2(R)(c)"/>
    <s v="Workers' Compensation (0.43%); Supplemental Pay"/>
    <m/>
    <n v="236.03774999999999"/>
    <n v="242.09"/>
    <n v="478.12774999999999"/>
  </r>
  <r>
    <x v="5"/>
    <x v="17"/>
    <x v="12"/>
    <s v="2(R)(c)"/>
    <s v="Supplemental Pay - COVID Disaster Relief Supplement; Employee Stabilization"/>
    <m/>
    <n v="5021.25"/>
    <n v="5150"/>
    <n v="10171.25"/>
  </r>
  <r>
    <x v="5"/>
    <x v="3"/>
    <x v="12"/>
    <s v="2(R)(c)"/>
    <s v="Social Security/Medicare (7.65%); Supplemental Pay"/>
    <m/>
    <n v="384.12562500000001"/>
    <n v="393.98"/>
    <n v="778.10562500000003"/>
  </r>
  <r>
    <x v="5"/>
    <x v="4"/>
    <x v="12"/>
    <s v="2(R)(c)"/>
    <s v="Workers' Compensation (0.43%); Supplemental Pay"/>
    <m/>
    <n v="21.591374999999999"/>
    <n v="22.15"/>
    <n v="43.741374999999998"/>
  </r>
  <r>
    <x v="14"/>
    <x v="17"/>
    <x v="12"/>
    <s v="2(R)(c)"/>
    <s v="Supplemental Pay - COVID Disaster Relief Supplement; Employee Stabilization"/>
    <m/>
    <n v="975"/>
    <n v="1000"/>
    <n v="1975"/>
  </r>
  <r>
    <x v="14"/>
    <x v="3"/>
    <x v="12"/>
    <s v="2(R)(c)"/>
    <s v="Social Security/Medicare (7.65%); Supplemental Pay"/>
    <m/>
    <n v="74.587500000000006"/>
    <n v="76.5"/>
    <n v="151.08750000000001"/>
  </r>
  <r>
    <x v="14"/>
    <x v="4"/>
    <x v="12"/>
    <s v="2(R)(c)"/>
    <s v="Workers' Compensation (0.43%); Supplemental Pay"/>
    <m/>
    <n v="4.1924999999999999"/>
    <n v="4.3"/>
    <n v="8.4924999999999997"/>
  </r>
  <r>
    <x v="18"/>
    <x v="17"/>
    <x v="12"/>
    <s v="2(R)(c)"/>
    <s v="Supplemental Pay - COVID Disaster Relief Supplement; Employee Stabilization"/>
    <m/>
    <n v="433728.75"/>
    <n v="444850"/>
    <n v="878578.75"/>
  </r>
  <r>
    <x v="18"/>
    <x v="3"/>
    <x v="12"/>
    <s v="2(R)(c)"/>
    <s v="Social Security/Medicare (7.65%); Supplemental Pay"/>
    <m/>
    <n v="33180.249374999999"/>
    <n v="34031.03"/>
    <n v="67211.279374999998"/>
  </r>
  <r>
    <x v="18"/>
    <x v="4"/>
    <x v="12"/>
    <s v="2(R)(c)"/>
    <s v="Workers' Compensation (0.43%); Supplemental Pay"/>
    <m/>
    <n v="1865.033625"/>
    <n v="1912.85"/>
    <n v="3777.8836249999999"/>
  </r>
  <r>
    <x v="15"/>
    <x v="17"/>
    <x v="12"/>
    <s v="2(R)(c)"/>
    <s v="Supplemental Pay - COVID Disaster Relief Supplement; Employee Stabilization"/>
    <m/>
    <n v="12675"/>
    <n v="13000"/>
    <n v="25675"/>
  </r>
  <r>
    <x v="15"/>
    <x v="3"/>
    <x v="12"/>
    <s v="2(R)(c)"/>
    <s v="Social Security/Medicare (7.65%); Supplemental Pay"/>
    <m/>
    <n v="969.63749999999993"/>
    <n v="994.5"/>
    <n v="1964.1374999999998"/>
  </r>
  <r>
    <x v="15"/>
    <x v="4"/>
    <x v="12"/>
    <s v="2(R)(c)"/>
    <s v="Workers' Compensation (0.43%); Supplemental Pay"/>
    <m/>
    <n v="54.502499999999998"/>
    <n v="55.9"/>
    <n v="110.4025"/>
  </r>
  <r>
    <x v="25"/>
    <x v="17"/>
    <x v="12"/>
    <s v="2(R)(c)"/>
    <s v="Supplemental Pay - COVID Disaster Relief Supplement; Employee Stabilization"/>
    <m/>
    <n v="28275"/>
    <n v="29000"/>
    <n v="57275"/>
  </r>
  <r>
    <x v="25"/>
    <x v="3"/>
    <x v="12"/>
    <s v="2(R)(c)"/>
    <s v="Social Security/Medicare (7.65%); Supplemental Pay"/>
    <m/>
    <n v="2163.0374999999999"/>
    <n v="2218.5"/>
    <n v="4381.5375000000004"/>
  </r>
  <r>
    <x v="25"/>
    <x v="4"/>
    <x v="12"/>
    <s v="2(R)(c)"/>
    <s v="Workers' Compensation (0.43%); Supplemental Pay"/>
    <m/>
    <n v="121.5825"/>
    <n v="124.7"/>
    <n v="246.2825"/>
  </r>
  <r>
    <x v="26"/>
    <x v="17"/>
    <x v="12"/>
    <s v="2(R)(c)"/>
    <s v="Supplemental Pay - COVID Disaster Relief Supplement; Employee Stabilization"/>
    <m/>
    <n v="174671.25"/>
    <n v="179150"/>
    <n v="353821.25"/>
  </r>
  <r>
    <x v="26"/>
    <x v="3"/>
    <x v="12"/>
    <s v="2(R)(c)"/>
    <s v="Social Security/Medicare (7.65%); Supplemental Pay"/>
    <m/>
    <n v="13362.350624999999"/>
    <n v="13704.98"/>
    <n v="27067.330624999999"/>
  </r>
  <r>
    <x v="26"/>
    <x v="4"/>
    <x v="12"/>
    <s v="2(R)(c)"/>
    <s v="Workers' Compensation (0.43%); Supplemental Pay"/>
    <m/>
    <n v="751.08637499999998"/>
    <n v="770.35"/>
    <n v="1521.436375"/>
  </r>
  <r>
    <x v="27"/>
    <x v="17"/>
    <x v="12"/>
    <s v="2(R)(c)"/>
    <s v="Supplemental Pay - COVID Disaster Relief Supplement; Employee Stabilization"/>
    <m/>
    <n v="4524"/>
    <n v="4640"/>
    <n v="9164"/>
  </r>
  <r>
    <x v="27"/>
    <x v="3"/>
    <x v="12"/>
    <s v="2(R)(c)"/>
    <s v="Social Security/Medicare (7.65%); Supplemental Pay"/>
    <m/>
    <n v="346.08600000000001"/>
    <n v="354.96"/>
    <n v="701.04600000000005"/>
  </r>
  <r>
    <x v="27"/>
    <x v="4"/>
    <x v="12"/>
    <s v="2(R)(c)"/>
    <s v="Workers' Compensation (0.43%); Supplemental Pay"/>
    <m/>
    <n v="19.453199999999999"/>
    <n v="19.95"/>
    <n v="39.403199999999998"/>
  </r>
  <r>
    <x v="28"/>
    <x v="17"/>
    <x v="12"/>
    <s v="2(R)(c)"/>
    <s v="Supplemental Pay - COVID Disaster Relief Supplement; Employee Stabilization"/>
    <m/>
    <n v="28275"/>
    <n v="29000"/>
    <n v="57275"/>
  </r>
  <r>
    <x v="28"/>
    <x v="3"/>
    <x v="12"/>
    <s v="2(R)(c)"/>
    <s v="Social Security/Medicare (7.65%); Supplemental Pay"/>
    <m/>
    <n v="2163.0374999999999"/>
    <n v="2218.5"/>
    <n v="4381.5375000000004"/>
  </r>
  <r>
    <x v="28"/>
    <x v="4"/>
    <x v="12"/>
    <s v="2(R)(c)"/>
    <s v="Workers' Compensation (0.43%); Supplemental Pay"/>
    <m/>
    <n v="121.5825"/>
    <n v="124.7"/>
    <n v="246.2825"/>
  </r>
  <r>
    <x v="29"/>
    <x v="17"/>
    <x v="12"/>
    <s v="2(R)(c)"/>
    <s v="Supplemental Pay - COVID Disaster Relief Supplement; Employee Stabilization"/>
    <m/>
    <n v="27300"/>
    <n v="28000"/>
    <n v="55300"/>
  </r>
  <r>
    <x v="29"/>
    <x v="3"/>
    <x v="12"/>
    <s v="2(R)(c)"/>
    <s v="Social Security/Medicare (7.65%); Supplemental Pay"/>
    <m/>
    <n v="2088.4499999999998"/>
    <n v="2142"/>
    <n v="4230.45"/>
  </r>
  <r>
    <x v="29"/>
    <x v="4"/>
    <x v="12"/>
    <s v="2(R)(c)"/>
    <s v="Workers' Compensation (0.43%); Supplemental Pay"/>
    <m/>
    <n v="117.39"/>
    <n v="120.4"/>
    <n v="237.79000000000002"/>
  </r>
  <r>
    <x v="30"/>
    <x v="17"/>
    <x v="12"/>
    <s v="2(R)(c)"/>
    <s v="Supplemental Pay - COVID Disaster Relief Supplement; Employee Stabilization"/>
    <m/>
    <n v="407228.25"/>
    <n v="417670"/>
    <n v="824898.25"/>
  </r>
  <r>
    <x v="30"/>
    <x v="3"/>
    <x v="12"/>
    <s v="2(R)(c)"/>
    <s v="Social Security/Medicare (7.65%); Supplemental Pay"/>
    <m/>
    <n v="31152.961124999998"/>
    <n v="31951.759999999998"/>
    <n v="63104.721124999996"/>
  </r>
  <r>
    <x v="30"/>
    <x v="4"/>
    <x v="12"/>
    <s v="2(R)(c)"/>
    <s v="Workers' Compensation (0.43%); Supplemental Pay"/>
    <m/>
    <n v="1751.081475"/>
    <n v="1795.98"/>
    <n v="3547.061475"/>
  </r>
  <r>
    <x v="9"/>
    <x v="17"/>
    <x v="12"/>
    <s v="2(R)(c)"/>
    <s v="Supplemental Pay - COVID Disaster Relief Supplement; Employee Stabilization"/>
    <m/>
    <n v="338812.5"/>
    <n v="347500"/>
    <n v="686312.5"/>
  </r>
  <r>
    <x v="9"/>
    <x v="3"/>
    <x v="12"/>
    <s v="2(R)(c)"/>
    <s v="Social Security/Medicare (7.65%); Supplemental Pay"/>
    <m/>
    <n v="25919.15625"/>
    <n v="26583.75"/>
    <n v="52502.90625"/>
  </r>
  <r>
    <x v="9"/>
    <x v="4"/>
    <x v="12"/>
    <s v="2(R)(c)"/>
    <s v="Workers' Compensation (0.43%); Supplemental Pay"/>
    <m/>
    <n v="1456.89375"/>
    <n v="1494.25"/>
    <n v="2951.1437500000002"/>
  </r>
  <r>
    <x v="17"/>
    <x v="17"/>
    <x v="12"/>
    <s v="2(R)(c)"/>
    <s v="Supplemental Pay - COVID Disaster Relief Supplement; Employee Stabilization"/>
    <m/>
    <n v="110175"/>
    <n v="113000"/>
    <n v="223175"/>
  </r>
  <r>
    <x v="17"/>
    <x v="3"/>
    <x v="12"/>
    <s v="2(R)(c)"/>
    <s v="Social Security/Medicare (7.65%); Supplemental Pay"/>
    <m/>
    <n v="8428.3875000000007"/>
    <n v="8644.5"/>
    <n v="17072.887500000001"/>
  </r>
  <r>
    <x v="17"/>
    <x v="4"/>
    <x v="12"/>
    <s v="2(R)(c)"/>
    <s v="Workers' Compensation (0.43%); Supplemental Pay"/>
    <m/>
    <n v="473.7525"/>
    <n v="485.9"/>
    <n v="959.65249999999992"/>
  </r>
  <r>
    <x v="8"/>
    <x v="17"/>
    <x v="12"/>
    <s v="2(R)(c)"/>
    <s v="Supplemental Pay - COVID Disaster Relief Supplement; Employee Stabilization"/>
    <m/>
    <n v="17745"/>
    <n v="18200"/>
    <n v="35945"/>
  </r>
  <r>
    <x v="8"/>
    <x v="3"/>
    <x v="12"/>
    <s v="2(R)(c)"/>
    <s v="Social Security/Medicare (7.65%); Supplemental Pay"/>
    <m/>
    <n v="1357.4925000000001"/>
    <n v="1392.3"/>
    <n v="2749.7925"/>
  </r>
  <r>
    <x v="8"/>
    <x v="4"/>
    <x v="12"/>
    <s v="2(R)(c)"/>
    <s v="Workers' Compensation (0.43%); Supplemental Pay"/>
    <m/>
    <n v="76.3035"/>
    <n v="78.260000000000005"/>
    <n v="154.5635"/>
  </r>
  <r>
    <x v="31"/>
    <x v="17"/>
    <x v="12"/>
    <s v="2(R)(c)"/>
    <s v="Supplemental Pay - COVID Disaster Relief Supplement; Employee Stabilization"/>
    <m/>
    <n v="20475"/>
    <n v="21000"/>
    <n v="41475"/>
  </r>
  <r>
    <x v="31"/>
    <x v="3"/>
    <x v="12"/>
    <s v="2(R)(c)"/>
    <s v="Social Security/Medicare (7.65%); Supplemental Pay"/>
    <m/>
    <n v="1566.3374999999999"/>
    <n v="1606.5"/>
    <n v="3172.8374999999996"/>
  </r>
  <r>
    <x v="31"/>
    <x v="4"/>
    <x v="12"/>
    <s v="2(R)(c)"/>
    <s v="Workers' Compensation (0.43%); Supplemental Pay"/>
    <m/>
    <n v="88.042500000000004"/>
    <n v="90.3"/>
    <n v="178.3425"/>
  </r>
  <r>
    <x v="18"/>
    <x v="9"/>
    <x v="12"/>
    <s v="2(R)(d)"/>
    <s v="Salaries.  Supplemental pay for 10-month Assistant Principal positions to be temporarily extended to 11-month positions for school years 22/23 and 23/24. "/>
    <m/>
    <n v="0"/>
    <n v="200880"/>
    <n v="200880"/>
  </r>
  <r>
    <x v="18"/>
    <x v="2"/>
    <x v="12"/>
    <s v="2(R)(d)"/>
    <s v="Retirement - Assist Principal Supplemental Pay"/>
    <m/>
    <n v="0"/>
    <n v="23565"/>
    <n v="23565"/>
  </r>
  <r>
    <x v="18"/>
    <x v="3"/>
    <x v="12"/>
    <s v="2(R)(d)"/>
    <s v="Social Security/Medicare - Assist Principal Supplemental Pay"/>
    <m/>
    <n v="0"/>
    <n v="15369"/>
    <n v="15369"/>
  </r>
  <r>
    <x v="18"/>
    <x v="4"/>
    <x v="12"/>
    <s v="2(R)(d)"/>
    <s v="Workers Compensation - Assist Principal Supplemental Pay"/>
    <m/>
    <n v="0"/>
    <n v="864"/>
    <n v="864"/>
  </r>
  <r>
    <x v="27"/>
    <x v="5"/>
    <x v="12"/>
    <s v="2(R)(e)"/>
    <s v="Digital access to an online survey and analysis tool. (2 year access)"/>
    <m/>
    <n v="0"/>
    <n v="170000"/>
    <n v="170000"/>
  </r>
  <r>
    <x v="27"/>
    <x v="9"/>
    <x v="12"/>
    <s v="2(R)(f)"/>
    <s v="Data Analyst (1.0 FTE), Program Evaluation"/>
    <n v="1"/>
    <n v="0"/>
    <n v="93280"/>
    <n v="93280"/>
  </r>
  <r>
    <x v="27"/>
    <x v="2"/>
    <x v="12"/>
    <s v="2(R)(f)"/>
    <s v="Retirement - Program Evaluation"/>
    <m/>
    <n v="0"/>
    <n v="10929"/>
    <n v="10929"/>
  </r>
  <r>
    <x v="27"/>
    <x v="3"/>
    <x v="12"/>
    <s v="2(R)(f)"/>
    <s v="Social Security/Medicare - Program Evaluation"/>
    <m/>
    <n v="0"/>
    <n v="7136"/>
    <n v="7136"/>
  </r>
  <r>
    <x v="27"/>
    <x v="14"/>
    <x v="12"/>
    <s v="2(R)(f)"/>
    <s v="Health/Life Insurance - Program Evaluation"/>
    <m/>
    <n v="0"/>
    <n v="9003"/>
    <n v="9003"/>
  </r>
  <r>
    <x v="27"/>
    <x v="4"/>
    <x v="12"/>
    <s v="2(R)(f)"/>
    <s v="Worker's Compensation - Program Evaluation"/>
    <m/>
    <n v="0"/>
    <n v="402"/>
    <n v="402"/>
  </r>
  <r>
    <x v="2"/>
    <x v="10"/>
    <x v="12"/>
    <s v="2(R)(g) "/>
    <s v="Charter school reimbursement"/>
    <m/>
    <n v="30000"/>
    <n v="60000"/>
    <n v="90000"/>
  </r>
  <r>
    <x v="9"/>
    <x v="10"/>
    <x v="12"/>
    <s v="2(R)(g) "/>
    <s v="Charter school reimbursement"/>
    <m/>
    <n v="20320.11"/>
    <n v="11756.43"/>
    <n v="32076.54"/>
  </r>
  <r>
    <x v="27"/>
    <x v="9"/>
    <x v="13"/>
    <s v="2(S)(a)"/>
    <s v="Director (0.2 FTE) - Grant Management"/>
    <n v="0.2"/>
    <n v="0"/>
    <n v="20336"/>
    <n v="20336"/>
  </r>
  <r>
    <x v="27"/>
    <x v="1"/>
    <x v="13"/>
    <s v="2(S)(a)"/>
    <s v="Specialist I (1.0 FTE) / Bookkeeper (1.0 FTE) - Grant Management"/>
    <n v="2"/>
    <n v="0"/>
    <n v="93260"/>
    <n v="93260"/>
  </r>
  <r>
    <x v="27"/>
    <x v="2"/>
    <x v="13"/>
    <s v="2(S)(a)"/>
    <s v="Retirement - Grant Management"/>
    <m/>
    <n v="0"/>
    <n v="13320"/>
    <n v="13320"/>
  </r>
  <r>
    <x v="27"/>
    <x v="3"/>
    <x v="13"/>
    <s v="2(S)(a)"/>
    <s v="Social Security/Medicare - Grant Management"/>
    <m/>
    <n v="0"/>
    <n v="8690"/>
    <n v="8690"/>
  </r>
  <r>
    <x v="27"/>
    <x v="14"/>
    <x v="13"/>
    <s v="2(S)(a)"/>
    <s v="Health/Life Insurance - Grant Management"/>
    <m/>
    <n v="0"/>
    <n v="19806"/>
    <n v="19806"/>
  </r>
  <r>
    <x v="27"/>
    <x v="4"/>
    <x v="13"/>
    <s v="2(S)(a)"/>
    <s v="Worker's Compensation - Grant Management"/>
    <m/>
    <n v="0"/>
    <n v="488"/>
    <n v="488"/>
  </r>
  <r>
    <x v="27"/>
    <x v="7"/>
    <x v="13"/>
    <s v="2(S)(a)"/>
    <s v="Supplies. Office supplies to support grants management."/>
    <m/>
    <n v="1000"/>
    <n v="0"/>
    <n v="1000"/>
  </r>
  <r>
    <x v="14"/>
    <x v="18"/>
    <x v="13"/>
    <s v="2(S)(b)"/>
    <s v="Indirect costs (3.7%)"/>
    <m/>
    <n v="1163896"/>
    <n v="1053487"/>
    <n v="22173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719EF13-E4C9-42F3-B289-B153228C8535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4:D19" firstHeaderRow="0" firstDataRow="1" firstDataCol="1" rowPageCount="2" colPageCount="1"/>
  <pivotFields count="9">
    <pivotField axis="axisPage" showAll="0">
      <items count="33">
        <item x="2"/>
        <item x="4"/>
        <item x="19"/>
        <item x="20"/>
        <item x="0"/>
        <item x="21"/>
        <item x="11"/>
        <item x="22"/>
        <item x="12"/>
        <item x="23"/>
        <item x="6"/>
        <item x="7"/>
        <item x="24"/>
        <item x="3"/>
        <item x="1"/>
        <item x="10"/>
        <item x="13"/>
        <item x="5"/>
        <item x="14"/>
        <item x="18"/>
        <item x="15"/>
        <item x="16"/>
        <item x="25"/>
        <item x="26"/>
        <item x="27"/>
        <item x="28"/>
        <item x="29"/>
        <item x="30"/>
        <item x="9"/>
        <item x="17"/>
        <item x="8"/>
        <item x="31"/>
        <item t="default"/>
      </items>
    </pivotField>
    <pivotField axis="axisPage" showAll="0">
      <items count="20">
        <item x="17"/>
        <item x="9"/>
        <item x="0"/>
        <item x="13"/>
        <item x="1"/>
        <item x="2"/>
        <item x="3"/>
        <item x="14"/>
        <item x="4"/>
        <item x="11"/>
        <item x="15"/>
        <item x="5"/>
        <item x="6"/>
        <item x="10"/>
        <item x="7"/>
        <item x="8"/>
        <item x="12"/>
        <item x="16"/>
        <item x="18"/>
        <item t="default"/>
      </items>
    </pivotField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dataField="1" showAll="0"/>
    <pivotField dataField="1" showAll="0"/>
    <pivotField dataField="1" numFmtId="43" showAll="0"/>
  </pivotFields>
  <rowFields count="1">
    <field x="2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0" hier="-1"/>
    <pageField fld="1" hier="-1"/>
  </pageFields>
  <dataFields count="3">
    <dataField name="Sum of Amount for 2/3 allocation " fld="6" baseField="2" baseItem="1" numFmtId="4"/>
    <dataField name="Sum of Amount for 1/3 allocation " fld="7" baseField="2" baseItem="1" numFmtId="43"/>
    <dataField name="Sum of Total allocation " fld="8" baseField="2" baseItem="1" numFmtId="4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1"/>
  <sheetViews>
    <sheetView tabSelected="1" zoomScaleNormal="100" workbookViewId="0">
      <selection activeCell="I9" sqref="I9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customWidth="1"/>
    <col min="4" max="4" width="9.6640625" customWidth="1"/>
    <col min="5" max="5" width="46" customWidth="1"/>
    <col min="6" max="6" width="10.1640625" bestFit="1" customWidth="1"/>
    <col min="7" max="9" width="21.5" customWidth="1"/>
    <col min="10" max="10" width="14.5" bestFit="1" customWidth="1"/>
    <col min="11" max="11" width="22.83203125" bestFit="1" customWidth="1"/>
    <col min="12" max="12" width="14.33203125" bestFit="1" customWidth="1"/>
    <col min="13" max="14" width="14.5" bestFit="1" customWidth="1"/>
  </cols>
  <sheetData>
    <row r="1" spans="1:13" x14ac:dyDescent="0.2">
      <c r="A1" s="45" t="s">
        <v>18</v>
      </c>
      <c r="B1" s="46"/>
      <c r="C1" s="46"/>
      <c r="D1" s="46"/>
      <c r="H1" s="47" t="s">
        <v>17</v>
      </c>
      <c r="I1" s="48"/>
    </row>
    <row r="2" spans="1:13" x14ac:dyDescent="0.2">
      <c r="A2" s="46"/>
      <c r="B2" s="46"/>
      <c r="C2" s="46"/>
      <c r="D2" s="46"/>
      <c r="H2" s="48"/>
      <c r="I2" s="48"/>
    </row>
    <row r="3" spans="1:13" x14ac:dyDescent="0.2">
      <c r="A3" s="45" t="s">
        <v>8</v>
      </c>
      <c r="B3" s="46"/>
      <c r="C3" s="46"/>
      <c r="D3" s="46"/>
      <c r="H3" s="48"/>
      <c r="I3" s="48"/>
    </row>
    <row r="4" spans="1:13" x14ac:dyDescent="0.2">
      <c r="A4" s="46"/>
      <c r="B4" s="46"/>
      <c r="C4" s="46"/>
      <c r="D4" s="46"/>
    </row>
    <row r="5" spans="1:13" x14ac:dyDescent="0.2">
      <c r="M5" s="9"/>
    </row>
    <row r="6" spans="1:13" ht="23.25" customHeight="1" x14ac:dyDescent="0.25">
      <c r="A6" s="51" t="s">
        <v>3</v>
      </c>
      <c r="B6" s="51"/>
      <c r="C6" s="51"/>
      <c r="D6" s="51"/>
      <c r="E6" s="51"/>
      <c r="F6" s="51"/>
      <c r="G6" s="51"/>
      <c r="H6" s="51"/>
      <c r="I6" s="51"/>
      <c r="M6" s="13"/>
    </row>
    <row r="7" spans="1:13" ht="23.25" customHeight="1" x14ac:dyDescent="0.25">
      <c r="A7" s="51" t="s">
        <v>15</v>
      </c>
      <c r="B7" s="51"/>
      <c r="C7" s="51"/>
      <c r="D7" s="51"/>
      <c r="E7" s="51"/>
      <c r="F7" s="51"/>
      <c r="G7" s="51"/>
      <c r="H7" s="51"/>
      <c r="I7" s="51"/>
      <c r="K7" s="13"/>
      <c r="L7" s="13"/>
      <c r="M7" s="13"/>
    </row>
    <row r="8" spans="1:13" x14ac:dyDescent="0.2">
      <c r="G8" s="9"/>
      <c r="H8" s="9"/>
      <c r="K8" s="9">
        <v>4626202.8099999996</v>
      </c>
      <c r="L8" s="13">
        <f>K8*0.0765</f>
        <v>353904.51496499998</v>
      </c>
      <c r="M8" s="13">
        <f>K8*0.0043</f>
        <v>19892.672082999998</v>
      </c>
    </row>
    <row r="9" spans="1:13" ht="43" x14ac:dyDescent="0.2">
      <c r="A9" s="1" t="s">
        <v>0</v>
      </c>
      <c r="B9" s="1" t="s">
        <v>1</v>
      </c>
      <c r="C9" s="2" t="s">
        <v>9</v>
      </c>
      <c r="D9" s="2" t="s">
        <v>10</v>
      </c>
      <c r="E9" s="1" t="s">
        <v>2</v>
      </c>
      <c r="F9" s="2" t="s">
        <v>4</v>
      </c>
      <c r="G9" s="2" t="s">
        <v>13</v>
      </c>
      <c r="H9" s="7" t="s">
        <v>12</v>
      </c>
      <c r="I9" s="8" t="s">
        <v>14</v>
      </c>
      <c r="K9" s="16"/>
      <c r="L9" s="16"/>
      <c r="M9" s="13"/>
    </row>
    <row r="10" spans="1:13" s="25" customFormat="1" ht="32" x14ac:dyDescent="0.2">
      <c r="A10" s="3">
        <v>5900</v>
      </c>
      <c r="B10" s="3">
        <v>120</v>
      </c>
      <c r="C10" s="3">
        <v>1</v>
      </c>
      <c r="D10" s="3" t="s">
        <v>19</v>
      </c>
      <c r="E10" s="10" t="s">
        <v>23</v>
      </c>
      <c r="F10" s="3"/>
      <c r="G10" s="11">
        <v>0</v>
      </c>
      <c r="H10" s="12">
        <f>444000*2</f>
        <v>888000</v>
      </c>
      <c r="I10" s="12">
        <f t="shared" ref="I10:I77" si="0">H10+G10</f>
        <v>888000</v>
      </c>
      <c r="K10" s="26"/>
    </row>
    <row r="11" spans="1:13" s="25" customFormat="1" ht="48" x14ac:dyDescent="0.2">
      <c r="A11" s="3">
        <v>5900</v>
      </c>
      <c r="B11" s="3">
        <v>160</v>
      </c>
      <c r="C11" s="3">
        <v>1</v>
      </c>
      <c r="D11" s="3" t="s">
        <v>19</v>
      </c>
      <c r="E11" s="10" t="s">
        <v>31</v>
      </c>
      <c r="F11" s="3"/>
      <c r="G11" s="11">
        <v>0</v>
      </c>
      <c r="H11" s="12">
        <f>90000*2</f>
        <v>180000</v>
      </c>
      <c r="I11" s="12">
        <f t="shared" si="0"/>
        <v>180000</v>
      </c>
      <c r="K11" s="26"/>
    </row>
    <row r="12" spans="1:13" s="25" customFormat="1" ht="32" x14ac:dyDescent="0.2">
      <c r="A12" s="3">
        <v>5900</v>
      </c>
      <c r="B12" s="3">
        <v>160</v>
      </c>
      <c r="C12" s="3">
        <v>1</v>
      </c>
      <c r="D12" s="3" t="s">
        <v>19</v>
      </c>
      <c r="E12" s="10" t="s">
        <v>30</v>
      </c>
      <c r="F12" s="3"/>
      <c r="G12" s="11">
        <v>0</v>
      </c>
      <c r="H12" s="12">
        <v>140000</v>
      </c>
      <c r="I12" s="12">
        <f t="shared" si="0"/>
        <v>140000</v>
      </c>
      <c r="J12" s="26"/>
      <c r="K12" s="26"/>
    </row>
    <row r="13" spans="1:13" s="25" customFormat="1" ht="16" x14ac:dyDescent="0.2">
      <c r="A13" s="3">
        <v>5900</v>
      </c>
      <c r="B13" s="3">
        <v>210</v>
      </c>
      <c r="C13" s="3">
        <v>1</v>
      </c>
      <c r="D13" s="3" t="s">
        <v>19</v>
      </c>
      <c r="E13" s="10" t="s">
        <v>20</v>
      </c>
      <c r="F13" s="3"/>
      <c r="G13" s="11">
        <v>0</v>
      </c>
      <c r="H13" s="12">
        <f>52082*2</f>
        <v>104164</v>
      </c>
      <c r="I13" s="12">
        <f t="shared" si="0"/>
        <v>104164</v>
      </c>
      <c r="K13" s="26"/>
    </row>
    <row r="14" spans="1:13" s="25" customFormat="1" ht="16" x14ac:dyDescent="0.2">
      <c r="A14" s="3">
        <v>5900</v>
      </c>
      <c r="B14" s="3">
        <v>210</v>
      </c>
      <c r="C14" s="3">
        <v>1</v>
      </c>
      <c r="D14" s="3" t="s">
        <v>19</v>
      </c>
      <c r="E14" s="10" t="s">
        <v>20</v>
      </c>
      <c r="F14" s="3"/>
      <c r="G14" s="11">
        <v>0</v>
      </c>
      <c r="H14" s="12">
        <v>21114</v>
      </c>
      <c r="I14" s="12">
        <f t="shared" si="0"/>
        <v>21114</v>
      </c>
      <c r="K14" s="26"/>
    </row>
    <row r="15" spans="1:13" s="25" customFormat="1" ht="16" x14ac:dyDescent="0.2">
      <c r="A15" s="3">
        <v>5900</v>
      </c>
      <c r="B15" s="3">
        <v>210</v>
      </c>
      <c r="C15" s="3">
        <v>1</v>
      </c>
      <c r="D15" s="3" t="s">
        <v>19</v>
      </c>
      <c r="E15" s="10" t="s">
        <v>20</v>
      </c>
      <c r="F15" s="3"/>
      <c r="G15" s="11">
        <v>0</v>
      </c>
      <c r="H15" s="12">
        <v>16422</v>
      </c>
      <c r="I15" s="12">
        <f t="shared" si="0"/>
        <v>16422</v>
      </c>
      <c r="K15" s="26"/>
    </row>
    <row r="16" spans="1:13" s="25" customFormat="1" ht="16" x14ac:dyDescent="0.2">
      <c r="A16" s="3">
        <v>5900</v>
      </c>
      <c r="B16" s="3">
        <v>220</v>
      </c>
      <c r="C16" s="3">
        <v>1</v>
      </c>
      <c r="D16" s="3" t="s">
        <v>19</v>
      </c>
      <c r="E16" s="10" t="s">
        <v>21</v>
      </c>
      <c r="F16" s="3"/>
      <c r="G16" s="11">
        <v>0</v>
      </c>
      <c r="H16" s="12">
        <f>33966*2</f>
        <v>67932</v>
      </c>
      <c r="I16" s="12">
        <f t="shared" si="0"/>
        <v>67932</v>
      </c>
      <c r="K16" s="26"/>
    </row>
    <row r="17" spans="1:11" s="25" customFormat="1" ht="16" x14ac:dyDescent="0.2">
      <c r="A17" s="3">
        <v>5900</v>
      </c>
      <c r="B17" s="3">
        <v>220</v>
      </c>
      <c r="C17" s="3">
        <v>1</v>
      </c>
      <c r="D17" s="3" t="s">
        <v>19</v>
      </c>
      <c r="E17" s="10" t="s">
        <v>21</v>
      </c>
      <c r="F17" s="3"/>
      <c r="G17" s="11">
        <v>0</v>
      </c>
      <c r="H17" s="12">
        <v>13770</v>
      </c>
      <c r="I17" s="12">
        <f t="shared" si="0"/>
        <v>13770</v>
      </c>
      <c r="K17" s="26"/>
    </row>
    <row r="18" spans="1:11" s="25" customFormat="1" ht="16" x14ac:dyDescent="0.2">
      <c r="A18" s="3">
        <v>5900</v>
      </c>
      <c r="B18" s="3">
        <v>220</v>
      </c>
      <c r="C18" s="3">
        <v>1</v>
      </c>
      <c r="D18" s="3" t="s">
        <v>19</v>
      </c>
      <c r="E18" s="10" t="s">
        <v>21</v>
      </c>
      <c r="F18" s="3"/>
      <c r="G18" s="11">
        <v>0</v>
      </c>
      <c r="H18" s="12">
        <v>10710</v>
      </c>
      <c r="I18" s="12">
        <f t="shared" si="0"/>
        <v>10710</v>
      </c>
      <c r="K18" s="26"/>
    </row>
    <row r="19" spans="1:11" s="25" customFormat="1" ht="16" x14ac:dyDescent="0.2">
      <c r="A19" s="3">
        <v>5900</v>
      </c>
      <c r="B19" s="3">
        <v>240</v>
      </c>
      <c r="C19" s="3">
        <v>1</v>
      </c>
      <c r="D19" s="3" t="s">
        <v>19</v>
      </c>
      <c r="E19" s="10" t="s">
        <v>22</v>
      </c>
      <c r="F19" s="3"/>
      <c r="G19" s="11">
        <v>0</v>
      </c>
      <c r="H19" s="12">
        <f>1910*2</f>
        <v>3820</v>
      </c>
      <c r="I19" s="12">
        <f t="shared" si="0"/>
        <v>3820</v>
      </c>
      <c r="K19" s="26"/>
    </row>
    <row r="20" spans="1:11" s="25" customFormat="1" ht="16" x14ac:dyDescent="0.2">
      <c r="A20" s="3">
        <v>5900</v>
      </c>
      <c r="B20" s="3">
        <v>240</v>
      </c>
      <c r="C20" s="3">
        <v>1</v>
      </c>
      <c r="D20" s="3" t="s">
        <v>19</v>
      </c>
      <c r="E20" s="10" t="s">
        <v>22</v>
      </c>
      <c r="F20" s="3"/>
      <c r="G20" s="11">
        <v>0</v>
      </c>
      <c r="H20" s="12">
        <v>774</v>
      </c>
      <c r="I20" s="12">
        <f t="shared" si="0"/>
        <v>774</v>
      </c>
      <c r="K20" s="26"/>
    </row>
    <row r="21" spans="1:11" s="25" customFormat="1" ht="16" x14ac:dyDescent="0.2">
      <c r="A21" s="3">
        <v>5900</v>
      </c>
      <c r="B21" s="3">
        <v>240</v>
      </c>
      <c r="C21" s="3">
        <v>1</v>
      </c>
      <c r="D21" s="3" t="s">
        <v>19</v>
      </c>
      <c r="E21" s="10" t="s">
        <v>22</v>
      </c>
      <c r="F21" s="3"/>
      <c r="G21" s="11">
        <v>0</v>
      </c>
      <c r="H21" s="12">
        <v>602</v>
      </c>
      <c r="I21" s="12">
        <f t="shared" si="0"/>
        <v>602</v>
      </c>
      <c r="K21" s="26"/>
    </row>
    <row r="22" spans="1:11" s="25" customFormat="1" ht="32" x14ac:dyDescent="0.2">
      <c r="A22" s="3">
        <v>5900</v>
      </c>
      <c r="B22" s="3">
        <v>360</v>
      </c>
      <c r="C22" s="3">
        <v>1</v>
      </c>
      <c r="D22" s="3" t="s">
        <v>19</v>
      </c>
      <c r="E22" s="10" t="s">
        <v>24</v>
      </c>
      <c r="F22" s="3"/>
      <c r="G22" s="11">
        <v>0</v>
      </c>
      <c r="H22" s="12">
        <v>20000</v>
      </c>
      <c r="I22" s="12">
        <f t="shared" si="0"/>
        <v>20000</v>
      </c>
      <c r="K22" s="26"/>
    </row>
    <row r="23" spans="1:11" s="25" customFormat="1" ht="32" x14ac:dyDescent="0.2">
      <c r="A23" s="3">
        <v>5900</v>
      </c>
      <c r="B23" s="3">
        <v>390</v>
      </c>
      <c r="C23" s="3">
        <v>1</v>
      </c>
      <c r="D23" s="3" t="s">
        <v>19</v>
      </c>
      <c r="E23" s="10" t="s">
        <v>25</v>
      </c>
      <c r="F23" s="3"/>
      <c r="G23" s="11">
        <v>0</v>
      </c>
      <c r="H23" s="12">
        <v>40000</v>
      </c>
      <c r="I23" s="12">
        <f t="shared" si="0"/>
        <v>40000</v>
      </c>
      <c r="K23" s="26"/>
    </row>
    <row r="24" spans="1:11" s="25" customFormat="1" ht="16" x14ac:dyDescent="0.2">
      <c r="A24" s="3">
        <v>5900</v>
      </c>
      <c r="B24" s="3">
        <v>390</v>
      </c>
      <c r="C24" s="3">
        <v>1</v>
      </c>
      <c r="D24" s="3" t="s">
        <v>19</v>
      </c>
      <c r="E24" s="10" t="s">
        <v>26</v>
      </c>
      <c r="F24" s="3"/>
      <c r="G24" s="11">
        <v>0</v>
      </c>
      <c r="H24" s="12">
        <v>2692</v>
      </c>
      <c r="I24" s="12">
        <f t="shared" si="0"/>
        <v>2692</v>
      </c>
      <c r="K24" s="26"/>
    </row>
    <row r="25" spans="1:11" s="25" customFormat="1" ht="16" x14ac:dyDescent="0.2">
      <c r="A25" s="3">
        <v>5900</v>
      </c>
      <c r="B25" s="3">
        <v>510</v>
      </c>
      <c r="C25" s="3">
        <v>1</v>
      </c>
      <c r="D25" s="3" t="s">
        <v>19</v>
      </c>
      <c r="E25" s="10" t="s">
        <v>27</v>
      </c>
      <c r="F25" s="3"/>
      <c r="G25" s="11">
        <v>0</v>
      </c>
      <c r="H25" s="12">
        <v>50000</v>
      </c>
      <c r="I25" s="12">
        <f t="shared" si="0"/>
        <v>50000</v>
      </c>
      <c r="K25" s="26"/>
    </row>
    <row r="26" spans="1:11" s="25" customFormat="1" ht="32" x14ac:dyDescent="0.2">
      <c r="A26" s="3">
        <v>5900</v>
      </c>
      <c r="B26" s="3">
        <v>520</v>
      </c>
      <c r="C26" s="3">
        <v>1</v>
      </c>
      <c r="D26" s="3" t="s">
        <v>19</v>
      </c>
      <c r="E26" s="10" t="s">
        <v>28</v>
      </c>
      <c r="F26" s="3"/>
      <c r="G26" s="11">
        <v>0</v>
      </c>
      <c r="H26" s="12">
        <v>40000</v>
      </c>
      <c r="I26" s="12">
        <f t="shared" si="0"/>
        <v>40000</v>
      </c>
      <c r="J26" s="26"/>
      <c r="K26" s="26"/>
    </row>
    <row r="27" spans="1:11" s="25" customFormat="1" ht="32" x14ac:dyDescent="0.2">
      <c r="A27" s="3">
        <v>5900</v>
      </c>
      <c r="B27" s="3">
        <v>110</v>
      </c>
      <c r="C27" s="3">
        <v>1</v>
      </c>
      <c r="D27" s="3" t="s">
        <v>29</v>
      </c>
      <c r="E27" s="10" t="s">
        <v>44</v>
      </c>
      <c r="F27" s="3"/>
      <c r="G27" s="11">
        <v>0</v>
      </c>
      <c r="H27" s="12">
        <v>120960</v>
      </c>
      <c r="I27" s="12">
        <f t="shared" si="0"/>
        <v>120960</v>
      </c>
      <c r="K27" s="26"/>
    </row>
    <row r="28" spans="1:11" s="25" customFormat="1" ht="32" x14ac:dyDescent="0.2">
      <c r="A28" s="3">
        <v>5900</v>
      </c>
      <c r="B28" s="3">
        <v>120</v>
      </c>
      <c r="C28" s="3">
        <v>1</v>
      </c>
      <c r="D28" s="3" t="s">
        <v>29</v>
      </c>
      <c r="E28" s="10" t="s">
        <v>43</v>
      </c>
      <c r="F28" s="3"/>
      <c r="G28" s="11">
        <v>0</v>
      </c>
      <c r="H28" s="12">
        <v>120960</v>
      </c>
      <c r="I28" s="12">
        <f t="shared" si="0"/>
        <v>120960</v>
      </c>
      <c r="K28" s="26"/>
    </row>
    <row r="29" spans="1:11" s="25" customFormat="1" ht="32" x14ac:dyDescent="0.2">
      <c r="A29" s="3">
        <v>5900</v>
      </c>
      <c r="B29" s="3">
        <v>120</v>
      </c>
      <c r="C29" s="3">
        <v>1</v>
      </c>
      <c r="D29" s="3" t="s">
        <v>29</v>
      </c>
      <c r="E29" s="10" t="s">
        <v>32</v>
      </c>
      <c r="F29" s="3"/>
      <c r="G29" s="11">
        <v>0</v>
      </c>
      <c r="H29" s="12">
        <v>1575000</v>
      </c>
      <c r="I29" s="12">
        <f t="shared" si="0"/>
        <v>1575000</v>
      </c>
      <c r="K29" s="26"/>
    </row>
    <row r="30" spans="1:11" s="25" customFormat="1" ht="16" x14ac:dyDescent="0.2">
      <c r="A30" s="3">
        <v>5900</v>
      </c>
      <c r="B30" s="3">
        <v>210</v>
      </c>
      <c r="C30" s="3">
        <v>1</v>
      </c>
      <c r="D30" s="3" t="s">
        <v>29</v>
      </c>
      <c r="E30" s="10" t="s">
        <v>33</v>
      </c>
      <c r="F30" s="3"/>
      <c r="G30" s="11">
        <v>0</v>
      </c>
      <c r="H30" s="12">
        <v>14189</v>
      </c>
      <c r="I30" s="12">
        <f t="shared" si="0"/>
        <v>14189</v>
      </c>
      <c r="K30" s="26"/>
    </row>
    <row r="31" spans="1:11" s="25" customFormat="1" ht="16" x14ac:dyDescent="0.2">
      <c r="A31" s="3">
        <v>5900</v>
      </c>
      <c r="B31" s="3">
        <v>210</v>
      </c>
      <c r="C31" s="3">
        <v>1</v>
      </c>
      <c r="D31" s="3" t="s">
        <v>29</v>
      </c>
      <c r="E31" s="10" t="s">
        <v>33</v>
      </c>
      <c r="F31" s="3"/>
      <c r="G31" s="11">
        <v>0</v>
      </c>
      <c r="H31" s="12">
        <v>14189</v>
      </c>
      <c r="I31" s="12">
        <f t="shared" si="0"/>
        <v>14189</v>
      </c>
      <c r="K31" s="26"/>
    </row>
    <row r="32" spans="1:11" s="25" customFormat="1" ht="16" x14ac:dyDescent="0.2">
      <c r="A32" s="3">
        <v>5900</v>
      </c>
      <c r="B32" s="3">
        <v>210</v>
      </c>
      <c r="C32" s="3">
        <v>1</v>
      </c>
      <c r="D32" s="3" t="s">
        <v>29</v>
      </c>
      <c r="E32" s="10" t="s">
        <v>33</v>
      </c>
      <c r="F32" s="3"/>
      <c r="G32" s="11">
        <v>0</v>
      </c>
      <c r="H32" s="12">
        <v>184748</v>
      </c>
      <c r="I32" s="12">
        <f t="shared" si="0"/>
        <v>184748</v>
      </c>
      <c r="K32" s="26"/>
    </row>
    <row r="33" spans="1:11" s="25" customFormat="1" ht="16" x14ac:dyDescent="0.2">
      <c r="A33" s="3">
        <v>5900</v>
      </c>
      <c r="B33" s="3">
        <v>220</v>
      </c>
      <c r="C33" s="3">
        <v>1</v>
      </c>
      <c r="D33" s="3" t="s">
        <v>29</v>
      </c>
      <c r="E33" s="10" t="s">
        <v>34</v>
      </c>
      <c r="F33" s="3"/>
      <c r="G33" s="11">
        <v>0</v>
      </c>
      <c r="H33" s="12">
        <v>9253</v>
      </c>
      <c r="I33" s="12">
        <f t="shared" si="0"/>
        <v>9253</v>
      </c>
      <c r="K33" s="26"/>
    </row>
    <row r="34" spans="1:11" s="25" customFormat="1" ht="16" x14ac:dyDescent="0.2">
      <c r="A34" s="3">
        <v>5900</v>
      </c>
      <c r="B34" s="3">
        <v>220</v>
      </c>
      <c r="C34" s="3">
        <v>1</v>
      </c>
      <c r="D34" s="3" t="s">
        <v>29</v>
      </c>
      <c r="E34" s="10" t="s">
        <v>34</v>
      </c>
      <c r="F34" s="3"/>
      <c r="G34" s="11">
        <v>0</v>
      </c>
      <c r="H34" s="12">
        <v>9253</v>
      </c>
      <c r="I34" s="12">
        <f t="shared" si="0"/>
        <v>9253</v>
      </c>
      <c r="K34" s="26"/>
    </row>
    <row r="35" spans="1:11" s="25" customFormat="1" ht="16" x14ac:dyDescent="0.2">
      <c r="A35" s="3">
        <v>5900</v>
      </c>
      <c r="B35" s="3">
        <v>220</v>
      </c>
      <c r="C35" s="3">
        <v>1</v>
      </c>
      <c r="D35" s="3" t="s">
        <v>29</v>
      </c>
      <c r="E35" s="10" t="s">
        <v>34</v>
      </c>
      <c r="F35" s="3"/>
      <c r="G35" s="11">
        <v>0</v>
      </c>
      <c r="H35" s="12">
        <v>120488</v>
      </c>
      <c r="I35" s="12">
        <f t="shared" si="0"/>
        <v>120488</v>
      </c>
      <c r="K35" s="26"/>
    </row>
    <row r="36" spans="1:11" s="25" customFormat="1" ht="16" x14ac:dyDescent="0.2">
      <c r="A36" s="3">
        <v>5900</v>
      </c>
      <c r="B36" s="3">
        <v>240</v>
      </c>
      <c r="C36" s="3">
        <v>1</v>
      </c>
      <c r="D36" s="3" t="s">
        <v>29</v>
      </c>
      <c r="E36" s="10" t="s">
        <v>35</v>
      </c>
      <c r="F36" s="3"/>
      <c r="G36" s="11">
        <v>0</v>
      </c>
      <c r="H36" s="12">
        <v>520</v>
      </c>
      <c r="I36" s="12">
        <f t="shared" si="0"/>
        <v>520</v>
      </c>
      <c r="K36" s="26"/>
    </row>
    <row r="37" spans="1:11" s="25" customFormat="1" ht="16" x14ac:dyDescent="0.2">
      <c r="A37" s="3">
        <v>5900</v>
      </c>
      <c r="B37" s="3">
        <v>240</v>
      </c>
      <c r="C37" s="3">
        <v>1</v>
      </c>
      <c r="D37" s="3" t="s">
        <v>29</v>
      </c>
      <c r="E37" s="10" t="s">
        <v>35</v>
      </c>
      <c r="F37" s="3"/>
      <c r="G37" s="11">
        <v>0</v>
      </c>
      <c r="H37" s="12">
        <v>520</v>
      </c>
      <c r="I37" s="12">
        <f t="shared" si="0"/>
        <v>520</v>
      </c>
      <c r="K37" s="26"/>
    </row>
    <row r="38" spans="1:11" s="25" customFormat="1" ht="16" x14ac:dyDescent="0.2">
      <c r="A38" s="3">
        <v>5900</v>
      </c>
      <c r="B38" s="3">
        <v>240</v>
      </c>
      <c r="C38" s="3">
        <v>1</v>
      </c>
      <c r="D38" s="3" t="s">
        <v>29</v>
      </c>
      <c r="E38" s="10" t="s">
        <v>35</v>
      </c>
      <c r="F38" s="3"/>
      <c r="G38" s="11">
        <v>0</v>
      </c>
      <c r="H38" s="12">
        <v>6772</v>
      </c>
      <c r="I38" s="12">
        <f t="shared" si="0"/>
        <v>6772</v>
      </c>
      <c r="K38" s="26"/>
    </row>
    <row r="39" spans="1:11" s="25" customFormat="1" ht="32" x14ac:dyDescent="0.2">
      <c r="A39" s="3">
        <v>5900</v>
      </c>
      <c r="B39" s="3">
        <v>360</v>
      </c>
      <c r="C39" s="3">
        <v>1</v>
      </c>
      <c r="D39" s="3" t="s">
        <v>29</v>
      </c>
      <c r="E39" s="10" t="s">
        <v>38</v>
      </c>
      <c r="F39" s="3"/>
      <c r="G39" s="11">
        <v>0</v>
      </c>
      <c r="H39" s="12">
        <v>432000</v>
      </c>
      <c r="I39" s="12">
        <f t="shared" si="0"/>
        <v>432000</v>
      </c>
      <c r="K39" s="26"/>
    </row>
    <row r="40" spans="1:11" s="25" customFormat="1" ht="16" x14ac:dyDescent="0.2">
      <c r="A40" s="3">
        <v>5900</v>
      </c>
      <c r="B40" s="3">
        <v>390</v>
      </c>
      <c r="C40" s="3">
        <v>1</v>
      </c>
      <c r="D40" s="3" t="s">
        <v>29</v>
      </c>
      <c r="E40" s="10" t="s">
        <v>36</v>
      </c>
      <c r="F40" s="3"/>
      <c r="G40" s="11">
        <v>898613</v>
      </c>
      <c r="H40" s="12">
        <v>898613</v>
      </c>
      <c r="I40" s="12">
        <f t="shared" si="0"/>
        <v>1797226</v>
      </c>
      <c r="K40" s="26"/>
    </row>
    <row r="41" spans="1:11" s="25" customFormat="1" ht="16" x14ac:dyDescent="0.2">
      <c r="A41" s="3">
        <v>5900</v>
      </c>
      <c r="B41" s="3">
        <v>510</v>
      </c>
      <c r="C41" s="3">
        <v>1</v>
      </c>
      <c r="D41" s="3" t="s">
        <v>29</v>
      </c>
      <c r="E41" s="10" t="s">
        <v>37</v>
      </c>
      <c r="F41" s="3"/>
      <c r="G41" s="11">
        <v>0</v>
      </c>
      <c r="H41" s="12">
        <v>288000</v>
      </c>
      <c r="I41" s="12">
        <f t="shared" si="0"/>
        <v>288000</v>
      </c>
      <c r="K41" s="26"/>
    </row>
    <row r="42" spans="1:11" s="25" customFormat="1" ht="32" x14ac:dyDescent="0.2">
      <c r="A42" s="3">
        <v>6400</v>
      </c>
      <c r="B42" s="3">
        <v>120</v>
      </c>
      <c r="C42" s="3">
        <v>1</v>
      </c>
      <c r="D42" s="3" t="s">
        <v>29</v>
      </c>
      <c r="E42" s="10" t="s">
        <v>39</v>
      </c>
      <c r="F42" s="3"/>
      <c r="G42" s="11">
        <v>352800</v>
      </c>
      <c r="H42" s="12">
        <v>352800</v>
      </c>
      <c r="I42" s="12">
        <f t="shared" si="0"/>
        <v>705600</v>
      </c>
      <c r="K42" s="26"/>
    </row>
    <row r="43" spans="1:11" s="25" customFormat="1" ht="32" x14ac:dyDescent="0.2">
      <c r="A43" s="3">
        <v>6400</v>
      </c>
      <c r="B43" s="3">
        <v>210</v>
      </c>
      <c r="C43" s="3">
        <v>1</v>
      </c>
      <c r="D43" s="3" t="s">
        <v>29</v>
      </c>
      <c r="E43" s="10" t="s">
        <v>40</v>
      </c>
      <c r="F43" s="3"/>
      <c r="G43" s="11">
        <v>41384</v>
      </c>
      <c r="H43" s="12">
        <v>41384</v>
      </c>
      <c r="I43" s="12">
        <f t="shared" si="0"/>
        <v>82768</v>
      </c>
      <c r="K43" s="26"/>
    </row>
    <row r="44" spans="1:11" s="25" customFormat="1" ht="32" x14ac:dyDescent="0.2">
      <c r="A44" s="3">
        <v>6400</v>
      </c>
      <c r="B44" s="3">
        <v>220</v>
      </c>
      <c r="C44" s="3">
        <v>1</v>
      </c>
      <c r="D44" s="3" t="s">
        <v>29</v>
      </c>
      <c r="E44" s="10" t="s">
        <v>41</v>
      </c>
      <c r="F44" s="3"/>
      <c r="G44" s="11">
        <v>26989</v>
      </c>
      <c r="H44" s="12">
        <v>26989</v>
      </c>
      <c r="I44" s="12">
        <f t="shared" si="0"/>
        <v>53978</v>
      </c>
      <c r="K44" s="26"/>
    </row>
    <row r="45" spans="1:11" ht="36.75" customHeight="1" x14ac:dyDescent="0.2">
      <c r="A45" s="3">
        <v>6400</v>
      </c>
      <c r="B45" s="3">
        <v>240</v>
      </c>
      <c r="C45" s="3">
        <v>1</v>
      </c>
      <c r="D45" s="3" t="s">
        <v>29</v>
      </c>
      <c r="E45" s="10" t="s">
        <v>42</v>
      </c>
      <c r="F45" s="3"/>
      <c r="G45" s="11">
        <v>1517</v>
      </c>
      <c r="H45" s="12">
        <v>1517</v>
      </c>
      <c r="I45" s="12">
        <f t="shared" si="0"/>
        <v>3034</v>
      </c>
      <c r="J45" s="13"/>
      <c r="K45" s="13"/>
    </row>
    <row r="46" spans="1:11" ht="16" x14ac:dyDescent="0.2">
      <c r="A46" s="3">
        <v>5100</v>
      </c>
      <c r="B46" s="17">
        <v>360</v>
      </c>
      <c r="C46" s="3">
        <v>1</v>
      </c>
      <c r="D46" s="3" t="s">
        <v>45</v>
      </c>
      <c r="E46" s="10" t="s">
        <v>46</v>
      </c>
      <c r="F46" s="3"/>
      <c r="G46" s="11">
        <v>696000</v>
      </c>
      <c r="H46" s="12">
        <v>1160000</v>
      </c>
      <c r="I46" s="12">
        <f t="shared" si="0"/>
        <v>1856000</v>
      </c>
      <c r="J46" s="13"/>
    </row>
    <row r="47" spans="1:11" ht="32" x14ac:dyDescent="0.2">
      <c r="A47" s="3">
        <v>6400</v>
      </c>
      <c r="B47" s="3">
        <v>120</v>
      </c>
      <c r="C47" s="3">
        <v>1</v>
      </c>
      <c r="D47" s="3" t="s">
        <v>51</v>
      </c>
      <c r="E47" s="10" t="s">
        <v>50</v>
      </c>
      <c r="F47" s="3"/>
      <c r="G47" s="11">
        <v>0</v>
      </c>
      <c r="H47" s="12">
        <v>1335450</v>
      </c>
      <c r="I47" s="12">
        <f t="shared" si="0"/>
        <v>1335450</v>
      </c>
    </row>
    <row r="48" spans="1:11" ht="16" x14ac:dyDescent="0.2">
      <c r="A48" s="3">
        <v>6400</v>
      </c>
      <c r="B48" s="3">
        <v>210</v>
      </c>
      <c r="C48" s="3">
        <v>1</v>
      </c>
      <c r="D48" s="3" t="s">
        <v>51</v>
      </c>
      <c r="E48" s="10" t="s">
        <v>47</v>
      </c>
      <c r="F48" s="3"/>
      <c r="G48" s="11">
        <v>0</v>
      </c>
      <c r="H48" s="12">
        <v>156647</v>
      </c>
      <c r="I48" s="12">
        <f t="shared" si="0"/>
        <v>156647</v>
      </c>
    </row>
    <row r="49" spans="1:12" ht="16" x14ac:dyDescent="0.2">
      <c r="A49" s="3">
        <v>6400</v>
      </c>
      <c r="B49" s="3">
        <v>220</v>
      </c>
      <c r="C49" s="3">
        <v>1</v>
      </c>
      <c r="D49" s="3" t="s">
        <v>51</v>
      </c>
      <c r="E49" s="10" t="s">
        <v>48</v>
      </c>
      <c r="F49" s="3"/>
      <c r="G49" s="11">
        <v>0</v>
      </c>
      <c r="H49" s="12">
        <v>102162</v>
      </c>
      <c r="I49" s="12">
        <f t="shared" si="0"/>
        <v>102162</v>
      </c>
      <c r="K49" s="13"/>
    </row>
    <row r="50" spans="1:12" ht="16" x14ac:dyDescent="0.2">
      <c r="A50" s="3">
        <v>6400</v>
      </c>
      <c r="B50" s="3">
        <v>240</v>
      </c>
      <c r="C50" s="3">
        <v>1</v>
      </c>
      <c r="D50" s="3" t="s">
        <v>51</v>
      </c>
      <c r="E50" s="10" t="s">
        <v>49</v>
      </c>
      <c r="F50" s="3"/>
      <c r="G50" s="11">
        <v>0</v>
      </c>
      <c r="H50" s="12">
        <v>5741</v>
      </c>
      <c r="I50" s="12">
        <f t="shared" si="0"/>
        <v>5741</v>
      </c>
      <c r="J50" s="13"/>
      <c r="K50" s="13"/>
    </row>
    <row r="51" spans="1:12" ht="32" x14ac:dyDescent="0.2">
      <c r="A51" s="3">
        <v>5100</v>
      </c>
      <c r="B51" s="3">
        <v>360</v>
      </c>
      <c r="C51" s="3">
        <v>1</v>
      </c>
      <c r="D51" s="3" t="s">
        <v>52</v>
      </c>
      <c r="E51" s="10" t="s">
        <v>55</v>
      </c>
      <c r="F51" s="3"/>
      <c r="G51" s="19">
        <v>950008.85</v>
      </c>
      <c r="H51" s="12">
        <v>2645054.15</v>
      </c>
      <c r="I51" s="12">
        <f t="shared" si="0"/>
        <v>3595063</v>
      </c>
      <c r="J51" s="13"/>
      <c r="K51" s="13"/>
    </row>
    <row r="52" spans="1:12" ht="32" x14ac:dyDescent="0.2">
      <c r="A52" s="3">
        <v>5100</v>
      </c>
      <c r="B52" s="3">
        <v>520</v>
      </c>
      <c r="C52" s="3">
        <v>1</v>
      </c>
      <c r="D52" s="3" t="s">
        <v>53</v>
      </c>
      <c r="E52" s="10" t="s">
        <v>54</v>
      </c>
      <c r="F52" s="3"/>
      <c r="G52" s="11">
        <f>515584+4100+13000</f>
        <v>532684</v>
      </c>
      <c r="H52" s="12">
        <v>0</v>
      </c>
      <c r="I52" s="12">
        <f t="shared" si="0"/>
        <v>532684</v>
      </c>
      <c r="J52" s="13"/>
      <c r="K52" s="13"/>
    </row>
    <row r="53" spans="1:12" ht="64" x14ac:dyDescent="0.2">
      <c r="A53" s="3">
        <v>5900</v>
      </c>
      <c r="B53" s="3">
        <v>120</v>
      </c>
      <c r="C53" s="3">
        <v>1</v>
      </c>
      <c r="D53" s="3" t="s">
        <v>56</v>
      </c>
      <c r="E53" s="10" t="s">
        <v>128</v>
      </c>
      <c r="F53" s="3"/>
      <c r="G53" s="11">
        <v>22500</v>
      </c>
      <c r="H53" s="12">
        <v>0</v>
      </c>
      <c r="I53" s="12">
        <f t="shared" si="0"/>
        <v>22500</v>
      </c>
      <c r="K53" s="13"/>
    </row>
    <row r="54" spans="1:12" ht="16" x14ac:dyDescent="0.2">
      <c r="A54" s="3">
        <v>5900</v>
      </c>
      <c r="B54" s="3">
        <v>210</v>
      </c>
      <c r="C54" s="3">
        <v>1</v>
      </c>
      <c r="D54" s="3" t="s">
        <v>56</v>
      </c>
      <c r="E54" s="10" t="s">
        <v>58</v>
      </c>
      <c r="F54" s="3"/>
      <c r="G54" s="11">
        <v>2640</v>
      </c>
      <c r="H54" s="12">
        <v>0</v>
      </c>
      <c r="I54" s="12">
        <f t="shared" si="0"/>
        <v>2640</v>
      </c>
      <c r="K54" s="13"/>
    </row>
    <row r="55" spans="1:12" ht="16" x14ac:dyDescent="0.2">
      <c r="A55" s="3">
        <v>5900</v>
      </c>
      <c r="B55" s="3">
        <v>220</v>
      </c>
      <c r="C55" s="3">
        <v>1</v>
      </c>
      <c r="D55" s="3" t="s">
        <v>56</v>
      </c>
      <c r="E55" s="10" t="s">
        <v>59</v>
      </c>
      <c r="F55" s="3"/>
      <c r="G55" s="11">
        <v>1723</v>
      </c>
      <c r="H55" s="12">
        <v>0</v>
      </c>
      <c r="I55" s="12">
        <f t="shared" si="0"/>
        <v>1723</v>
      </c>
      <c r="K55" s="13"/>
    </row>
    <row r="56" spans="1:12" ht="16" x14ac:dyDescent="0.2">
      <c r="A56" s="3">
        <v>5900</v>
      </c>
      <c r="B56" s="3">
        <v>240</v>
      </c>
      <c r="C56" s="3">
        <v>1</v>
      </c>
      <c r="D56" s="3" t="s">
        <v>56</v>
      </c>
      <c r="E56" s="10" t="s">
        <v>60</v>
      </c>
      <c r="F56" s="3"/>
      <c r="G56" s="11">
        <v>97</v>
      </c>
      <c r="H56" s="12">
        <v>0</v>
      </c>
      <c r="I56" s="12">
        <f t="shared" si="0"/>
        <v>97</v>
      </c>
      <c r="K56" s="13"/>
    </row>
    <row r="57" spans="1:12" ht="16" x14ac:dyDescent="0.2">
      <c r="A57" s="3">
        <v>5900</v>
      </c>
      <c r="B57" s="3">
        <v>390</v>
      </c>
      <c r="C57" s="3">
        <v>1</v>
      </c>
      <c r="D57" s="3" t="s">
        <v>56</v>
      </c>
      <c r="E57" s="10" t="s">
        <v>127</v>
      </c>
      <c r="F57" s="3"/>
      <c r="G57" s="11">
        <v>5040</v>
      </c>
      <c r="H57" s="12">
        <v>0</v>
      </c>
      <c r="I57" s="12">
        <f t="shared" si="0"/>
        <v>5040</v>
      </c>
      <c r="K57" s="13"/>
    </row>
    <row r="58" spans="1:12" ht="32" x14ac:dyDescent="0.2">
      <c r="A58" s="3">
        <v>5900</v>
      </c>
      <c r="B58" s="3">
        <v>520</v>
      </c>
      <c r="C58" s="3">
        <v>1</v>
      </c>
      <c r="D58" s="3" t="s">
        <v>56</v>
      </c>
      <c r="E58" s="33" t="s">
        <v>207</v>
      </c>
      <c r="F58" s="3"/>
      <c r="G58" s="11">
        <v>18000</v>
      </c>
      <c r="H58" s="12">
        <v>0</v>
      </c>
      <c r="I58" s="12">
        <f t="shared" si="0"/>
        <v>18000</v>
      </c>
      <c r="K58" s="13"/>
    </row>
    <row r="59" spans="1:12" ht="64" x14ac:dyDescent="0.2">
      <c r="A59" s="3">
        <v>6300</v>
      </c>
      <c r="B59" s="3">
        <v>120</v>
      </c>
      <c r="C59" s="3">
        <v>1</v>
      </c>
      <c r="D59" s="3" t="s">
        <v>56</v>
      </c>
      <c r="E59" s="10" t="s">
        <v>129</v>
      </c>
      <c r="F59" s="3"/>
      <c r="G59" s="11">
        <v>4175</v>
      </c>
      <c r="H59" s="12">
        <v>0</v>
      </c>
      <c r="I59" s="12">
        <f t="shared" si="0"/>
        <v>4175</v>
      </c>
      <c r="K59" s="13"/>
    </row>
    <row r="60" spans="1:12" ht="16" x14ac:dyDescent="0.2">
      <c r="A60" s="3">
        <v>6300</v>
      </c>
      <c r="B60" s="3">
        <v>210</v>
      </c>
      <c r="C60" s="3">
        <v>1</v>
      </c>
      <c r="D60" s="3" t="s">
        <v>56</v>
      </c>
      <c r="E60" s="10" t="s">
        <v>58</v>
      </c>
      <c r="F60" s="3"/>
      <c r="G60" s="11">
        <v>489</v>
      </c>
      <c r="H60" s="12">
        <v>0</v>
      </c>
      <c r="I60" s="12">
        <f t="shared" si="0"/>
        <v>489</v>
      </c>
      <c r="K60" s="13"/>
    </row>
    <row r="61" spans="1:12" ht="16" x14ac:dyDescent="0.2">
      <c r="A61" s="3">
        <v>6300</v>
      </c>
      <c r="B61" s="3">
        <v>220</v>
      </c>
      <c r="C61" s="3">
        <v>1</v>
      </c>
      <c r="D61" s="3" t="s">
        <v>56</v>
      </c>
      <c r="E61" s="10" t="s">
        <v>59</v>
      </c>
      <c r="F61" s="3"/>
      <c r="G61" s="11">
        <v>319</v>
      </c>
      <c r="H61" s="12">
        <v>0</v>
      </c>
      <c r="I61" s="12">
        <f t="shared" si="0"/>
        <v>319</v>
      </c>
      <c r="K61" s="13"/>
      <c r="L61" s="13"/>
    </row>
    <row r="62" spans="1:12" ht="16" x14ac:dyDescent="0.2">
      <c r="A62" s="3">
        <v>6300</v>
      </c>
      <c r="B62" s="3">
        <v>240</v>
      </c>
      <c r="C62" s="3">
        <v>1</v>
      </c>
      <c r="D62" s="3" t="s">
        <v>56</v>
      </c>
      <c r="E62" s="10" t="s">
        <v>60</v>
      </c>
      <c r="F62" s="3"/>
      <c r="G62" s="11">
        <v>17</v>
      </c>
      <c r="H62" s="12">
        <v>0</v>
      </c>
      <c r="I62" s="12">
        <f t="shared" si="0"/>
        <v>17</v>
      </c>
      <c r="J62" s="13"/>
    </row>
    <row r="63" spans="1:12" ht="48" x14ac:dyDescent="0.2">
      <c r="A63" s="27">
        <v>6300</v>
      </c>
      <c r="B63" s="17">
        <v>120</v>
      </c>
      <c r="C63" s="17">
        <v>1</v>
      </c>
      <c r="D63" s="17" t="s">
        <v>186</v>
      </c>
      <c r="E63" s="10" t="s">
        <v>61</v>
      </c>
      <c r="F63" s="17"/>
      <c r="G63" s="22">
        <v>0</v>
      </c>
      <c r="H63" s="23">
        <v>1300000</v>
      </c>
      <c r="I63" s="12">
        <f>H63+G63</f>
        <v>1300000</v>
      </c>
      <c r="J63" s="13"/>
      <c r="K63" s="32"/>
    </row>
    <row r="64" spans="1:12" ht="16" x14ac:dyDescent="0.2">
      <c r="A64" s="17">
        <v>6300</v>
      </c>
      <c r="B64" s="3">
        <v>210</v>
      </c>
      <c r="C64" s="3">
        <v>1</v>
      </c>
      <c r="D64" s="17" t="s">
        <v>186</v>
      </c>
      <c r="E64" s="10" t="s">
        <v>58</v>
      </c>
      <c r="F64" s="3"/>
      <c r="G64" s="11">
        <v>0</v>
      </c>
      <c r="H64" s="12">
        <f>ROUND(H63*0.1173,0)</f>
        <v>152490</v>
      </c>
      <c r="I64" s="12">
        <f>H64+G64</f>
        <v>152490</v>
      </c>
    </row>
    <row r="65" spans="1:12" ht="16" x14ac:dyDescent="0.2">
      <c r="A65" s="17">
        <v>6300</v>
      </c>
      <c r="B65" s="3">
        <v>220</v>
      </c>
      <c r="C65" s="3">
        <v>1</v>
      </c>
      <c r="D65" s="17" t="s">
        <v>186</v>
      </c>
      <c r="E65" s="10" t="s">
        <v>59</v>
      </c>
      <c r="F65" s="3"/>
      <c r="G65" s="11">
        <v>0</v>
      </c>
      <c r="H65" s="12">
        <f>ROUND(H63*0.0765,0)</f>
        <v>99450</v>
      </c>
      <c r="I65" s="12">
        <f>H65+G65</f>
        <v>99450</v>
      </c>
    </row>
    <row r="66" spans="1:12" ht="16" x14ac:dyDescent="0.2">
      <c r="A66" s="17">
        <v>6300</v>
      </c>
      <c r="B66" s="3">
        <v>240</v>
      </c>
      <c r="C66" s="3">
        <v>1</v>
      </c>
      <c r="D66" s="17" t="s">
        <v>186</v>
      </c>
      <c r="E66" s="10" t="s">
        <v>60</v>
      </c>
      <c r="F66" s="3"/>
      <c r="G66" s="11">
        <v>0</v>
      </c>
      <c r="H66" s="12">
        <f>ROUND(H63*0.0043,0)</f>
        <v>5590</v>
      </c>
      <c r="I66" s="12">
        <f>H66+G66</f>
        <v>5590</v>
      </c>
    </row>
    <row r="67" spans="1:12" ht="16" x14ac:dyDescent="0.2">
      <c r="A67" s="17">
        <v>5100</v>
      </c>
      <c r="B67" s="17">
        <v>394</v>
      </c>
      <c r="C67" s="17">
        <v>1</v>
      </c>
      <c r="D67" s="17" t="s">
        <v>213</v>
      </c>
      <c r="E67" s="24" t="s">
        <v>173</v>
      </c>
      <c r="F67" s="17"/>
      <c r="G67" s="22">
        <v>450695.38</v>
      </c>
      <c r="H67" s="23">
        <v>246368.55</v>
      </c>
      <c r="I67" s="12">
        <f t="shared" si="0"/>
        <v>697063.92999999993</v>
      </c>
    </row>
    <row r="68" spans="1:12" ht="16" x14ac:dyDescent="0.2">
      <c r="A68" s="17">
        <v>5200</v>
      </c>
      <c r="B68" s="17">
        <v>394</v>
      </c>
      <c r="C68" s="17">
        <v>1</v>
      </c>
      <c r="D68" s="17" t="s">
        <v>213</v>
      </c>
      <c r="E68" s="24" t="s">
        <v>173</v>
      </c>
      <c r="F68" s="17"/>
      <c r="G68" s="22">
        <v>277186.8</v>
      </c>
      <c r="H68" s="23">
        <v>120000</v>
      </c>
      <c r="I68" s="12">
        <f t="shared" si="0"/>
        <v>397186.8</v>
      </c>
    </row>
    <row r="69" spans="1:12" ht="16" x14ac:dyDescent="0.2">
      <c r="A69" s="17">
        <v>5900</v>
      </c>
      <c r="B69" s="17">
        <v>394</v>
      </c>
      <c r="C69" s="17">
        <v>1</v>
      </c>
      <c r="D69" s="17" t="s">
        <v>213</v>
      </c>
      <c r="E69" s="24" t="s">
        <v>173</v>
      </c>
      <c r="F69" s="17"/>
      <c r="G69" s="22">
        <v>36000</v>
      </c>
      <c r="H69" s="23">
        <v>46336</v>
      </c>
      <c r="I69" s="12">
        <f t="shared" si="0"/>
        <v>82336</v>
      </c>
    </row>
    <row r="70" spans="1:12" ht="16" x14ac:dyDescent="0.2">
      <c r="A70" s="27">
        <v>6300</v>
      </c>
      <c r="B70" s="17">
        <v>394</v>
      </c>
      <c r="C70" s="17">
        <v>1</v>
      </c>
      <c r="D70" s="17" t="s">
        <v>213</v>
      </c>
      <c r="E70" s="24" t="s">
        <v>173</v>
      </c>
      <c r="F70" s="17"/>
      <c r="G70" s="22">
        <v>11294.4</v>
      </c>
      <c r="H70" s="23">
        <v>0</v>
      </c>
      <c r="I70" s="12">
        <f t="shared" si="0"/>
        <v>11294.4</v>
      </c>
    </row>
    <row r="71" spans="1:12" ht="16" x14ac:dyDescent="0.2">
      <c r="A71" s="27">
        <v>6400</v>
      </c>
      <c r="B71" s="17">
        <v>394</v>
      </c>
      <c r="C71" s="17">
        <v>1</v>
      </c>
      <c r="D71" s="17" t="s">
        <v>213</v>
      </c>
      <c r="E71" s="24" t="s">
        <v>173</v>
      </c>
      <c r="F71" s="17"/>
      <c r="G71" s="22">
        <v>2500</v>
      </c>
      <c r="H71" s="23">
        <v>215920</v>
      </c>
      <c r="I71" s="12">
        <f t="shared" si="0"/>
        <v>218420</v>
      </c>
    </row>
    <row r="72" spans="1:12" ht="16" x14ac:dyDescent="0.2">
      <c r="A72" s="27">
        <v>7100</v>
      </c>
      <c r="B72" s="17">
        <v>394</v>
      </c>
      <c r="C72" s="17">
        <v>1</v>
      </c>
      <c r="D72" s="17" t="s">
        <v>213</v>
      </c>
      <c r="E72" s="24" t="s">
        <v>173</v>
      </c>
      <c r="F72" s="17"/>
      <c r="G72" s="22">
        <v>7000</v>
      </c>
      <c r="H72" s="23">
        <v>0</v>
      </c>
      <c r="I72" s="12">
        <f t="shared" si="0"/>
        <v>7000</v>
      </c>
      <c r="J72" s="13"/>
      <c r="K72" s="32"/>
    </row>
    <row r="73" spans="1:12" ht="48" x14ac:dyDescent="0.2">
      <c r="A73" s="17">
        <v>6300</v>
      </c>
      <c r="B73" s="3">
        <v>120</v>
      </c>
      <c r="C73" s="3" t="s">
        <v>164</v>
      </c>
      <c r="D73" s="3" t="s">
        <v>57</v>
      </c>
      <c r="E73" s="10" t="s">
        <v>214</v>
      </c>
      <c r="F73" s="3"/>
      <c r="G73" s="11">
        <v>0</v>
      </c>
      <c r="H73" s="12">
        <v>5377250</v>
      </c>
      <c r="I73" s="12">
        <f t="shared" si="0"/>
        <v>5377250</v>
      </c>
      <c r="J73" s="41"/>
      <c r="K73" s="13"/>
      <c r="L73" s="13"/>
    </row>
    <row r="74" spans="1:12" ht="16" x14ac:dyDescent="0.2">
      <c r="A74" s="17">
        <v>6300</v>
      </c>
      <c r="B74" s="3">
        <v>210</v>
      </c>
      <c r="C74" s="3" t="s">
        <v>164</v>
      </c>
      <c r="D74" s="3" t="s">
        <v>57</v>
      </c>
      <c r="E74" s="10" t="s">
        <v>58</v>
      </c>
      <c r="F74" s="3"/>
      <c r="G74" s="11">
        <v>0</v>
      </c>
      <c r="H74" s="12">
        <f>ROUND(H73*0.1173,0)-14</f>
        <v>630737</v>
      </c>
      <c r="I74" s="12">
        <f t="shared" si="0"/>
        <v>630737</v>
      </c>
      <c r="J74" s="41"/>
      <c r="K74" s="13"/>
      <c r="L74" s="13"/>
    </row>
    <row r="75" spans="1:12" ht="16" x14ac:dyDescent="0.2">
      <c r="A75" s="17">
        <v>6300</v>
      </c>
      <c r="B75" s="3">
        <v>220</v>
      </c>
      <c r="C75" s="3" t="s">
        <v>164</v>
      </c>
      <c r="D75" s="3" t="s">
        <v>57</v>
      </c>
      <c r="E75" s="10" t="s">
        <v>59</v>
      </c>
      <c r="F75" s="3"/>
      <c r="G75" s="11">
        <v>0</v>
      </c>
      <c r="H75" s="12">
        <f>ROUND(H73*0.0765,0)</f>
        <v>411360</v>
      </c>
      <c r="I75" s="12">
        <f t="shared" si="0"/>
        <v>411360</v>
      </c>
      <c r="J75" s="41"/>
      <c r="K75" s="13"/>
      <c r="L75" s="13"/>
    </row>
    <row r="76" spans="1:12" ht="16" x14ac:dyDescent="0.2">
      <c r="A76" s="17">
        <v>6300</v>
      </c>
      <c r="B76" s="3">
        <v>240</v>
      </c>
      <c r="C76" s="3" t="s">
        <v>164</v>
      </c>
      <c r="D76" s="3" t="s">
        <v>57</v>
      </c>
      <c r="E76" s="10" t="s">
        <v>60</v>
      </c>
      <c r="F76" s="3"/>
      <c r="G76" s="11">
        <v>0</v>
      </c>
      <c r="H76" s="12">
        <f>ROUND(H73*0.0043,0)+1</f>
        <v>23123</v>
      </c>
      <c r="I76" s="12">
        <f t="shared" si="0"/>
        <v>23123</v>
      </c>
      <c r="J76" s="41"/>
      <c r="K76" s="13"/>
      <c r="L76" s="13"/>
    </row>
    <row r="77" spans="1:12" ht="48" x14ac:dyDescent="0.2">
      <c r="A77" s="3">
        <v>6400</v>
      </c>
      <c r="B77" s="3">
        <v>310</v>
      </c>
      <c r="C77" s="3" t="s">
        <v>164</v>
      </c>
      <c r="D77" s="3" t="s">
        <v>62</v>
      </c>
      <c r="E77" s="24" t="s">
        <v>206</v>
      </c>
      <c r="F77" s="3"/>
      <c r="G77" s="11">
        <v>100000</v>
      </c>
      <c r="H77" s="12">
        <v>0</v>
      </c>
      <c r="I77" s="12">
        <f t="shared" si="0"/>
        <v>100000</v>
      </c>
    </row>
    <row r="78" spans="1:12" ht="48" x14ac:dyDescent="0.2">
      <c r="A78" s="3">
        <v>6400</v>
      </c>
      <c r="B78" s="3">
        <v>360</v>
      </c>
      <c r="C78" s="3" t="s">
        <v>164</v>
      </c>
      <c r="D78" s="3" t="s">
        <v>63</v>
      </c>
      <c r="E78" s="10" t="s">
        <v>64</v>
      </c>
      <c r="F78" s="3"/>
      <c r="G78" s="11">
        <v>0</v>
      </c>
      <c r="H78" s="12">
        <f>41900+41900</f>
        <v>83800</v>
      </c>
      <c r="I78" s="12">
        <f t="shared" ref="I78:I141" si="1">H78+G78</f>
        <v>83800</v>
      </c>
    </row>
    <row r="79" spans="1:12" ht="16" x14ac:dyDescent="0.2">
      <c r="A79" s="27">
        <v>6150</v>
      </c>
      <c r="B79" s="17">
        <v>394</v>
      </c>
      <c r="C79" s="17" t="s">
        <v>164</v>
      </c>
      <c r="D79" s="17" t="s">
        <v>188</v>
      </c>
      <c r="E79" s="24" t="s">
        <v>173</v>
      </c>
      <c r="F79" s="17"/>
      <c r="G79" s="22">
        <v>0</v>
      </c>
      <c r="H79" s="23">
        <v>44000</v>
      </c>
      <c r="I79" s="12">
        <f t="shared" si="1"/>
        <v>44000</v>
      </c>
      <c r="K79" s="13"/>
    </row>
    <row r="80" spans="1:12" ht="16" x14ac:dyDescent="0.2">
      <c r="A80" s="27">
        <v>6190</v>
      </c>
      <c r="B80" s="17">
        <v>394</v>
      </c>
      <c r="C80" s="17" t="s">
        <v>182</v>
      </c>
      <c r="D80" s="17" t="s">
        <v>189</v>
      </c>
      <c r="E80" s="24" t="s">
        <v>173</v>
      </c>
      <c r="F80" s="17"/>
      <c r="G80" s="22">
        <v>5474.96</v>
      </c>
      <c r="H80" s="23">
        <v>0</v>
      </c>
      <c r="I80" s="12">
        <f t="shared" si="1"/>
        <v>5474.96</v>
      </c>
    </row>
    <row r="81" spans="1:13" ht="16" x14ac:dyDescent="0.2">
      <c r="A81" s="27">
        <v>6300</v>
      </c>
      <c r="B81" s="17">
        <v>394</v>
      </c>
      <c r="C81" s="17" t="s">
        <v>182</v>
      </c>
      <c r="D81" s="17" t="s">
        <v>189</v>
      </c>
      <c r="E81" s="24" t="s">
        <v>173</v>
      </c>
      <c r="F81" s="17"/>
      <c r="G81" s="22">
        <v>9572</v>
      </c>
      <c r="H81" s="23">
        <v>0</v>
      </c>
      <c r="I81" s="12">
        <f t="shared" si="1"/>
        <v>9572</v>
      </c>
      <c r="J81" s="13"/>
    </row>
    <row r="82" spans="1:13" ht="16" x14ac:dyDescent="0.2">
      <c r="A82" s="27">
        <v>8200</v>
      </c>
      <c r="B82" s="17">
        <v>394</v>
      </c>
      <c r="C82" s="17" t="s">
        <v>185</v>
      </c>
      <c r="D82" s="17" t="s">
        <v>190</v>
      </c>
      <c r="E82" s="24" t="s">
        <v>173</v>
      </c>
      <c r="F82" s="17"/>
      <c r="G82" s="22">
        <v>5013.03</v>
      </c>
      <c r="H82" s="23">
        <v>6313.03</v>
      </c>
      <c r="I82" s="12">
        <f t="shared" si="1"/>
        <v>11326.06</v>
      </c>
    </row>
    <row r="83" spans="1:13" ht="32" x14ac:dyDescent="0.2">
      <c r="A83" s="3">
        <v>7900</v>
      </c>
      <c r="B83" s="3">
        <v>510</v>
      </c>
      <c r="C83" s="3" t="s">
        <v>165</v>
      </c>
      <c r="D83" s="3" t="s">
        <v>65</v>
      </c>
      <c r="E83" s="10" t="s">
        <v>210</v>
      </c>
      <c r="F83" s="3"/>
      <c r="G83" s="11">
        <v>0</v>
      </c>
      <c r="H83" s="12">
        <v>76000</v>
      </c>
      <c r="I83" s="12">
        <f t="shared" si="1"/>
        <v>76000</v>
      </c>
    </row>
    <row r="84" spans="1:13" ht="32" x14ac:dyDescent="0.2">
      <c r="A84" s="17">
        <v>7900</v>
      </c>
      <c r="B84" s="17">
        <v>390</v>
      </c>
      <c r="C84" s="3" t="s">
        <v>165</v>
      </c>
      <c r="D84" s="3" t="s">
        <v>66</v>
      </c>
      <c r="E84" s="10" t="s">
        <v>67</v>
      </c>
      <c r="F84" s="3"/>
      <c r="G84" s="11">
        <v>0</v>
      </c>
      <c r="H84" s="12">
        <v>60000</v>
      </c>
      <c r="I84" s="12">
        <f t="shared" si="1"/>
        <v>60000</v>
      </c>
    </row>
    <row r="85" spans="1:13" ht="16" x14ac:dyDescent="0.2">
      <c r="A85" s="27">
        <v>7900</v>
      </c>
      <c r="B85" s="17">
        <v>394</v>
      </c>
      <c r="C85" s="17" t="s">
        <v>165</v>
      </c>
      <c r="D85" s="17" t="s">
        <v>191</v>
      </c>
      <c r="E85" s="24" t="s">
        <v>173</v>
      </c>
      <c r="F85" s="17"/>
      <c r="G85" s="22">
        <v>0</v>
      </c>
      <c r="H85" s="23">
        <v>15000</v>
      </c>
      <c r="I85" s="12">
        <f t="shared" si="1"/>
        <v>15000</v>
      </c>
      <c r="J85" s="13"/>
      <c r="K85" s="13"/>
    </row>
    <row r="86" spans="1:13" ht="32" x14ac:dyDescent="0.2">
      <c r="A86" s="3">
        <v>5100</v>
      </c>
      <c r="B86" s="3">
        <v>640</v>
      </c>
      <c r="C86" s="3" t="s">
        <v>166</v>
      </c>
      <c r="D86" s="3" t="s">
        <v>130</v>
      </c>
      <c r="E86" s="10" t="s">
        <v>131</v>
      </c>
      <c r="F86" s="3"/>
      <c r="G86" s="11">
        <f>30000+3825000</f>
        <v>3855000</v>
      </c>
      <c r="H86" s="12">
        <v>0</v>
      </c>
      <c r="I86" s="12">
        <f t="shared" si="1"/>
        <v>3855000</v>
      </c>
    </row>
    <row r="87" spans="1:13" ht="16" x14ac:dyDescent="0.2">
      <c r="A87" s="17">
        <v>6500</v>
      </c>
      <c r="B87" s="3">
        <v>360</v>
      </c>
      <c r="C87" s="3" t="s">
        <v>166</v>
      </c>
      <c r="D87" s="3" t="s">
        <v>132</v>
      </c>
      <c r="E87" s="10" t="s">
        <v>134</v>
      </c>
      <c r="F87" s="3"/>
      <c r="G87" s="11">
        <v>141450</v>
      </c>
      <c r="H87" s="12">
        <v>0</v>
      </c>
      <c r="I87" s="12">
        <f t="shared" si="1"/>
        <v>141450</v>
      </c>
    </row>
    <row r="88" spans="1:13" ht="32" x14ac:dyDescent="0.2">
      <c r="A88" s="17">
        <v>6500</v>
      </c>
      <c r="B88" s="3">
        <v>360</v>
      </c>
      <c r="C88" s="3" t="s">
        <v>166</v>
      </c>
      <c r="D88" s="3" t="s">
        <v>133</v>
      </c>
      <c r="E88" s="10" t="s">
        <v>135</v>
      </c>
      <c r="F88" s="3"/>
      <c r="G88" s="11">
        <v>80000</v>
      </c>
      <c r="H88" s="12">
        <v>0</v>
      </c>
      <c r="I88" s="12">
        <f t="shared" si="1"/>
        <v>80000</v>
      </c>
      <c r="K88" s="13"/>
    </row>
    <row r="89" spans="1:13" ht="16" x14ac:dyDescent="0.2">
      <c r="A89" s="17">
        <v>5100</v>
      </c>
      <c r="B89" s="17">
        <v>394</v>
      </c>
      <c r="C89" s="17" t="s">
        <v>166</v>
      </c>
      <c r="D89" s="17" t="s">
        <v>187</v>
      </c>
      <c r="E89" s="24" t="s">
        <v>173</v>
      </c>
      <c r="F89" s="17"/>
      <c r="G89" s="22">
        <v>315173.61</v>
      </c>
      <c r="H89" s="23">
        <v>34003.550000000003</v>
      </c>
      <c r="I89" s="12">
        <f t="shared" si="1"/>
        <v>349177.16</v>
      </c>
      <c r="K89" s="18"/>
      <c r="L89" s="18"/>
    </row>
    <row r="90" spans="1:13" ht="16" x14ac:dyDescent="0.2">
      <c r="A90" s="17">
        <v>5200</v>
      </c>
      <c r="B90" s="17">
        <v>394</v>
      </c>
      <c r="C90" s="17" t="s">
        <v>166</v>
      </c>
      <c r="D90" s="17" t="s">
        <v>187</v>
      </c>
      <c r="E90" s="24" t="s">
        <v>173</v>
      </c>
      <c r="F90" s="35"/>
      <c r="G90" s="22">
        <v>9000</v>
      </c>
      <c r="H90" s="23">
        <v>0</v>
      </c>
      <c r="I90" s="12">
        <f t="shared" si="1"/>
        <v>9000</v>
      </c>
    </row>
    <row r="91" spans="1:13" ht="16" x14ac:dyDescent="0.2">
      <c r="A91" s="17">
        <v>5100</v>
      </c>
      <c r="B91" s="17">
        <v>130</v>
      </c>
      <c r="C91" s="3" t="s">
        <v>167</v>
      </c>
      <c r="D91" s="3" t="s">
        <v>140</v>
      </c>
      <c r="E91" s="10" t="s">
        <v>143</v>
      </c>
      <c r="F91" s="3">
        <v>20</v>
      </c>
      <c r="G91" s="11">
        <v>1018250</v>
      </c>
      <c r="H91" s="12">
        <v>1018250</v>
      </c>
      <c r="I91" s="12">
        <f t="shared" si="1"/>
        <v>2036500</v>
      </c>
      <c r="K91" s="16"/>
      <c r="L91" s="16"/>
      <c r="M91" s="16"/>
    </row>
    <row r="92" spans="1:13" ht="16" x14ac:dyDescent="0.2">
      <c r="A92" s="17">
        <v>5100</v>
      </c>
      <c r="B92" s="3">
        <v>210</v>
      </c>
      <c r="C92" s="3" t="s">
        <v>167</v>
      </c>
      <c r="D92" s="3" t="s">
        <v>140</v>
      </c>
      <c r="E92" s="10" t="s">
        <v>142</v>
      </c>
      <c r="F92" s="3"/>
      <c r="G92" s="11">
        <v>119415</v>
      </c>
      <c r="H92" s="12">
        <v>119415</v>
      </c>
      <c r="I92" s="12">
        <f t="shared" si="1"/>
        <v>238830</v>
      </c>
      <c r="K92" s="16"/>
      <c r="L92" s="16"/>
      <c r="M92" s="16"/>
    </row>
    <row r="93" spans="1:13" ht="16" x14ac:dyDescent="0.2">
      <c r="A93" s="17">
        <v>5100</v>
      </c>
      <c r="B93" s="3">
        <v>220</v>
      </c>
      <c r="C93" s="3" t="s">
        <v>167</v>
      </c>
      <c r="D93" s="3" t="s">
        <v>140</v>
      </c>
      <c r="E93" s="10" t="s">
        <v>144</v>
      </c>
      <c r="F93" s="3"/>
      <c r="G93" s="11">
        <v>77896</v>
      </c>
      <c r="H93" s="12">
        <v>77896</v>
      </c>
      <c r="I93" s="12">
        <f t="shared" si="1"/>
        <v>155792</v>
      </c>
      <c r="K93" s="16"/>
      <c r="L93" s="16"/>
      <c r="M93" s="16"/>
    </row>
    <row r="94" spans="1:13" ht="16" x14ac:dyDescent="0.2">
      <c r="A94" s="17">
        <v>5100</v>
      </c>
      <c r="B94" s="3">
        <v>230</v>
      </c>
      <c r="C94" s="3" t="s">
        <v>167</v>
      </c>
      <c r="D94" s="3" t="s">
        <v>140</v>
      </c>
      <c r="E94" s="10" t="s">
        <v>145</v>
      </c>
      <c r="F94" s="3"/>
      <c r="G94" s="11">
        <v>180060</v>
      </c>
      <c r="H94" s="12">
        <v>180060</v>
      </c>
      <c r="I94" s="12">
        <f t="shared" si="1"/>
        <v>360120</v>
      </c>
      <c r="K94" s="16"/>
      <c r="L94" s="16"/>
      <c r="M94" s="16"/>
    </row>
    <row r="95" spans="1:13" ht="16" x14ac:dyDescent="0.2">
      <c r="A95" s="17">
        <v>5100</v>
      </c>
      <c r="B95" s="3">
        <v>240</v>
      </c>
      <c r="C95" s="3" t="s">
        <v>167</v>
      </c>
      <c r="D95" s="3" t="s">
        <v>140</v>
      </c>
      <c r="E95" s="10" t="s">
        <v>146</v>
      </c>
      <c r="F95" s="3"/>
      <c r="G95" s="11">
        <v>4379</v>
      </c>
      <c r="H95" s="12">
        <v>4379</v>
      </c>
      <c r="I95" s="12">
        <f t="shared" si="1"/>
        <v>8758</v>
      </c>
      <c r="K95" s="13"/>
      <c r="L95" s="13"/>
      <c r="M95" s="13"/>
    </row>
    <row r="96" spans="1:13" ht="16" x14ac:dyDescent="0.2">
      <c r="A96" s="17">
        <v>7900</v>
      </c>
      <c r="B96" s="17">
        <v>160</v>
      </c>
      <c r="C96" s="3" t="s">
        <v>167</v>
      </c>
      <c r="D96" s="3" t="s">
        <v>141</v>
      </c>
      <c r="E96" s="10" t="s">
        <v>151</v>
      </c>
      <c r="F96" s="3">
        <v>2</v>
      </c>
      <c r="G96" s="22">
        <f>28000*2</f>
        <v>56000</v>
      </c>
      <c r="H96" s="23">
        <v>56000</v>
      </c>
      <c r="I96" s="12">
        <f t="shared" si="1"/>
        <v>112000</v>
      </c>
    </row>
    <row r="97" spans="1:13" ht="16" x14ac:dyDescent="0.2">
      <c r="A97" s="17">
        <v>7900</v>
      </c>
      <c r="B97" s="17">
        <v>210</v>
      </c>
      <c r="C97" s="3" t="s">
        <v>167</v>
      </c>
      <c r="D97" s="3" t="s">
        <v>141</v>
      </c>
      <c r="E97" s="10" t="s">
        <v>147</v>
      </c>
      <c r="F97" s="3"/>
      <c r="G97" s="22">
        <v>6569</v>
      </c>
      <c r="H97" s="23">
        <v>6569</v>
      </c>
      <c r="I97" s="12">
        <f t="shared" si="1"/>
        <v>13138</v>
      </c>
      <c r="K97" s="16"/>
      <c r="L97" s="16"/>
      <c r="M97" s="16"/>
    </row>
    <row r="98" spans="1:13" ht="16" x14ac:dyDescent="0.2">
      <c r="A98" s="17">
        <v>7900</v>
      </c>
      <c r="B98" s="17">
        <v>220</v>
      </c>
      <c r="C98" s="3" t="s">
        <v>167</v>
      </c>
      <c r="D98" s="3" t="s">
        <v>141</v>
      </c>
      <c r="E98" s="10" t="s">
        <v>148</v>
      </c>
      <c r="F98" s="3"/>
      <c r="G98" s="22">
        <v>42840</v>
      </c>
      <c r="H98" s="23">
        <v>42840</v>
      </c>
      <c r="I98" s="12">
        <f t="shared" si="1"/>
        <v>85680</v>
      </c>
      <c r="K98" s="16"/>
      <c r="L98" s="16"/>
      <c r="M98" s="16"/>
    </row>
    <row r="99" spans="1:13" ht="16" x14ac:dyDescent="0.2">
      <c r="A99" s="17">
        <v>7900</v>
      </c>
      <c r="B99" s="17">
        <v>230</v>
      </c>
      <c r="C99" s="3" t="s">
        <v>167</v>
      </c>
      <c r="D99" s="3" t="s">
        <v>141</v>
      </c>
      <c r="E99" s="10" t="s">
        <v>149</v>
      </c>
      <c r="F99" s="3"/>
      <c r="G99" s="22">
        <v>18006</v>
      </c>
      <c r="H99" s="23">
        <v>18006</v>
      </c>
      <c r="I99" s="12">
        <f t="shared" si="1"/>
        <v>36012</v>
      </c>
      <c r="K99" s="16"/>
      <c r="L99" s="16"/>
      <c r="M99" s="16"/>
    </row>
    <row r="100" spans="1:13" ht="16" x14ac:dyDescent="0.2">
      <c r="A100" s="17">
        <v>7900</v>
      </c>
      <c r="B100" s="17">
        <v>240</v>
      </c>
      <c r="C100" s="3" t="s">
        <v>167</v>
      </c>
      <c r="D100" s="3" t="s">
        <v>141</v>
      </c>
      <c r="E100" s="10" t="s">
        <v>150</v>
      </c>
      <c r="F100" s="3"/>
      <c r="G100" s="22">
        <v>241</v>
      </c>
      <c r="H100" s="23">
        <v>241</v>
      </c>
      <c r="I100" s="12">
        <f t="shared" si="1"/>
        <v>482</v>
      </c>
      <c r="K100" s="16"/>
      <c r="L100" s="16"/>
      <c r="M100" s="16"/>
    </row>
    <row r="101" spans="1:13" ht="16" x14ac:dyDescent="0.2">
      <c r="A101" s="27">
        <v>6110</v>
      </c>
      <c r="B101" s="17">
        <v>394</v>
      </c>
      <c r="C101" s="17" t="s">
        <v>167</v>
      </c>
      <c r="D101" s="17" t="s">
        <v>205</v>
      </c>
      <c r="E101" s="24" t="s">
        <v>173</v>
      </c>
      <c r="F101" s="17"/>
      <c r="G101" s="22">
        <v>3729.5</v>
      </c>
      <c r="H101" s="23">
        <v>10688.5</v>
      </c>
      <c r="I101" s="12">
        <f t="shared" si="1"/>
        <v>14418</v>
      </c>
    </row>
    <row r="102" spans="1:13" ht="16" x14ac:dyDescent="0.2">
      <c r="A102" s="17">
        <v>6130</v>
      </c>
      <c r="B102" s="17">
        <v>394</v>
      </c>
      <c r="C102" s="17" t="s">
        <v>167</v>
      </c>
      <c r="D102" s="17" t="s">
        <v>205</v>
      </c>
      <c r="E102" s="24" t="s">
        <v>173</v>
      </c>
      <c r="F102" s="17"/>
      <c r="G102" s="22">
        <v>197400</v>
      </c>
      <c r="H102" s="23">
        <v>12000</v>
      </c>
      <c r="I102" s="12">
        <f t="shared" si="1"/>
        <v>209400</v>
      </c>
    </row>
    <row r="103" spans="1:13" ht="16" x14ac:dyDescent="0.2">
      <c r="A103" s="27">
        <v>6400</v>
      </c>
      <c r="B103" s="17">
        <v>394</v>
      </c>
      <c r="C103" s="17" t="s">
        <v>167</v>
      </c>
      <c r="D103" s="17" t="s">
        <v>205</v>
      </c>
      <c r="E103" s="24" t="s">
        <v>173</v>
      </c>
      <c r="F103" s="17"/>
      <c r="G103" s="22">
        <v>5000</v>
      </c>
      <c r="H103" s="23">
        <v>5000</v>
      </c>
      <c r="I103" s="12">
        <f t="shared" si="1"/>
        <v>10000</v>
      </c>
    </row>
    <row r="104" spans="1:13" ht="16" x14ac:dyDescent="0.2">
      <c r="A104" s="27">
        <v>6130</v>
      </c>
      <c r="B104" s="17">
        <v>394</v>
      </c>
      <c r="C104" s="17" t="s">
        <v>183</v>
      </c>
      <c r="D104" s="17" t="s">
        <v>192</v>
      </c>
      <c r="E104" s="24" t="s">
        <v>173</v>
      </c>
      <c r="F104" s="17"/>
      <c r="G104" s="22">
        <v>24000</v>
      </c>
      <c r="H104" s="23">
        <v>0</v>
      </c>
      <c r="I104" s="12">
        <f t="shared" si="1"/>
        <v>24000</v>
      </c>
    </row>
    <row r="105" spans="1:13" ht="16" x14ac:dyDescent="0.2">
      <c r="A105" s="27">
        <v>6900</v>
      </c>
      <c r="B105" s="17">
        <v>394</v>
      </c>
      <c r="C105" s="17" t="s">
        <v>183</v>
      </c>
      <c r="D105" s="17" t="s">
        <v>192</v>
      </c>
      <c r="E105" s="24" t="s">
        <v>173</v>
      </c>
      <c r="F105" s="17"/>
      <c r="G105" s="22">
        <v>0</v>
      </c>
      <c r="H105" s="23">
        <v>800</v>
      </c>
      <c r="I105" s="12">
        <f t="shared" si="1"/>
        <v>800</v>
      </c>
    </row>
    <row r="106" spans="1:13" ht="32" x14ac:dyDescent="0.2">
      <c r="A106" s="3">
        <v>6150</v>
      </c>
      <c r="B106" s="3">
        <v>110</v>
      </c>
      <c r="C106" s="3" t="s">
        <v>168</v>
      </c>
      <c r="D106" s="3" t="s">
        <v>68</v>
      </c>
      <c r="E106" s="10" t="s">
        <v>181</v>
      </c>
      <c r="F106" s="3">
        <v>2</v>
      </c>
      <c r="G106" s="11">
        <v>0</v>
      </c>
      <c r="H106" s="12">
        <v>106000</v>
      </c>
      <c r="I106" s="12">
        <f t="shared" si="1"/>
        <v>106000</v>
      </c>
    </row>
    <row r="107" spans="1:13" ht="16" x14ac:dyDescent="0.2">
      <c r="A107" s="3">
        <v>6150</v>
      </c>
      <c r="B107" s="3">
        <v>210</v>
      </c>
      <c r="C107" s="3" t="s">
        <v>168</v>
      </c>
      <c r="D107" s="3" t="s">
        <v>68</v>
      </c>
      <c r="E107" s="10" t="s">
        <v>69</v>
      </c>
      <c r="F107" s="3"/>
      <c r="G107" s="11">
        <v>0</v>
      </c>
      <c r="H107" s="12">
        <v>12434</v>
      </c>
      <c r="I107" s="12">
        <f t="shared" si="1"/>
        <v>12434</v>
      </c>
    </row>
    <row r="108" spans="1:13" ht="32" x14ac:dyDescent="0.2">
      <c r="A108" s="3">
        <v>6150</v>
      </c>
      <c r="B108" s="3">
        <v>220</v>
      </c>
      <c r="C108" s="3" t="s">
        <v>168</v>
      </c>
      <c r="D108" s="3" t="s">
        <v>68</v>
      </c>
      <c r="E108" s="10" t="s">
        <v>70</v>
      </c>
      <c r="F108" s="3"/>
      <c r="G108" s="11">
        <v>0</v>
      </c>
      <c r="H108" s="12">
        <v>8109</v>
      </c>
      <c r="I108" s="12">
        <f t="shared" si="1"/>
        <v>8109</v>
      </c>
    </row>
    <row r="109" spans="1:13" ht="32" x14ac:dyDescent="0.2">
      <c r="A109" s="3">
        <v>6150</v>
      </c>
      <c r="B109" s="3">
        <v>230</v>
      </c>
      <c r="C109" s="3" t="s">
        <v>168</v>
      </c>
      <c r="D109" s="3" t="s">
        <v>68</v>
      </c>
      <c r="E109" s="10" t="s">
        <v>71</v>
      </c>
      <c r="F109" s="3"/>
      <c r="G109" s="11">
        <v>0</v>
      </c>
      <c r="H109" s="12">
        <v>18006</v>
      </c>
      <c r="I109" s="12">
        <f t="shared" si="1"/>
        <v>18006</v>
      </c>
    </row>
    <row r="110" spans="1:13" ht="32" x14ac:dyDescent="0.2">
      <c r="A110" s="3">
        <v>6150</v>
      </c>
      <c r="B110" s="3">
        <v>240</v>
      </c>
      <c r="C110" s="3" t="s">
        <v>168</v>
      </c>
      <c r="D110" s="3" t="s">
        <v>68</v>
      </c>
      <c r="E110" s="10" t="s">
        <v>72</v>
      </c>
      <c r="F110" s="3"/>
      <c r="G110" s="11">
        <v>0</v>
      </c>
      <c r="H110" s="12">
        <v>456</v>
      </c>
      <c r="I110" s="12">
        <f t="shared" si="1"/>
        <v>456</v>
      </c>
    </row>
    <row r="111" spans="1:13" ht="32" x14ac:dyDescent="0.2">
      <c r="A111" s="3">
        <v>6150</v>
      </c>
      <c r="B111" s="3">
        <v>510</v>
      </c>
      <c r="C111" s="3" t="s">
        <v>168</v>
      </c>
      <c r="D111" s="3" t="s">
        <v>68</v>
      </c>
      <c r="E111" s="10" t="s">
        <v>174</v>
      </c>
      <c r="F111" s="3"/>
      <c r="G111" s="11">
        <v>0</v>
      </c>
      <c r="H111" s="12">
        <v>250</v>
      </c>
      <c r="I111" s="12">
        <f t="shared" si="1"/>
        <v>250</v>
      </c>
      <c r="K111" s="13"/>
    </row>
    <row r="112" spans="1:13" ht="32" x14ac:dyDescent="0.2">
      <c r="A112" s="3">
        <v>6300</v>
      </c>
      <c r="B112" s="3">
        <v>110</v>
      </c>
      <c r="C112" s="3" t="s">
        <v>168</v>
      </c>
      <c r="D112" s="3" t="s">
        <v>68</v>
      </c>
      <c r="E112" s="10" t="s">
        <v>175</v>
      </c>
      <c r="F112" s="3">
        <v>1</v>
      </c>
      <c r="G112" s="11">
        <v>0</v>
      </c>
      <c r="H112" s="12">
        <v>53000</v>
      </c>
      <c r="I112" s="12">
        <f t="shared" si="1"/>
        <v>53000</v>
      </c>
    </row>
    <row r="113" spans="1:11" ht="16" x14ac:dyDescent="0.2">
      <c r="A113" s="3">
        <v>6300</v>
      </c>
      <c r="B113" s="3">
        <v>210</v>
      </c>
      <c r="C113" s="3" t="s">
        <v>168</v>
      </c>
      <c r="D113" s="3" t="s">
        <v>68</v>
      </c>
      <c r="E113" s="10" t="s">
        <v>73</v>
      </c>
      <c r="F113" s="3"/>
      <c r="G113" s="11">
        <v>0</v>
      </c>
      <c r="H113" s="12">
        <v>6217</v>
      </c>
      <c r="I113" s="12">
        <f t="shared" si="1"/>
        <v>6217</v>
      </c>
    </row>
    <row r="114" spans="1:11" ht="16" x14ac:dyDescent="0.2">
      <c r="A114" s="3">
        <v>6300</v>
      </c>
      <c r="B114" s="3">
        <v>220</v>
      </c>
      <c r="C114" s="3" t="s">
        <v>168</v>
      </c>
      <c r="D114" s="3" t="s">
        <v>68</v>
      </c>
      <c r="E114" s="10" t="s">
        <v>74</v>
      </c>
      <c r="F114" s="3"/>
      <c r="G114" s="11">
        <v>0</v>
      </c>
      <c r="H114" s="12">
        <v>4055</v>
      </c>
      <c r="I114" s="12">
        <f t="shared" si="1"/>
        <v>4055</v>
      </c>
    </row>
    <row r="115" spans="1:11" ht="16" x14ac:dyDescent="0.2">
      <c r="A115" s="3">
        <v>6300</v>
      </c>
      <c r="B115" s="3">
        <v>230</v>
      </c>
      <c r="C115" s="3" t="s">
        <v>168</v>
      </c>
      <c r="D115" s="3" t="s">
        <v>68</v>
      </c>
      <c r="E115" s="10" t="s">
        <v>75</v>
      </c>
      <c r="F115" s="3"/>
      <c r="G115" s="11">
        <v>0</v>
      </c>
      <c r="H115" s="12">
        <v>9003</v>
      </c>
      <c r="I115" s="12">
        <f t="shared" si="1"/>
        <v>9003</v>
      </c>
    </row>
    <row r="116" spans="1:11" ht="16" x14ac:dyDescent="0.2">
      <c r="A116" s="3">
        <v>6300</v>
      </c>
      <c r="B116" s="3">
        <v>240</v>
      </c>
      <c r="C116" s="3" t="s">
        <v>168</v>
      </c>
      <c r="D116" s="3" t="s">
        <v>68</v>
      </c>
      <c r="E116" s="10" t="s">
        <v>76</v>
      </c>
      <c r="F116" s="3"/>
      <c r="G116" s="11">
        <v>0</v>
      </c>
      <c r="H116" s="12">
        <v>228</v>
      </c>
      <c r="I116" s="12">
        <f t="shared" si="1"/>
        <v>228</v>
      </c>
    </row>
    <row r="117" spans="1:11" ht="32" x14ac:dyDescent="0.2">
      <c r="A117" s="3">
        <v>6300</v>
      </c>
      <c r="B117" s="3">
        <v>510</v>
      </c>
      <c r="C117" s="3" t="s">
        <v>168</v>
      </c>
      <c r="D117" s="3" t="s">
        <v>68</v>
      </c>
      <c r="E117" s="10" t="s">
        <v>174</v>
      </c>
      <c r="F117" s="3"/>
      <c r="G117" s="11">
        <v>0</v>
      </c>
      <c r="H117" s="12">
        <v>125</v>
      </c>
      <c r="I117" s="12">
        <f t="shared" si="1"/>
        <v>125</v>
      </c>
    </row>
    <row r="118" spans="1:11" ht="32" x14ac:dyDescent="0.2">
      <c r="A118" s="3">
        <v>6400</v>
      </c>
      <c r="B118" s="3">
        <v>110</v>
      </c>
      <c r="C118" s="3" t="s">
        <v>168</v>
      </c>
      <c r="D118" s="3" t="s">
        <v>68</v>
      </c>
      <c r="E118" s="10" t="s">
        <v>176</v>
      </c>
      <c r="F118" s="3">
        <v>3.5</v>
      </c>
      <c r="G118" s="11">
        <v>0</v>
      </c>
      <c r="H118" s="12">
        <v>185500</v>
      </c>
      <c r="I118" s="12">
        <f t="shared" si="1"/>
        <v>185500</v>
      </c>
    </row>
    <row r="119" spans="1:11" ht="16" x14ac:dyDescent="0.2">
      <c r="A119" s="3">
        <v>6400</v>
      </c>
      <c r="B119" s="3">
        <v>210</v>
      </c>
      <c r="C119" s="3" t="s">
        <v>168</v>
      </c>
      <c r="D119" s="3" t="s">
        <v>68</v>
      </c>
      <c r="E119" s="10" t="s">
        <v>88</v>
      </c>
      <c r="F119" s="3"/>
      <c r="G119" s="11">
        <v>0</v>
      </c>
      <c r="H119" s="12">
        <v>21760</v>
      </c>
      <c r="I119" s="12">
        <f t="shared" si="1"/>
        <v>21760</v>
      </c>
    </row>
    <row r="120" spans="1:11" ht="32" x14ac:dyDescent="0.2">
      <c r="A120" s="3">
        <v>6400</v>
      </c>
      <c r="B120" s="3">
        <v>220</v>
      </c>
      <c r="C120" s="3" t="s">
        <v>168</v>
      </c>
      <c r="D120" s="3" t="s">
        <v>68</v>
      </c>
      <c r="E120" s="10" t="s">
        <v>85</v>
      </c>
      <c r="F120" s="3"/>
      <c r="G120" s="11">
        <v>0</v>
      </c>
      <c r="H120" s="12">
        <v>14191</v>
      </c>
      <c r="I120" s="12">
        <f t="shared" si="1"/>
        <v>14191</v>
      </c>
    </row>
    <row r="121" spans="1:11" ht="32" x14ac:dyDescent="0.2">
      <c r="A121" s="3">
        <v>6400</v>
      </c>
      <c r="B121" s="3">
        <v>230</v>
      </c>
      <c r="C121" s="3" t="s">
        <v>168</v>
      </c>
      <c r="D121" s="3" t="s">
        <v>68</v>
      </c>
      <c r="E121" s="10" t="s">
        <v>86</v>
      </c>
      <c r="F121" s="3"/>
      <c r="G121" s="11">
        <v>0</v>
      </c>
      <c r="H121" s="12">
        <v>31511</v>
      </c>
      <c r="I121" s="12">
        <f t="shared" si="1"/>
        <v>31511</v>
      </c>
      <c r="K121" s="13"/>
    </row>
    <row r="122" spans="1:11" ht="32" x14ac:dyDescent="0.2">
      <c r="A122" s="3">
        <v>6400</v>
      </c>
      <c r="B122" s="3">
        <v>240</v>
      </c>
      <c r="C122" s="3" t="s">
        <v>168</v>
      </c>
      <c r="D122" s="3" t="s">
        <v>68</v>
      </c>
      <c r="E122" s="10" t="s">
        <v>87</v>
      </c>
      <c r="F122" s="3"/>
      <c r="G122" s="11">
        <v>0</v>
      </c>
      <c r="H122" s="12">
        <v>798</v>
      </c>
      <c r="I122" s="12">
        <f t="shared" si="1"/>
        <v>798</v>
      </c>
      <c r="J122" s="13"/>
      <c r="K122" s="13"/>
    </row>
    <row r="123" spans="1:11" ht="32" x14ac:dyDescent="0.2">
      <c r="A123" s="3">
        <v>6400</v>
      </c>
      <c r="B123" s="3">
        <v>240</v>
      </c>
      <c r="C123" s="3" t="s">
        <v>168</v>
      </c>
      <c r="D123" s="3" t="s">
        <v>68</v>
      </c>
      <c r="E123" s="10" t="s">
        <v>174</v>
      </c>
      <c r="F123" s="3"/>
      <c r="G123" s="11"/>
      <c r="H123" s="12">
        <v>125</v>
      </c>
      <c r="I123" s="12">
        <f t="shared" si="1"/>
        <v>125</v>
      </c>
      <c r="J123" s="13"/>
      <c r="K123" s="13"/>
    </row>
    <row r="124" spans="1:11" ht="16" x14ac:dyDescent="0.2">
      <c r="A124" s="3">
        <v>7200</v>
      </c>
      <c r="B124" s="3">
        <v>110</v>
      </c>
      <c r="C124" s="3" t="s">
        <v>168</v>
      </c>
      <c r="D124" s="3" t="s">
        <v>68</v>
      </c>
      <c r="E124" s="10" t="s">
        <v>177</v>
      </c>
      <c r="F124" s="3">
        <v>1</v>
      </c>
      <c r="G124" s="11">
        <v>0</v>
      </c>
      <c r="H124" s="12">
        <v>132500</v>
      </c>
      <c r="I124" s="12">
        <f t="shared" si="1"/>
        <v>132500</v>
      </c>
      <c r="J124" s="13"/>
      <c r="K124" s="15"/>
    </row>
    <row r="125" spans="1:11" ht="16" x14ac:dyDescent="0.2">
      <c r="A125" s="3">
        <v>7200</v>
      </c>
      <c r="B125" s="3">
        <v>110</v>
      </c>
      <c r="C125" s="3" t="s">
        <v>168</v>
      </c>
      <c r="D125" s="3" t="s">
        <v>68</v>
      </c>
      <c r="E125" s="10" t="s">
        <v>178</v>
      </c>
      <c r="F125" s="3">
        <v>1</v>
      </c>
      <c r="G125" s="11">
        <v>0</v>
      </c>
      <c r="H125" s="12">
        <v>106000</v>
      </c>
      <c r="I125" s="12">
        <f t="shared" si="1"/>
        <v>106000</v>
      </c>
      <c r="J125" s="13"/>
    </row>
    <row r="126" spans="1:11" ht="16" x14ac:dyDescent="0.2">
      <c r="A126" s="3">
        <v>7200</v>
      </c>
      <c r="B126" s="3">
        <v>210</v>
      </c>
      <c r="C126" s="3" t="s">
        <v>168</v>
      </c>
      <c r="D126" s="3" t="s">
        <v>68</v>
      </c>
      <c r="E126" s="10" t="s">
        <v>77</v>
      </c>
      <c r="F126" s="3"/>
      <c r="G126" s="11">
        <v>0</v>
      </c>
      <c r="H126" s="12">
        <v>15543</v>
      </c>
      <c r="I126" s="12">
        <f t="shared" si="1"/>
        <v>15543</v>
      </c>
      <c r="J126" s="13"/>
    </row>
    <row r="127" spans="1:11" ht="16" x14ac:dyDescent="0.2">
      <c r="A127" s="3">
        <v>7200</v>
      </c>
      <c r="B127" s="3">
        <v>210</v>
      </c>
      <c r="C127" s="3" t="s">
        <v>168</v>
      </c>
      <c r="D127" s="3" t="s">
        <v>68</v>
      </c>
      <c r="E127" s="10" t="s">
        <v>81</v>
      </c>
      <c r="F127" s="3"/>
      <c r="G127" s="11">
        <v>0</v>
      </c>
      <c r="H127" s="12">
        <v>12434</v>
      </c>
      <c r="I127" s="12">
        <f t="shared" si="1"/>
        <v>12434</v>
      </c>
    </row>
    <row r="128" spans="1:11" ht="16" x14ac:dyDescent="0.2">
      <c r="A128" s="3">
        <v>7200</v>
      </c>
      <c r="B128" s="3">
        <v>220</v>
      </c>
      <c r="C128" s="3" t="s">
        <v>168</v>
      </c>
      <c r="D128" s="3" t="s">
        <v>68</v>
      </c>
      <c r="E128" s="10" t="s">
        <v>78</v>
      </c>
      <c r="F128" s="3"/>
      <c r="G128" s="11">
        <v>0</v>
      </c>
      <c r="H128" s="12">
        <v>10137</v>
      </c>
      <c r="I128" s="12">
        <f t="shared" si="1"/>
        <v>10137</v>
      </c>
      <c r="J128" s="13"/>
      <c r="K128" s="13"/>
    </row>
    <row r="129" spans="1:11" ht="32" x14ac:dyDescent="0.2">
      <c r="A129" s="3">
        <v>7200</v>
      </c>
      <c r="B129" s="3">
        <v>220</v>
      </c>
      <c r="C129" s="3" t="s">
        <v>168</v>
      </c>
      <c r="D129" s="3" t="s">
        <v>68</v>
      </c>
      <c r="E129" s="10" t="s">
        <v>82</v>
      </c>
      <c r="F129" s="3"/>
      <c r="G129" s="11">
        <v>0</v>
      </c>
      <c r="H129" s="12">
        <v>8109</v>
      </c>
      <c r="I129" s="12">
        <f t="shared" si="1"/>
        <v>8109</v>
      </c>
      <c r="J129" s="13"/>
      <c r="K129" s="13"/>
    </row>
    <row r="130" spans="1:11" ht="16" x14ac:dyDescent="0.2">
      <c r="A130" s="3">
        <v>7200</v>
      </c>
      <c r="B130" s="3">
        <v>230</v>
      </c>
      <c r="C130" s="3" t="s">
        <v>168</v>
      </c>
      <c r="D130" s="3" t="s">
        <v>68</v>
      </c>
      <c r="E130" s="10" t="s">
        <v>79</v>
      </c>
      <c r="F130" s="3"/>
      <c r="G130" s="11">
        <v>0</v>
      </c>
      <c r="H130" s="12">
        <v>9003</v>
      </c>
      <c r="I130" s="12">
        <f t="shared" si="1"/>
        <v>9003</v>
      </c>
      <c r="J130" s="13"/>
      <c r="K130" s="15"/>
    </row>
    <row r="131" spans="1:11" ht="32" x14ac:dyDescent="0.2">
      <c r="A131" s="3">
        <v>7200</v>
      </c>
      <c r="B131" s="3">
        <v>230</v>
      </c>
      <c r="C131" s="3" t="s">
        <v>168</v>
      </c>
      <c r="D131" s="3" t="s">
        <v>68</v>
      </c>
      <c r="E131" s="10" t="s">
        <v>83</v>
      </c>
      <c r="F131" s="3"/>
      <c r="G131" s="11">
        <v>0</v>
      </c>
      <c r="H131" s="12">
        <v>9003</v>
      </c>
      <c r="I131" s="12">
        <f t="shared" si="1"/>
        <v>9003</v>
      </c>
      <c r="J131" s="13"/>
    </row>
    <row r="132" spans="1:11" ht="16" x14ac:dyDescent="0.2">
      <c r="A132" s="3">
        <v>7200</v>
      </c>
      <c r="B132" s="3">
        <v>240</v>
      </c>
      <c r="C132" s="3" t="s">
        <v>168</v>
      </c>
      <c r="D132" s="3" t="s">
        <v>68</v>
      </c>
      <c r="E132" s="10" t="s">
        <v>80</v>
      </c>
      <c r="F132" s="3"/>
      <c r="G132" s="11">
        <v>0</v>
      </c>
      <c r="H132" s="12">
        <v>570</v>
      </c>
      <c r="I132" s="12">
        <f t="shared" si="1"/>
        <v>570</v>
      </c>
      <c r="J132" s="13"/>
      <c r="K132" s="13"/>
    </row>
    <row r="133" spans="1:11" ht="32" x14ac:dyDescent="0.2">
      <c r="A133" s="3">
        <v>7200</v>
      </c>
      <c r="B133" s="3">
        <v>240</v>
      </c>
      <c r="C133" s="3" t="s">
        <v>168</v>
      </c>
      <c r="D133" s="3" t="s">
        <v>68</v>
      </c>
      <c r="E133" s="10" t="s">
        <v>84</v>
      </c>
      <c r="F133" s="3"/>
      <c r="G133" s="11">
        <v>0</v>
      </c>
      <c r="H133" s="12">
        <v>456</v>
      </c>
      <c r="I133" s="12">
        <f t="shared" si="1"/>
        <v>456</v>
      </c>
      <c r="J133" s="13"/>
      <c r="K133" s="13"/>
    </row>
    <row r="134" spans="1:11" ht="16" x14ac:dyDescent="0.2">
      <c r="A134" s="3">
        <v>7200</v>
      </c>
      <c r="B134" s="3">
        <v>390</v>
      </c>
      <c r="C134" s="3" t="s">
        <v>168</v>
      </c>
      <c r="D134" s="3" t="s">
        <v>68</v>
      </c>
      <c r="E134" s="10" t="s">
        <v>179</v>
      </c>
      <c r="F134" s="3"/>
      <c r="G134" s="11">
        <v>0</v>
      </c>
      <c r="H134" s="12">
        <v>227</v>
      </c>
      <c r="I134" s="12">
        <f t="shared" si="1"/>
        <v>227</v>
      </c>
      <c r="J134" s="13"/>
      <c r="K134" s="13"/>
    </row>
    <row r="135" spans="1:11" ht="32" x14ac:dyDescent="0.2">
      <c r="A135" s="3">
        <v>7200</v>
      </c>
      <c r="B135" s="3">
        <v>510</v>
      </c>
      <c r="C135" s="3" t="s">
        <v>168</v>
      </c>
      <c r="D135" s="3" t="s">
        <v>68</v>
      </c>
      <c r="E135" s="10" t="s">
        <v>174</v>
      </c>
      <c r="F135" s="3"/>
      <c r="G135" s="11">
        <v>0</v>
      </c>
      <c r="H135" s="12">
        <v>250</v>
      </c>
      <c r="I135" s="12">
        <f t="shared" si="1"/>
        <v>250</v>
      </c>
      <c r="J135" s="13"/>
      <c r="K135" s="15"/>
    </row>
    <row r="136" spans="1:11" ht="48" x14ac:dyDescent="0.2">
      <c r="A136" s="3">
        <v>6300</v>
      </c>
      <c r="B136" s="17">
        <v>360</v>
      </c>
      <c r="C136" s="3" t="s">
        <v>168</v>
      </c>
      <c r="D136" s="3" t="s">
        <v>89</v>
      </c>
      <c r="E136" s="10" t="s">
        <v>180</v>
      </c>
      <c r="F136" s="3"/>
      <c r="G136" s="11">
        <v>0</v>
      </c>
      <c r="H136" s="12">
        <f>250550+250550</f>
        <v>501100</v>
      </c>
      <c r="I136" s="12">
        <f t="shared" si="1"/>
        <v>501100</v>
      </c>
      <c r="J136" s="13"/>
    </row>
    <row r="137" spans="1:11" ht="16" x14ac:dyDescent="0.2">
      <c r="A137" s="17">
        <v>5100</v>
      </c>
      <c r="B137" s="17">
        <v>394</v>
      </c>
      <c r="C137" s="17" t="s">
        <v>168</v>
      </c>
      <c r="D137" s="17" t="s">
        <v>193</v>
      </c>
      <c r="E137" s="24" t="s">
        <v>173</v>
      </c>
      <c r="F137" s="17"/>
      <c r="G137" s="22">
        <v>10558.24</v>
      </c>
      <c r="H137" s="23">
        <v>120000</v>
      </c>
      <c r="I137" s="12">
        <f t="shared" si="1"/>
        <v>130558.24</v>
      </c>
      <c r="J137" s="13"/>
    </row>
    <row r="138" spans="1:11" ht="16" x14ac:dyDescent="0.2">
      <c r="A138" s="27">
        <v>7400</v>
      </c>
      <c r="B138" s="17">
        <v>394</v>
      </c>
      <c r="C138" s="17" t="s">
        <v>184</v>
      </c>
      <c r="D138" s="17" t="s">
        <v>194</v>
      </c>
      <c r="E138" s="24" t="s">
        <v>173</v>
      </c>
      <c r="F138" s="17"/>
      <c r="G138" s="22">
        <v>76193</v>
      </c>
      <c r="H138" s="23">
        <v>0</v>
      </c>
      <c r="I138" s="12">
        <f t="shared" si="1"/>
        <v>76193</v>
      </c>
      <c r="J138" s="13"/>
      <c r="K138" s="13"/>
    </row>
    <row r="139" spans="1:11" ht="16" x14ac:dyDescent="0.2">
      <c r="A139" s="27">
        <v>7410</v>
      </c>
      <c r="B139" s="17">
        <v>394</v>
      </c>
      <c r="C139" s="17" t="s">
        <v>184</v>
      </c>
      <c r="D139" s="17" t="s">
        <v>194</v>
      </c>
      <c r="E139" s="24" t="s">
        <v>173</v>
      </c>
      <c r="F139" s="17"/>
      <c r="G139" s="22">
        <v>93635.57</v>
      </c>
      <c r="H139" s="23">
        <v>0</v>
      </c>
      <c r="I139" s="12">
        <f t="shared" si="1"/>
        <v>93635.57</v>
      </c>
      <c r="J139" s="13"/>
      <c r="K139" s="13"/>
    </row>
    <row r="140" spans="1:11" ht="16" x14ac:dyDescent="0.2">
      <c r="A140" s="27">
        <v>7900</v>
      </c>
      <c r="B140" s="17">
        <v>394</v>
      </c>
      <c r="C140" s="17" t="s">
        <v>184</v>
      </c>
      <c r="D140" s="17" t="s">
        <v>194</v>
      </c>
      <c r="E140" s="24" t="s">
        <v>173</v>
      </c>
      <c r="F140" s="17"/>
      <c r="G140" s="22">
        <v>38415.08</v>
      </c>
      <c r="H140" s="23">
        <v>0</v>
      </c>
      <c r="I140" s="12">
        <f t="shared" si="1"/>
        <v>38415.08</v>
      </c>
      <c r="J140" s="13"/>
      <c r="K140" s="15"/>
    </row>
    <row r="141" spans="1:11" ht="16" x14ac:dyDescent="0.2">
      <c r="A141" s="3">
        <v>8100</v>
      </c>
      <c r="B141" s="3">
        <v>340</v>
      </c>
      <c r="C141" s="3" t="s">
        <v>169</v>
      </c>
      <c r="D141" s="3" t="s">
        <v>138</v>
      </c>
      <c r="E141" s="10" t="s">
        <v>139</v>
      </c>
      <c r="F141" s="3"/>
      <c r="G141" s="11">
        <v>1552000</v>
      </c>
      <c r="H141" s="12">
        <v>0</v>
      </c>
      <c r="I141" s="12">
        <f t="shared" si="1"/>
        <v>1552000</v>
      </c>
      <c r="J141" s="13"/>
    </row>
    <row r="142" spans="1:11" ht="32" x14ac:dyDescent="0.2">
      <c r="A142" s="3">
        <v>8100</v>
      </c>
      <c r="B142" s="3">
        <v>640</v>
      </c>
      <c r="C142" s="3" t="s">
        <v>169</v>
      </c>
      <c r="D142" s="3" t="s">
        <v>138</v>
      </c>
      <c r="E142" s="10" t="s">
        <v>211</v>
      </c>
      <c r="F142" s="3"/>
      <c r="G142" s="11">
        <v>580000</v>
      </c>
      <c r="H142" s="12">
        <v>0</v>
      </c>
      <c r="I142" s="12">
        <f t="shared" ref="I142:I196" si="2">H142+G142</f>
        <v>580000</v>
      </c>
      <c r="J142" s="13"/>
      <c r="K142" s="13"/>
    </row>
    <row r="143" spans="1:11" ht="64" x14ac:dyDescent="0.2">
      <c r="A143" s="3">
        <v>8100</v>
      </c>
      <c r="B143" s="3">
        <v>680</v>
      </c>
      <c r="C143" s="3" t="s">
        <v>169</v>
      </c>
      <c r="D143" s="3" t="s">
        <v>138</v>
      </c>
      <c r="E143" s="10" t="s">
        <v>212</v>
      </c>
      <c r="F143" s="3"/>
      <c r="G143" s="11">
        <v>21868000</v>
      </c>
      <c r="H143" s="12">
        <v>0</v>
      </c>
      <c r="I143" s="12">
        <f t="shared" si="2"/>
        <v>21868000</v>
      </c>
      <c r="J143" s="13"/>
      <c r="K143" s="13"/>
    </row>
    <row r="144" spans="1:11" ht="16" x14ac:dyDescent="0.2">
      <c r="A144" s="27">
        <v>7900</v>
      </c>
      <c r="B144" s="17">
        <v>394</v>
      </c>
      <c r="C144" s="17" t="s">
        <v>169</v>
      </c>
      <c r="D144" s="17" t="s">
        <v>195</v>
      </c>
      <c r="E144" s="24" t="s">
        <v>173</v>
      </c>
      <c r="F144" s="17"/>
      <c r="G144" s="22">
        <v>11000</v>
      </c>
      <c r="H144" s="23">
        <v>11000</v>
      </c>
      <c r="I144" s="12">
        <f t="shared" si="2"/>
        <v>22000</v>
      </c>
      <c r="J144" s="13"/>
      <c r="K144" s="13"/>
    </row>
    <row r="145" spans="1:12" ht="16" x14ac:dyDescent="0.2">
      <c r="A145" s="27">
        <v>8100</v>
      </c>
      <c r="B145" s="17">
        <v>394</v>
      </c>
      <c r="C145" s="17" t="s">
        <v>169</v>
      </c>
      <c r="D145" s="17" t="s">
        <v>195</v>
      </c>
      <c r="E145" s="24" t="s">
        <v>173</v>
      </c>
      <c r="F145" s="17"/>
      <c r="G145" s="22">
        <v>237745</v>
      </c>
      <c r="H145" s="23">
        <v>0</v>
      </c>
      <c r="I145" s="12">
        <f t="shared" si="2"/>
        <v>237745</v>
      </c>
      <c r="J145" s="13"/>
      <c r="K145" s="15"/>
    </row>
    <row r="146" spans="1:12" ht="16" x14ac:dyDescent="0.2">
      <c r="A146" s="3">
        <v>6130</v>
      </c>
      <c r="B146" s="3">
        <v>130</v>
      </c>
      <c r="C146" s="3" t="s">
        <v>170</v>
      </c>
      <c r="D146" s="3" t="s">
        <v>95</v>
      </c>
      <c r="E146" s="10" t="s">
        <v>94</v>
      </c>
      <c r="F146" s="3">
        <v>3</v>
      </c>
      <c r="G146" s="11">
        <v>0</v>
      </c>
      <c r="H146" s="12">
        <v>134610</v>
      </c>
      <c r="I146" s="12">
        <f t="shared" si="2"/>
        <v>134610</v>
      </c>
      <c r="J146" s="13"/>
    </row>
    <row r="147" spans="1:12" ht="16" x14ac:dyDescent="0.2">
      <c r="A147" s="3">
        <v>6130</v>
      </c>
      <c r="B147" s="3">
        <v>210</v>
      </c>
      <c r="C147" s="3" t="s">
        <v>170</v>
      </c>
      <c r="D147" s="3" t="s">
        <v>95</v>
      </c>
      <c r="E147" s="10" t="s">
        <v>90</v>
      </c>
      <c r="F147" s="3"/>
      <c r="G147" s="11">
        <v>0</v>
      </c>
      <c r="H147" s="12">
        <v>15790</v>
      </c>
      <c r="I147" s="12">
        <f t="shared" si="2"/>
        <v>15790</v>
      </c>
      <c r="J147" s="13"/>
    </row>
    <row r="148" spans="1:12" ht="16" x14ac:dyDescent="0.2">
      <c r="A148" s="3">
        <v>6130</v>
      </c>
      <c r="B148" s="3">
        <v>220</v>
      </c>
      <c r="C148" s="3" t="s">
        <v>170</v>
      </c>
      <c r="D148" s="3" t="s">
        <v>95</v>
      </c>
      <c r="E148" s="10" t="s">
        <v>91</v>
      </c>
      <c r="F148" s="3"/>
      <c r="G148" s="11">
        <v>0</v>
      </c>
      <c r="H148" s="12">
        <v>10298</v>
      </c>
      <c r="I148" s="12">
        <f t="shared" si="2"/>
        <v>10298</v>
      </c>
    </row>
    <row r="149" spans="1:12" ht="16" x14ac:dyDescent="0.2">
      <c r="A149" s="3">
        <v>6130</v>
      </c>
      <c r="B149" s="3">
        <v>230</v>
      </c>
      <c r="C149" s="3" t="s">
        <v>170</v>
      </c>
      <c r="D149" s="3" t="s">
        <v>95</v>
      </c>
      <c r="E149" s="10" t="s">
        <v>92</v>
      </c>
      <c r="F149" s="3"/>
      <c r="G149" s="11">
        <v>0</v>
      </c>
      <c r="H149" s="12">
        <v>27009</v>
      </c>
      <c r="I149" s="12">
        <f t="shared" si="2"/>
        <v>27009</v>
      </c>
      <c r="K149" s="13"/>
      <c r="L149" s="13"/>
    </row>
    <row r="150" spans="1:12" ht="16" x14ac:dyDescent="0.2">
      <c r="A150" s="3">
        <v>6130</v>
      </c>
      <c r="B150" s="3">
        <v>240</v>
      </c>
      <c r="C150" s="3" t="s">
        <v>170</v>
      </c>
      <c r="D150" s="3" t="s">
        <v>95</v>
      </c>
      <c r="E150" s="10" t="s">
        <v>93</v>
      </c>
      <c r="F150" s="3"/>
      <c r="G150" s="11">
        <v>0</v>
      </c>
      <c r="H150" s="12">
        <v>579</v>
      </c>
      <c r="I150" s="12">
        <f t="shared" si="2"/>
        <v>579</v>
      </c>
    </row>
    <row r="151" spans="1:12" ht="32" x14ac:dyDescent="0.2">
      <c r="A151" s="3">
        <v>7900</v>
      </c>
      <c r="B151" s="17">
        <v>160</v>
      </c>
      <c r="C151" s="3" t="s">
        <v>170</v>
      </c>
      <c r="D151" s="3" t="s">
        <v>96</v>
      </c>
      <c r="E151" s="10" t="s">
        <v>97</v>
      </c>
      <c r="F151" s="3"/>
      <c r="G151" s="19">
        <v>400000</v>
      </c>
      <c r="H151" s="12">
        <v>400000</v>
      </c>
      <c r="I151" s="12">
        <f t="shared" si="2"/>
        <v>800000</v>
      </c>
      <c r="K151" s="13"/>
    </row>
    <row r="152" spans="1:12" ht="32" x14ac:dyDescent="0.2">
      <c r="A152" s="3">
        <v>7900</v>
      </c>
      <c r="B152" s="17">
        <v>160</v>
      </c>
      <c r="C152" s="3" t="s">
        <v>170</v>
      </c>
      <c r="D152" s="3" t="s">
        <v>96</v>
      </c>
      <c r="E152" s="10" t="s">
        <v>98</v>
      </c>
      <c r="F152" s="3"/>
      <c r="G152" s="19">
        <v>100000</v>
      </c>
      <c r="H152" s="12">
        <v>100000</v>
      </c>
      <c r="I152" s="12">
        <f t="shared" si="2"/>
        <v>200000</v>
      </c>
      <c r="K152" s="13"/>
    </row>
    <row r="153" spans="1:12" ht="16" x14ac:dyDescent="0.2">
      <c r="A153" s="3">
        <v>7900</v>
      </c>
      <c r="B153" s="3">
        <v>210</v>
      </c>
      <c r="C153" s="3" t="s">
        <v>170</v>
      </c>
      <c r="D153" s="3" t="s">
        <v>96</v>
      </c>
      <c r="E153" s="10" t="s">
        <v>99</v>
      </c>
      <c r="F153" s="3"/>
      <c r="G153" s="12">
        <v>46920</v>
      </c>
      <c r="H153" s="12">
        <v>46920</v>
      </c>
      <c r="I153" s="12">
        <f t="shared" si="2"/>
        <v>93840</v>
      </c>
      <c r="K153" s="13"/>
    </row>
    <row r="154" spans="1:12" ht="16" x14ac:dyDescent="0.2">
      <c r="A154" s="3">
        <v>7900</v>
      </c>
      <c r="B154" s="17">
        <v>220</v>
      </c>
      <c r="C154" s="3" t="s">
        <v>170</v>
      </c>
      <c r="D154" s="3" t="s">
        <v>96</v>
      </c>
      <c r="E154" s="10" t="s">
        <v>100</v>
      </c>
      <c r="F154" s="3"/>
      <c r="G154" s="11">
        <v>30600</v>
      </c>
      <c r="H154" s="12">
        <v>30600</v>
      </c>
      <c r="I154" s="12">
        <f t="shared" si="2"/>
        <v>61200</v>
      </c>
    </row>
    <row r="155" spans="1:12" ht="32" x14ac:dyDescent="0.2">
      <c r="A155" s="3">
        <v>7900</v>
      </c>
      <c r="B155" s="3">
        <v>220</v>
      </c>
      <c r="C155" s="3" t="s">
        <v>170</v>
      </c>
      <c r="D155" s="3" t="s">
        <v>96</v>
      </c>
      <c r="E155" s="10" t="s">
        <v>102</v>
      </c>
      <c r="F155" s="3"/>
      <c r="G155" s="19">
        <v>7650</v>
      </c>
      <c r="H155" s="12">
        <v>7650</v>
      </c>
      <c r="I155" s="12">
        <f t="shared" si="2"/>
        <v>15300</v>
      </c>
      <c r="K155" s="13"/>
    </row>
    <row r="156" spans="1:12" ht="16" x14ac:dyDescent="0.2">
      <c r="A156" s="3">
        <v>7900</v>
      </c>
      <c r="B156" s="17">
        <v>240</v>
      </c>
      <c r="C156" s="3" t="s">
        <v>170</v>
      </c>
      <c r="D156" s="3" t="s">
        <v>96</v>
      </c>
      <c r="E156" s="10" t="s">
        <v>101</v>
      </c>
      <c r="F156" s="3"/>
      <c r="G156" s="11">
        <v>1720</v>
      </c>
      <c r="H156" s="12">
        <v>1720</v>
      </c>
      <c r="I156" s="12">
        <f t="shared" si="2"/>
        <v>3440</v>
      </c>
    </row>
    <row r="157" spans="1:12" ht="16" x14ac:dyDescent="0.2">
      <c r="A157" s="3">
        <v>7900</v>
      </c>
      <c r="B157" s="3">
        <v>240</v>
      </c>
      <c r="C157" s="3" t="s">
        <v>170</v>
      </c>
      <c r="D157" s="3" t="s">
        <v>96</v>
      </c>
      <c r="E157" s="10" t="s">
        <v>103</v>
      </c>
      <c r="F157" s="3"/>
      <c r="G157" s="19">
        <v>430</v>
      </c>
      <c r="H157" s="12">
        <v>430</v>
      </c>
      <c r="I157" s="12">
        <f t="shared" si="2"/>
        <v>860</v>
      </c>
    </row>
    <row r="158" spans="1:12" ht="16" x14ac:dyDescent="0.2">
      <c r="A158" s="3">
        <v>7900</v>
      </c>
      <c r="B158" s="3">
        <v>310</v>
      </c>
      <c r="C158" s="3" t="s">
        <v>170</v>
      </c>
      <c r="D158" s="3" t="s">
        <v>96</v>
      </c>
      <c r="E158" s="10" t="s">
        <v>104</v>
      </c>
      <c r="F158" s="3"/>
      <c r="G158" s="11">
        <v>287680</v>
      </c>
      <c r="H158" s="12">
        <v>287680</v>
      </c>
      <c r="I158" s="12">
        <f t="shared" si="2"/>
        <v>575360</v>
      </c>
    </row>
    <row r="159" spans="1:12" ht="16" x14ac:dyDescent="0.2">
      <c r="A159" s="17">
        <v>5100</v>
      </c>
      <c r="B159" s="17">
        <v>394</v>
      </c>
      <c r="C159" s="17" t="s">
        <v>170</v>
      </c>
      <c r="D159" s="17" t="s">
        <v>196</v>
      </c>
      <c r="E159" s="24" t="s">
        <v>173</v>
      </c>
      <c r="F159" s="17"/>
      <c r="G159" s="22">
        <v>4913.6899999999996</v>
      </c>
      <c r="H159" s="23">
        <v>0</v>
      </c>
      <c r="I159" s="12">
        <f t="shared" si="2"/>
        <v>4913.6899999999996</v>
      </c>
    </row>
    <row r="160" spans="1:12" ht="16" x14ac:dyDescent="0.2">
      <c r="A160" s="27">
        <v>6130</v>
      </c>
      <c r="B160" s="17">
        <v>394</v>
      </c>
      <c r="C160" s="17" t="s">
        <v>170</v>
      </c>
      <c r="D160" s="17" t="s">
        <v>196</v>
      </c>
      <c r="E160" s="24" t="s">
        <v>173</v>
      </c>
      <c r="F160" s="17"/>
      <c r="G160" s="22">
        <v>127000</v>
      </c>
      <c r="H160" s="23">
        <v>45000</v>
      </c>
      <c r="I160" s="12">
        <f t="shared" si="2"/>
        <v>172000</v>
      </c>
    </row>
    <row r="161" spans="1:12" ht="16" x14ac:dyDescent="0.2">
      <c r="A161" s="27">
        <v>7300</v>
      </c>
      <c r="B161" s="17">
        <v>394</v>
      </c>
      <c r="C161" s="17" t="s">
        <v>170</v>
      </c>
      <c r="D161" s="17" t="s">
        <v>196</v>
      </c>
      <c r="E161" s="24" t="s">
        <v>173</v>
      </c>
      <c r="F161" s="17"/>
      <c r="G161" s="22">
        <v>0</v>
      </c>
      <c r="H161" s="23">
        <v>25646.51</v>
      </c>
      <c r="I161" s="12">
        <f t="shared" si="2"/>
        <v>25646.51</v>
      </c>
    </row>
    <row r="162" spans="1:12" ht="16" x14ac:dyDescent="0.2">
      <c r="A162" s="27">
        <v>7900</v>
      </c>
      <c r="B162" s="17">
        <v>394</v>
      </c>
      <c r="C162" s="17" t="s">
        <v>170</v>
      </c>
      <c r="D162" s="17" t="s">
        <v>196</v>
      </c>
      <c r="E162" s="24" t="s">
        <v>173</v>
      </c>
      <c r="F162" s="17"/>
      <c r="G162" s="28">
        <v>139389.10999999999</v>
      </c>
      <c r="H162" s="29">
        <v>48417.279999999999</v>
      </c>
      <c r="I162" s="12">
        <f t="shared" si="2"/>
        <v>187806.38999999998</v>
      </c>
    </row>
    <row r="163" spans="1:12" ht="16" x14ac:dyDescent="0.2">
      <c r="A163" s="27">
        <v>8100</v>
      </c>
      <c r="B163" s="17">
        <v>394</v>
      </c>
      <c r="C163" s="17" t="s">
        <v>170</v>
      </c>
      <c r="D163" s="17" t="s">
        <v>196</v>
      </c>
      <c r="E163" s="24" t="s">
        <v>173</v>
      </c>
      <c r="F163" s="17"/>
      <c r="G163" s="22">
        <v>3590.73</v>
      </c>
      <c r="H163" s="23">
        <v>0</v>
      </c>
      <c r="I163" s="12">
        <f t="shared" si="2"/>
        <v>3590.73</v>
      </c>
    </row>
    <row r="164" spans="1:12" ht="16" x14ac:dyDescent="0.2">
      <c r="A164" s="21">
        <v>5100</v>
      </c>
      <c r="B164" s="21">
        <v>120</v>
      </c>
      <c r="C164" s="21" t="s">
        <v>171</v>
      </c>
      <c r="D164" s="21" t="s">
        <v>158</v>
      </c>
      <c r="E164" s="20" t="s">
        <v>159</v>
      </c>
      <c r="F164" s="36">
        <f>G164/50000</f>
        <v>24.25</v>
      </c>
      <c r="G164" s="37">
        <v>1212500</v>
      </c>
      <c r="H164" s="12"/>
      <c r="I164" s="12">
        <f t="shared" si="2"/>
        <v>1212500</v>
      </c>
      <c r="K164" s="13"/>
      <c r="L164" s="13"/>
    </row>
    <row r="165" spans="1:12" ht="16" x14ac:dyDescent="0.2">
      <c r="A165" s="21">
        <v>5100</v>
      </c>
      <c r="B165" s="21">
        <v>210</v>
      </c>
      <c r="C165" s="21" t="s">
        <v>171</v>
      </c>
      <c r="D165" s="21" t="s">
        <v>158</v>
      </c>
      <c r="E165" s="20" t="s">
        <v>160</v>
      </c>
      <c r="F165" s="21"/>
      <c r="G165" s="37">
        <f>G164*0.1173</f>
        <v>142226.25</v>
      </c>
      <c r="H165" s="12"/>
      <c r="I165" s="12">
        <f t="shared" si="2"/>
        <v>142226.25</v>
      </c>
      <c r="J165" s="13"/>
      <c r="K165" s="13"/>
      <c r="L165" s="13"/>
    </row>
    <row r="166" spans="1:12" ht="16" x14ac:dyDescent="0.2">
      <c r="A166" s="21">
        <v>5100</v>
      </c>
      <c r="B166" s="21">
        <v>220</v>
      </c>
      <c r="C166" s="21" t="s">
        <v>171</v>
      </c>
      <c r="D166" s="21" t="s">
        <v>158</v>
      </c>
      <c r="E166" s="20" t="s">
        <v>161</v>
      </c>
      <c r="F166" s="21"/>
      <c r="G166" s="37">
        <f>G164*0.0765</f>
        <v>92756.25</v>
      </c>
      <c r="H166" s="12"/>
      <c r="I166" s="12">
        <f t="shared" si="2"/>
        <v>92756.25</v>
      </c>
      <c r="K166" s="13"/>
      <c r="L166" s="13"/>
    </row>
    <row r="167" spans="1:12" ht="16" x14ac:dyDescent="0.2">
      <c r="A167" s="21">
        <v>5100</v>
      </c>
      <c r="B167" s="21">
        <v>230</v>
      </c>
      <c r="C167" s="21" t="s">
        <v>171</v>
      </c>
      <c r="D167" s="21" t="s">
        <v>158</v>
      </c>
      <c r="E167" s="20" t="s">
        <v>162</v>
      </c>
      <c r="F167" s="21"/>
      <c r="G167" s="37">
        <f>SUM(F164*9003+5729-1.06)</f>
        <v>224050.69</v>
      </c>
      <c r="H167" s="12"/>
      <c r="I167" s="12">
        <f t="shared" si="2"/>
        <v>224050.69</v>
      </c>
      <c r="J167" s="13"/>
      <c r="K167" s="13"/>
    </row>
    <row r="168" spans="1:12" ht="16" x14ac:dyDescent="0.2">
      <c r="A168" s="21">
        <v>5100</v>
      </c>
      <c r="B168" s="21">
        <v>240</v>
      </c>
      <c r="C168" s="21" t="s">
        <v>171</v>
      </c>
      <c r="D168" s="21" t="s">
        <v>158</v>
      </c>
      <c r="E168" s="20" t="s">
        <v>163</v>
      </c>
      <c r="F168" s="21"/>
      <c r="G168" s="37">
        <f>G164*0.0043</f>
        <v>5213.75</v>
      </c>
      <c r="H168" s="12"/>
      <c r="I168" s="12">
        <f t="shared" si="2"/>
        <v>5213.75</v>
      </c>
      <c r="K168" s="13"/>
    </row>
    <row r="169" spans="1:12" ht="32" x14ac:dyDescent="0.2">
      <c r="A169" s="3">
        <v>5100</v>
      </c>
      <c r="B169" s="3">
        <v>520</v>
      </c>
      <c r="C169" s="21" t="s">
        <v>171</v>
      </c>
      <c r="D169" s="3" t="s">
        <v>136</v>
      </c>
      <c r="E169" s="10" t="s">
        <v>137</v>
      </c>
      <c r="F169" s="21"/>
      <c r="G169" s="37">
        <v>14800000</v>
      </c>
      <c r="H169" s="12">
        <v>0</v>
      </c>
      <c r="I169" s="12">
        <f t="shared" si="2"/>
        <v>14800000</v>
      </c>
      <c r="K169" s="13"/>
    </row>
    <row r="170" spans="1:12" ht="32" x14ac:dyDescent="0.2">
      <c r="A170" s="17">
        <v>5100</v>
      </c>
      <c r="B170" s="3">
        <v>100</v>
      </c>
      <c r="C170" s="21" t="s">
        <v>171</v>
      </c>
      <c r="D170" s="3" t="s">
        <v>157</v>
      </c>
      <c r="E170" s="34" t="s">
        <v>209</v>
      </c>
      <c r="F170" s="3"/>
      <c r="G170" s="11">
        <f>SUM(K170*L170)-31+0.61</f>
        <v>1228163.1100000001</v>
      </c>
      <c r="H170" s="12">
        <v>596500</v>
      </c>
      <c r="I170" s="12">
        <f t="shared" si="2"/>
        <v>1824663.11</v>
      </c>
      <c r="K170" s="13">
        <f>H170/1000</f>
        <v>596.5</v>
      </c>
      <c r="L170">
        <v>2059</v>
      </c>
    </row>
    <row r="171" spans="1:12" ht="16" x14ac:dyDescent="0.2">
      <c r="A171" s="17">
        <v>5100</v>
      </c>
      <c r="B171" s="3">
        <v>220</v>
      </c>
      <c r="C171" s="21" t="s">
        <v>171</v>
      </c>
      <c r="D171" s="3" t="s">
        <v>157</v>
      </c>
      <c r="E171" s="10" t="s">
        <v>208</v>
      </c>
      <c r="F171" s="3"/>
      <c r="G171" s="11">
        <f>G170*0.0765</f>
        <v>93954.47791500001</v>
      </c>
      <c r="H171" s="12">
        <v>45694.8</v>
      </c>
      <c r="I171" s="12">
        <f t="shared" si="2"/>
        <v>139649.27791500001</v>
      </c>
      <c r="K171" s="13"/>
    </row>
    <row r="172" spans="1:12" ht="16" x14ac:dyDescent="0.2">
      <c r="A172" s="17">
        <v>5100</v>
      </c>
      <c r="B172" s="3">
        <v>240</v>
      </c>
      <c r="C172" s="21" t="s">
        <v>171</v>
      </c>
      <c r="D172" s="3" t="s">
        <v>157</v>
      </c>
      <c r="E172" s="10" t="s">
        <v>124</v>
      </c>
      <c r="F172" s="3"/>
      <c r="G172" s="11">
        <f>SUM(G170*0.0043)</f>
        <v>5281.1013730000004</v>
      </c>
      <c r="H172" s="12">
        <v>2564.9499999999998</v>
      </c>
      <c r="I172" s="12">
        <f t="shared" si="2"/>
        <v>7846.0513730000002</v>
      </c>
    </row>
    <row r="173" spans="1:12" ht="32" x14ac:dyDescent="0.2">
      <c r="A173" s="17">
        <v>5200</v>
      </c>
      <c r="B173" s="3">
        <v>100</v>
      </c>
      <c r="C173" s="21" t="s">
        <v>171</v>
      </c>
      <c r="D173" s="3" t="s">
        <v>157</v>
      </c>
      <c r="E173" s="34" t="s">
        <v>209</v>
      </c>
      <c r="F173" s="3"/>
      <c r="G173" s="11">
        <f t="shared" ref="G173:G236" si="3">K173*L173</f>
        <v>645084.70000000007</v>
      </c>
      <c r="H173" s="12">
        <v>313300</v>
      </c>
      <c r="I173" s="12">
        <f t="shared" si="2"/>
        <v>958384.70000000007</v>
      </c>
      <c r="K173" s="13">
        <f>H173/1000</f>
        <v>313.3</v>
      </c>
      <c r="L173">
        <v>2059</v>
      </c>
    </row>
    <row r="174" spans="1:12" ht="16" x14ac:dyDescent="0.2">
      <c r="A174" s="17">
        <v>5200</v>
      </c>
      <c r="B174" s="3">
        <v>220</v>
      </c>
      <c r="C174" s="21" t="s">
        <v>171</v>
      </c>
      <c r="D174" s="3" t="s">
        <v>157</v>
      </c>
      <c r="E174" s="10" t="s">
        <v>208</v>
      </c>
      <c r="F174" s="3"/>
      <c r="G174" s="11">
        <f>G173*0.0765</f>
        <v>49348.979550000004</v>
      </c>
      <c r="H174" s="12">
        <v>23967.45</v>
      </c>
      <c r="I174" s="12">
        <f t="shared" si="2"/>
        <v>73316.429550000001</v>
      </c>
    </row>
    <row r="175" spans="1:12" ht="16" x14ac:dyDescent="0.2">
      <c r="A175" s="17">
        <v>5200</v>
      </c>
      <c r="B175" s="3">
        <v>240</v>
      </c>
      <c r="C175" s="21" t="s">
        <v>171</v>
      </c>
      <c r="D175" s="3" t="s">
        <v>157</v>
      </c>
      <c r="E175" s="10" t="s">
        <v>124</v>
      </c>
      <c r="F175" s="3"/>
      <c r="G175" s="11">
        <f>SUM(G173*0.0043)</f>
        <v>2773.8642100000002</v>
      </c>
      <c r="H175" s="12">
        <v>1347.19</v>
      </c>
      <c r="I175" s="12">
        <f t="shared" si="2"/>
        <v>4121.0542100000002</v>
      </c>
      <c r="K175" s="16"/>
    </row>
    <row r="176" spans="1:12" ht="32" x14ac:dyDescent="0.2">
      <c r="A176" s="17">
        <v>5300</v>
      </c>
      <c r="B176" s="3">
        <v>100</v>
      </c>
      <c r="C176" s="21" t="s">
        <v>171</v>
      </c>
      <c r="D176" s="3" t="s">
        <v>157</v>
      </c>
      <c r="E176" s="34" t="s">
        <v>209</v>
      </c>
      <c r="F176" s="3"/>
      <c r="G176" s="11">
        <f t="shared" si="3"/>
        <v>4797.47</v>
      </c>
      <c r="H176" s="12">
        <v>2330</v>
      </c>
      <c r="I176" s="12">
        <f t="shared" si="2"/>
        <v>7127.47</v>
      </c>
      <c r="K176" s="13">
        <f>H176/1000</f>
        <v>2.33</v>
      </c>
      <c r="L176">
        <v>2059</v>
      </c>
    </row>
    <row r="177" spans="1:12" ht="16" x14ac:dyDescent="0.2">
      <c r="A177" s="17">
        <v>5300</v>
      </c>
      <c r="B177" s="3">
        <v>220</v>
      </c>
      <c r="C177" s="21" t="s">
        <v>171</v>
      </c>
      <c r="D177" s="3" t="s">
        <v>157</v>
      </c>
      <c r="E177" s="10" t="s">
        <v>208</v>
      </c>
      <c r="F177" s="3"/>
      <c r="G177" s="11">
        <f>G176*0.0765</f>
        <v>367.00645500000002</v>
      </c>
      <c r="H177" s="12">
        <v>178.25</v>
      </c>
      <c r="I177" s="12">
        <f t="shared" si="2"/>
        <v>545.25645499999996</v>
      </c>
      <c r="K177" s="16"/>
    </row>
    <row r="178" spans="1:12" ht="16" x14ac:dyDescent="0.2">
      <c r="A178" s="17">
        <v>5300</v>
      </c>
      <c r="B178" s="3">
        <v>240</v>
      </c>
      <c r="C178" s="21" t="s">
        <v>171</v>
      </c>
      <c r="D178" s="3" t="s">
        <v>157</v>
      </c>
      <c r="E178" s="10" t="s">
        <v>124</v>
      </c>
      <c r="F178" s="3"/>
      <c r="G178" s="11">
        <f>SUM(G176*0.0043)</f>
        <v>20.629121000000001</v>
      </c>
      <c r="H178" s="12">
        <v>10.02</v>
      </c>
      <c r="I178" s="12">
        <f t="shared" si="2"/>
        <v>30.649121000000001</v>
      </c>
    </row>
    <row r="179" spans="1:12" ht="32" x14ac:dyDescent="0.2">
      <c r="A179" s="17">
        <v>5500</v>
      </c>
      <c r="B179" s="3">
        <v>100</v>
      </c>
      <c r="C179" s="21" t="s">
        <v>171</v>
      </c>
      <c r="D179" s="3" t="s">
        <v>157</v>
      </c>
      <c r="E179" s="34" t="s">
        <v>209</v>
      </c>
      <c r="F179" s="3"/>
      <c r="G179" s="11">
        <f t="shared" si="3"/>
        <v>4118</v>
      </c>
      <c r="H179" s="12">
        <v>2000</v>
      </c>
      <c r="I179" s="12">
        <f t="shared" si="2"/>
        <v>6118</v>
      </c>
      <c r="K179" s="13">
        <f>H179/1000</f>
        <v>2</v>
      </c>
      <c r="L179">
        <v>2059</v>
      </c>
    </row>
    <row r="180" spans="1:12" ht="16" x14ac:dyDescent="0.2">
      <c r="A180" s="17">
        <v>5500</v>
      </c>
      <c r="B180" s="3">
        <v>220</v>
      </c>
      <c r="C180" s="21" t="s">
        <v>171</v>
      </c>
      <c r="D180" s="3" t="s">
        <v>157</v>
      </c>
      <c r="E180" s="10" t="s">
        <v>208</v>
      </c>
      <c r="F180" s="3"/>
      <c r="G180" s="11">
        <f>G179*0.0765</f>
        <v>315.02699999999999</v>
      </c>
      <c r="H180" s="12">
        <v>153</v>
      </c>
      <c r="I180" s="12">
        <f t="shared" si="2"/>
        <v>468.02699999999999</v>
      </c>
      <c r="K180" s="13"/>
    </row>
    <row r="181" spans="1:12" ht="16" x14ac:dyDescent="0.2">
      <c r="A181" s="17">
        <v>5500</v>
      </c>
      <c r="B181" s="3">
        <v>240</v>
      </c>
      <c r="C181" s="21" t="s">
        <v>171</v>
      </c>
      <c r="D181" s="3" t="s">
        <v>157</v>
      </c>
      <c r="E181" s="10" t="s">
        <v>124</v>
      </c>
      <c r="F181" s="3"/>
      <c r="G181" s="11">
        <f>SUM(G179*0.0043)</f>
        <v>17.7074</v>
      </c>
      <c r="H181" s="12">
        <v>8.6</v>
      </c>
      <c r="I181" s="12">
        <f t="shared" si="2"/>
        <v>26.307400000000001</v>
      </c>
    </row>
    <row r="182" spans="1:12" ht="32" x14ac:dyDescent="0.2">
      <c r="A182" s="17">
        <v>5900</v>
      </c>
      <c r="B182" s="3">
        <v>100</v>
      </c>
      <c r="C182" s="21" t="s">
        <v>171</v>
      </c>
      <c r="D182" s="3" t="s">
        <v>157</v>
      </c>
      <c r="E182" s="34" t="s">
        <v>209</v>
      </c>
      <c r="F182" s="3"/>
      <c r="G182" s="11">
        <f t="shared" si="3"/>
        <v>3912.1</v>
      </c>
      <c r="H182" s="12">
        <v>1900</v>
      </c>
      <c r="I182" s="12">
        <f t="shared" si="2"/>
        <v>5812.1</v>
      </c>
      <c r="K182" s="13">
        <f>H182/1000</f>
        <v>1.9</v>
      </c>
      <c r="L182">
        <v>2059</v>
      </c>
    </row>
    <row r="183" spans="1:12" ht="16" x14ac:dyDescent="0.2">
      <c r="A183" s="17">
        <v>5900</v>
      </c>
      <c r="B183" s="3">
        <v>220</v>
      </c>
      <c r="C183" s="21" t="s">
        <v>171</v>
      </c>
      <c r="D183" s="3" t="s">
        <v>157</v>
      </c>
      <c r="E183" s="10" t="s">
        <v>208</v>
      </c>
      <c r="F183" s="3"/>
      <c r="G183" s="11">
        <f>G182*0.0765</f>
        <v>299.27564999999998</v>
      </c>
      <c r="H183" s="12">
        <v>145.35</v>
      </c>
      <c r="I183" s="12">
        <f t="shared" si="2"/>
        <v>444.62564999999995</v>
      </c>
      <c r="K183" s="13"/>
    </row>
    <row r="184" spans="1:12" ht="16" x14ac:dyDescent="0.2">
      <c r="A184" s="17">
        <v>5900</v>
      </c>
      <c r="B184" s="3">
        <v>240</v>
      </c>
      <c r="C184" s="21" t="s">
        <v>171</v>
      </c>
      <c r="D184" s="3" t="s">
        <v>157</v>
      </c>
      <c r="E184" s="10" t="s">
        <v>124</v>
      </c>
      <c r="F184" s="3"/>
      <c r="G184" s="11">
        <f>SUM(G182*0.0043)</f>
        <v>16.822029999999998</v>
      </c>
      <c r="H184" s="12">
        <v>8.17</v>
      </c>
      <c r="I184" s="12">
        <f t="shared" si="2"/>
        <v>24.99203</v>
      </c>
    </row>
    <row r="185" spans="1:12" ht="32" x14ac:dyDescent="0.2">
      <c r="A185" s="17">
        <v>6100</v>
      </c>
      <c r="B185" s="3">
        <v>100</v>
      </c>
      <c r="C185" s="21" t="s">
        <v>171</v>
      </c>
      <c r="D185" s="3" t="s">
        <v>157</v>
      </c>
      <c r="E185" s="34" t="s">
        <v>209</v>
      </c>
      <c r="F185" s="3"/>
      <c r="G185" s="11">
        <f t="shared" si="3"/>
        <v>48901.25</v>
      </c>
      <c r="H185" s="12">
        <v>23750</v>
      </c>
      <c r="I185" s="12">
        <f t="shared" si="2"/>
        <v>72651.25</v>
      </c>
      <c r="K185" s="13">
        <f>H185/1000</f>
        <v>23.75</v>
      </c>
      <c r="L185">
        <v>2059</v>
      </c>
    </row>
    <row r="186" spans="1:12" ht="16" x14ac:dyDescent="0.2">
      <c r="A186" s="17">
        <v>6100</v>
      </c>
      <c r="B186" s="3">
        <v>220</v>
      </c>
      <c r="C186" s="21" t="s">
        <v>171</v>
      </c>
      <c r="D186" s="3" t="s">
        <v>157</v>
      </c>
      <c r="E186" s="10" t="s">
        <v>208</v>
      </c>
      <c r="F186" s="3"/>
      <c r="G186" s="11">
        <f>G185*0.0765</f>
        <v>3740.9456249999998</v>
      </c>
      <c r="H186" s="12">
        <v>1816.88</v>
      </c>
      <c r="I186" s="12">
        <f t="shared" si="2"/>
        <v>5557.8256249999995</v>
      </c>
    </row>
    <row r="187" spans="1:12" ht="16" x14ac:dyDescent="0.2">
      <c r="A187" s="17">
        <v>6100</v>
      </c>
      <c r="B187" s="3">
        <v>240</v>
      </c>
      <c r="C187" s="21" t="s">
        <v>171</v>
      </c>
      <c r="D187" s="3" t="s">
        <v>157</v>
      </c>
      <c r="E187" s="10" t="s">
        <v>124</v>
      </c>
      <c r="F187" s="3"/>
      <c r="G187" s="11">
        <f>SUM(G185*0.0043)</f>
        <v>210.275375</v>
      </c>
      <c r="H187" s="12">
        <v>102.13</v>
      </c>
      <c r="I187" s="12">
        <f t="shared" si="2"/>
        <v>312.40537499999999</v>
      </c>
    </row>
    <row r="188" spans="1:12" ht="32" x14ac:dyDescent="0.2">
      <c r="A188" s="17">
        <v>6110</v>
      </c>
      <c r="B188" s="3">
        <v>100</v>
      </c>
      <c r="C188" s="21" t="s">
        <v>171</v>
      </c>
      <c r="D188" s="3" t="s">
        <v>157</v>
      </c>
      <c r="E188" s="34" t="s">
        <v>209</v>
      </c>
      <c r="F188" s="3"/>
      <c r="G188" s="11">
        <f t="shared" si="3"/>
        <v>63829</v>
      </c>
      <c r="H188" s="12">
        <v>31000</v>
      </c>
      <c r="I188" s="12">
        <f t="shared" si="2"/>
        <v>94829</v>
      </c>
      <c r="K188" s="13">
        <f>H188/1000</f>
        <v>31</v>
      </c>
      <c r="L188">
        <v>2059</v>
      </c>
    </row>
    <row r="189" spans="1:12" ht="16" x14ac:dyDescent="0.2">
      <c r="A189" s="17">
        <v>6110</v>
      </c>
      <c r="B189" s="3">
        <v>220</v>
      </c>
      <c r="C189" s="21" t="s">
        <v>171</v>
      </c>
      <c r="D189" s="3" t="s">
        <v>157</v>
      </c>
      <c r="E189" s="10" t="s">
        <v>208</v>
      </c>
      <c r="F189" s="3"/>
      <c r="G189" s="11">
        <f>G188*0.0765</f>
        <v>4882.9184999999998</v>
      </c>
      <c r="H189" s="12">
        <v>2371.5</v>
      </c>
      <c r="I189" s="12">
        <f t="shared" si="2"/>
        <v>7254.4184999999998</v>
      </c>
    </row>
    <row r="190" spans="1:12" ht="16" x14ac:dyDescent="0.2">
      <c r="A190" s="17">
        <v>6110</v>
      </c>
      <c r="B190" s="3">
        <v>240</v>
      </c>
      <c r="C190" s="21" t="s">
        <v>171</v>
      </c>
      <c r="D190" s="3" t="s">
        <v>157</v>
      </c>
      <c r="E190" s="10" t="s">
        <v>124</v>
      </c>
      <c r="F190" s="3"/>
      <c r="G190" s="11">
        <f>SUM(G188*0.0043)</f>
        <v>274.46469999999999</v>
      </c>
      <c r="H190" s="12">
        <v>133.30000000000001</v>
      </c>
      <c r="I190" s="12">
        <f t="shared" si="2"/>
        <v>407.7647</v>
      </c>
    </row>
    <row r="191" spans="1:12" ht="32" x14ac:dyDescent="0.2">
      <c r="A191" s="17">
        <v>6120</v>
      </c>
      <c r="B191" s="3">
        <v>100</v>
      </c>
      <c r="C191" s="21" t="s">
        <v>171</v>
      </c>
      <c r="D191" s="3" t="s">
        <v>157</v>
      </c>
      <c r="E191" s="34" t="s">
        <v>209</v>
      </c>
      <c r="F191" s="3"/>
      <c r="G191" s="11">
        <f t="shared" si="3"/>
        <v>252227.5</v>
      </c>
      <c r="H191" s="12">
        <v>122500</v>
      </c>
      <c r="I191" s="12">
        <f t="shared" si="2"/>
        <v>374727.5</v>
      </c>
      <c r="K191" s="13">
        <f>H191/1000</f>
        <v>122.5</v>
      </c>
      <c r="L191">
        <v>2059</v>
      </c>
    </row>
    <row r="192" spans="1:12" ht="16" x14ac:dyDescent="0.2">
      <c r="A192" s="17">
        <v>6120</v>
      </c>
      <c r="B192" s="3">
        <v>220</v>
      </c>
      <c r="C192" s="21" t="s">
        <v>171</v>
      </c>
      <c r="D192" s="3" t="s">
        <v>157</v>
      </c>
      <c r="E192" s="10" t="s">
        <v>208</v>
      </c>
      <c r="F192" s="3"/>
      <c r="G192" s="11">
        <f>G191*0.0765</f>
        <v>19295.403750000001</v>
      </c>
      <c r="H192" s="12">
        <v>9371.25</v>
      </c>
      <c r="I192" s="12">
        <f t="shared" si="2"/>
        <v>28666.653750000001</v>
      </c>
    </row>
    <row r="193" spans="1:12" ht="16" x14ac:dyDescent="0.2">
      <c r="A193" s="17">
        <v>6120</v>
      </c>
      <c r="B193" s="3">
        <v>240</v>
      </c>
      <c r="C193" s="21" t="s">
        <v>171</v>
      </c>
      <c r="D193" s="3" t="s">
        <v>157</v>
      </c>
      <c r="E193" s="10" t="s">
        <v>124</v>
      </c>
      <c r="F193" s="3"/>
      <c r="G193" s="11">
        <f>SUM(G191*0.0043)</f>
        <v>1084.57825</v>
      </c>
      <c r="H193" s="12">
        <v>526.75</v>
      </c>
      <c r="I193" s="12">
        <f t="shared" si="2"/>
        <v>1611.32825</v>
      </c>
    </row>
    <row r="194" spans="1:12" ht="32" x14ac:dyDescent="0.2">
      <c r="A194" s="17">
        <v>6130</v>
      </c>
      <c r="B194" s="3">
        <v>100</v>
      </c>
      <c r="C194" s="21" t="s">
        <v>171</v>
      </c>
      <c r="D194" s="3" t="s">
        <v>157</v>
      </c>
      <c r="E194" s="34" t="s">
        <v>209</v>
      </c>
      <c r="F194" s="3"/>
      <c r="G194" s="11">
        <f t="shared" si="3"/>
        <v>182571.53</v>
      </c>
      <c r="H194" s="12">
        <v>88670</v>
      </c>
      <c r="I194" s="12">
        <f t="shared" si="2"/>
        <v>271241.53000000003</v>
      </c>
      <c r="K194" s="13">
        <f>H194/1000</f>
        <v>88.67</v>
      </c>
      <c r="L194">
        <v>2059</v>
      </c>
    </row>
    <row r="195" spans="1:12" ht="16" x14ac:dyDescent="0.2">
      <c r="A195" s="17">
        <v>6130</v>
      </c>
      <c r="B195" s="3">
        <v>220</v>
      </c>
      <c r="C195" s="21" t="s">
        <v>171</v>
      </c>
      <c r="D195" s="3" t="s">
        <v>157</v>
      </c>
      <c r="E195" s="10" t="s">
        <v>208</v>
      </c>
      <c r="F195" s="3"/>
      <c r="G195" s="11">
        <f>G194*0.0765</f>
        <v>13966.722045</v>
      </c>
      <c r="H195" s="12">
        <v>6783.26</v>
      </c>
      <c r="I195" s="12">
        <f t="shared" si="2"/>
        <v>20749.982045000001</v>
      </c>
    </row>
    <row r="196" spans="1:12" ht="16" x14ac:dyDescent="0.2">
      <c r="A196" s="17">
        <v>6130</v>
      </c>
      <c r="B196" s="3">
        <v>240</v>
      </c>
      <c r="C196" s="21" t="s">
        <v>171</v>
      </c>
      <c r="D196" s="3" t="s">
        <v>157</v>
      </c>
      <c r="E196" s="10" t="s">
        <v>124</v>
      </c>
      <c r="F196" s="3"/>
      <c r="G196" s="11">
        <f>SUM(G194*0.0043)</f>
        <v>785.05757900000003</v>
      </c>
      <c r="H196" s="12">
        <v>381.28</v>
      </c>
      <c r="I196" s="12">
        <f t="shared" si="2"/>
        <v>1166.337579</v>
      </c>
    </row>
    <row r="197" spans="1:12" ht="32" x14ac:dyDescent="0.2">
      <c r="A197" s="17">
        <v>6140</v>
      </c>
      <c r="B197" s="3">
        <v>100</v>
      </c>
      <c r="C197" s="21" t="s">
        <v>171</v>
      </c>
      <c r="D197" s="3" t="s">
        <v>157</v>
      </c>
      <c r="E197" s="34" t="s">
        <v>209</v>
      </c>
      <c r="F197" s="3"/>
      <c r="G197" s="11">
        <f t="shared" si="3"/>
        <v>74535.8</v>
      </c>
      <c r="H197" s="12">
        <v>36200</v>
      </c>
      <c r="I197" s="12">
        <f t="shared" ref="I197:I244" si="4">H197+G197</f>
        <v>110735.8</v>
      </c>
      <c r="K197" s="13">
        <f>H197/1000</f>
        <v>36.200000000000003</v>
      </c>
      <c r="L197">
        <v>2059</v>
      </c>
    </row>
    <row r="198" spans="1:12" ht="16" x14ac:dyDescent="0.2">
      <c r="A198" s="17">
        <v>6140</v>
      </c>
      <c r="B198" s="3">
        <v>220</v>
      </c>
      <c r="C198" s="21" t="s">
        <v>171</v>
      </c>
      <c r="D198" s="3" t="s">
        <v>157</v>
      </c>
      <c r="E198" s="10" t="s">
        <v>208</v>
      </c>
      <c r="F198" s="3"/>
      <c r="G198" s="11">
        <f>G197*0.0765</f>
        <v>5701.9886999999999</v>
      </c>
      <c r="H198" s="12">
        <v>2769.2999999999997</v>
      </c>
      <c r="I198" s="12">
        <f t="shared" si="4"/>
        <v>8471.2886999999992</v>
      </c>
    </row>
    <row r="199" spans="1:12" ht="16" x14ac:dyDescent="0.2">
      <c r="A199" s="17">
        <v>6140</v>
      </c>
      <c r="B199" s="3">
        <v>240</v>
      </c>
      <c r="C199" s="21" t="s">
        <v>171</v>
      </c>
      <c r="D199" s="3" t="s">
        <v>157</v>
      </c>
      <c r="E199" s="10" t="s">
        <v>124</v>
      </c>
      <c r="F199" s="3"/>
      <c r="G199" s="11">
        <f>SUM(G197*0.0043)</f>
        <v>320.50394</v>
      </c>
      <c r="H199" s="12">
        <v>155.66</v>
      </c>
      <c r="I199" s="12">
        <f t="shared" si="4"/>
        <v>476.16394000000003</v>
      </c>
    </row>
    <row r="200" spans="1:12" ht="32" x14ac:dyDescent="0.2">
      <c r="A200" s="17">
        <v>6150</v>
      </c>
      <c r="B200" s="3">
        <v>100</v>
      </c>
      <c r="C200" s="21" t="s">
        <v>171</v>
      </c>
      <c r="D200" s="3" t="s">
        <v>157</v>
      </c>
      <c r="E200" s="34" t="s">
        <v>209</v>
      </c>
      <c r="F200" s="3"/>
      <c r="G200" s="11">
        <f t="shared" si="3"/>
        <v>8441.9</v>
      </c>
      <c r="H200" s="12">
        <v>4100</v>
      </c>
      <c r="I200" s="12">
        <f t="shared" si="4"/>
        <v>12541.9</v>
      </c>
      <c r="K200" s="13">
        <f>H200/1000</f>
        <v>4.0999999999999996</v>
      </c>
      <c r="L200">
        <v>2059</v>
      </c>
    </row>
    <row r="201" spans="1:12" ht="16" x14ac:dyDescent="0.2">
      <c r="A201" s="17">
        <v>6150</v>
      </c>
      <c r="B201" s="3">
        <v>220</v>
      </c>
      <c r="C201" s="21" t="s">
        <v>171</v>
      </c>
      <c r="D201" s="3" t="s">
        <v>157</v>
      </c>
      <c r="E201" s="10" t="s">
        <v>208</v>
      </c>
      <c r="F201" s="3"/>
      <c r="G201" s="11">
        <f>G200*0.0765</f>
        <v>645.80534999999998</v>
      </c>
      <c r="H201" s="12">
        <v>313.64999999999998</v>
      </c>
      <c r="I201" s="12">
        <f t="shared" si="4"/>
        <v>959.45534999999995</v>
      </c>
    </row>
    <row r="202" spans="1:12" ht="16" x14ac:dyDescent="0.2">
      <c r="A202" s="17">
        <v>6150</v>
      </c>
      <c r="B202" s="3">
        <v>240</v>
      </c>
      <c r="C202" s="21" t="s">
        <v>171</v>
      </c>
      <c r="D202" s="3" t="s">
        <v>157</v>
      </c>
      <c r="E202" s="10" t="s">
        <v>124</v>
      </c>
      <c r="F202" s="3"/>
      <c r="G202" s="11">
        <f>SUM(G200*0.0043)</f>
        <v>36.300170000000001</v>
      </c>
      <c r="H202" s="12">
        <v>17.63</v>
      </c>
      <c r="I202" s="12">
        <f t="shared" si="4"/>
        <v>53.930170000000004</v>
      </c>
    </row>
    <row r="203" spans="1:12" ht="32" x14ac:dyDescent="0.2">
      <c r="A203" s="17">
        <v>6190</v>
      </c>
      <c r="B203" s="3">
        <v>100</v>
      </c>
      <c r="C203" s="21" t="s">
        <v>171</v>
      </c>
      <c r="D203" s="3" t="s">
        <v>157</v>
      </c>
      <c r="E203" s="34" t="s">
        <v>209</v>
      </c>
      <c r="F203" s="3"/>
      <c r="G203" s="11">
        <f t="shared" si="3"/>
        <v>65888</v>
      </c>
      <c r="H203" s="12">
        <v>32000</v>
      </c>
      <c r="I203" s="12">
        <f t="shared" si="4"/>
        <v>97888</v>
      </c>
      <c r="K203" s="13">
        <f>H203/1000</f>
        <v>32</v>
      </c>
      <c r="L203">
        <v>2059</v>
      </c>
    </row>
    <row r="204" spans="1:12" ht="16" x14ac:dyDescent="0.2">
      <c r="A204" s="17">
        <v>6190</v>
      </c>
      <c r="B204" s="3">
        <v>220</v>
      </c>
      <c r="C204" s="21" t="s">
        <v>171</v>
      </c>
      <c r="D204" s="3" t="s">
        <v>157</v>
      </c>
      <c r="E204" s="10" t="s">
        <v>208</v>
      </c>
      <c r="F204" s="3"/>
      <c r="G204" s="11">
        <f>G203*0.0765</f>
        <v>5040.4319999999998</v>
      </c>
      <c r="H204" s="12">
        <v>2448</v>
      </c>
      <c r="I204" s="12">
        <f t="shared" si="4"/>
        <v>7488.4319999999998</v>
      </c>
    </row>
    <row r="205" spans="1:12" ht="16" x14ac:dyDescent="0.2">
      <c r="A205" s="17">
        <v>6190</v>
      </c>
      <c r="B205" s="3">
        <v>240</v>
      </c>
      <c r="C205" s="21" t="s">
        <v>171</v>
      </c>
      <c r="D205" s="3" t="s">
        <v>157</v>
      </c>
      <c r="E205" s="10" t="s">
        <v>124</v>
      </c>
      <c r="F205" s="3"/>
      <c r="G205" s="11">
        <f>SUM(G203*0.0043)</f>
        <v>283.3184</v>
      </c>
      <c r="H205" s="12">
        <v>137.6</v>
      </c>
      <c r="I205" s="12">
        <f t="shared" si="4"/>
        <v>420.91840000000002</v>
      </c>
    </row>
    <row r="206" spans="1:12" ht="32" x14ac:dyDescent="0.2">
      <c r="A206" s="17">
        <v>6200</v>
      </c>
      <c r="B206" s="3">
        <v>100</v>
      </c>
      <c r="C206" s="21" t="s">
        <v>171</v>
      </c>
      <c r="D206" s="3" t="s">
        <v>157</v>
      </c>
      <c r="E206" s="34" t="s">
        <v>209</v>
      </c>
      <c r="F206" s="3"/>
      <c r="G206" s="11">
        <f t="shared" si="3"/>
        <v>31914.5</v>
      </c>
      <c r="H206" s="12">
        <v>15500</v>
      </c>
      <c r="I206" s="12">
        <f t="shared" si="4"/>
        <v>47414.5</v>
      </c>
      <c r="K206" s="13">
        <f>H206/1000</f>
        <v>15.5</v>
      </c>
      <c r="L206">
        <v>2059</v>
      </c>
    </row>
    <row r="207" spans="1:12" ht="16" x14ac:dyDescent="0.2">
      <c r="A207" s="17">
        <v>6200</v>
      </c>
      <c r="B207" s="3">
        <v>220</v>
      </c>
      <c r="C207" s="21" t="s">
        <v>171</v>
      </c>
      <c r="D207" s="3" t="s">
        <v>157</v>
      </c>
      <c r="E207" s="10" t="s">
        <v>208</v>
      </c>
      <c r="F207" s="3"/>
      <c r="G207" s="11">
        <f>G206*0.0765</f>
        <v>2441.4592499999999</v>
      </c>
      <c r="H207" s="12">
        <v>1185.75</v>
      </c>
      <c r="I207" s="12">
        <f t="shared" si="4"/>
        <v>3627.2092499999999</v>
      </c>
    </row>
    <row r="208" spans="1:12" ht="16" x14ac:dyDescent="0.2">
      <c r="A208" s="17">
        <v>6200</v>
      </c>
      <c r="B208" s="3">
        <v>240</v>
      </c>
      <c r="C208" s="21" t="s">
        <v>171</v>
      </c>
      <c r="D208" s="3" t="s">
        <v>157</v>
      </c>
      <c r="E208" s="10" t="s">
        <v>124</v>
      </c>
      <c r="F208" s="3"/>
      <c r="G208" s="11">
        <f>SUM(G206*0.0043)</f>
        <v>137.23235</v>
      </c>
      <c r="H208" s="12">
        <v>66.650000000000006</v>
      </c>
      <c r="I208" s="12">
        <f t="shared" si="4"/>
        <v>203.88235</v>
      </c>
    </row>
    <row r="209" spans="1:12" ht="32" x14ac:dyDescent="0.2">
      <c r="A209" s="17">
        <v>6300</v>
      </c>
      <c r="B209" s="3">
        <v>100</v>
      </c>
      <c r="C209" s="21" t="s">
        <v>171</v>
      </c>
      <c r="D209" s="3" t="s">
        <v>157</v>
      </c>
      <c r="E209" s="34" t="s">
        <v>209</v>
      </c>
      <c r="F209" s="3"/>
      <c r="G209" s="11">
        <f t="shared" si="3"/>
        <v>158975.38999999998</v>
      </c>
      <c r="H209" s="12">
        <v>77210</v>
      </c>
      <c r="I209" s="12">
        <f t="shared" si="4"/>
        <v>236185.38999999998</v>
      </c>
      <c r="K209" s="13">
        <f>H209/1000</f>
        <v>77.209999999999994</v>
      </c>
      <c r="L209">
        <v>2059</v>
      </c>
    </row>
    <row r="210" spans="1:12" ht="16" x14ac:dyDescent="0.2">
      <c r="A210" s="17">
        <v>6300</v>
      </c>
      <c r="B210" s="3">
        <v>220</v>
      </c>
      <c r="C210" s="21" t="s">
        <v>171</v>
      </c>
      <c r="D210" s="3" t="s">
        <v>157</v>
      </c>
      <c r="E210" s="10" t="s">
        <v>208</v>
      </c>
      <c r="F210" s="3"/>
      <c r="G210" s="11">
        <f>G209*0.0765</f>
        <v>12161.617334999999</v>
      </c>
      <c r="H210" s="12">
        <v>5906.57</v>
      </c>
      <c r="I210" s="12">
        <f t="shared" si="4"/>
        <v>18068.187334999999</v>
      </c>
    </row>
    <row r="211" spans="1:12" ht="16" x14ac:dyDescent="0.2">
      <c r="A211" s="17">
        <v>6300</v>
      </c>
      <c r="B211" s="3">
        <v>240</v>
      </c>
      <c r="C211" s="21" t="s">
        <v>171</v>
      </c>
      <c r="D211" s="3" t="s">
        <v>157</v>
      </c>
      <c r="E211" s="10" t="s">
        <v>124</v>
      </c>
      <c r="F211" s="3"/>
      <c r="G211" s="11">
        <f>SUM(G209*0.0043)</f>
        <v>683.59417699999995</v>
      </c>
      <c r="H211" s="12">
        <v>332</v>
      </c>
      <c r="I211" s="12">
        <f t="shared" si="4"/>
        <v>1015.5941769999999</v>
      </c>
    </row>
    <row r="212" spans="1:12" ht="32" x14ac:dyDescent="0.2">
      <c r="A212" s="17">
        <v>6400</v>
      </c>
      <c r="B212" s="3">
        <v>100</v>
      </c>
      <c r="C212" s="21" t="s">
        <v>171</v>
      </c>
      <c r="D212" s="3" t="s">
        <v>157</v>
      </c>
      <c r="E212" s="34" t="s">
        <v>209</v>
      </c>
      <c r="F212" s="3"/>
      <c r="G212" s="11">
        <f t="shared" si="3"/>
        <v>188069.06</v>
      </c>
      <c r="H212" s="12">
        <v>91340</v>
      </c>
      <c r="I212" s="12">
        <f t="shared" si="4"/>
        <v>279409.06</v>
      </c>
      <c r="K212" s="13">
        <f>H212/1000</f>
        <v>91.34</v>
      </c>
      <c r="L212">
        <v>2059</v>
      </c>
    </row>
    <row r="213" spans="1:12" ht="16" x14ac:dyDescent="0.2">
      <c r="A213" s="17">
        <v>6400</v>
      </c>
      <c r="B213" s="3">
        <v>220</v>
      </c>
      <c r="C213" s="21" t="s">
        <v>171</v>
      </c>
      <c r="D213" s="3" t="s">
        <v>157</v>
      </c>
      <c r="E213" s="10" t="s">
        <v>208</v>
      </c>
      <c r="F213" s="3"/>
      <c r="G213" s="11">
        <f>G212*0.0765</f>
        <v>14387.283089999999</v>
      </c>
      <c r="H213" s="12">
        <v>6987.51</v>
      </c>
      <c r="I213" s="12">
        <f t="shared" si="4"/>
        <v>21374.793089999999</v>
      </c>
    </row>
    <row r="214" spans="1:12" ht="16" x14ac:dyDescent="0.2">
      <c r="A214" s="17">
        <v>6400</v>
      </c>
      <c r="B214" s="3">
        <v>240</v>
      </c>
      <c r="C214" s="21" t="s">
        <v>171</v>
      </c>
      <c r="D214" s="3" t="s">
        <v>157</v>
      </c>
      <c r="E214" s="10" t="s">
        <v>124</v>
      </c>
      <c r="F214" s="3"/>
      <c r="G214" s="11">
        <f>SUM(G212*0.0043)</f>
        <v>808.696958</v>
      </c>
      <c r="H214" s="12">
        <v>392.76</v>
      </c>
      <c r="I214" s="12">
        <f t="shared" si="4"/>
        <v>1201.456958</v>
      </c>
    </row>
    <row r="215" spans="1:12" ht="32" x14ac:dyDescent="0.2">
      <c r="A215" s="17">
        <v>6500</v>
      </c>
      <c r="B215" s="3">
        <v>100</v>
      </c>
      <c r="C215" s="21" t="s">
        <v>171</v>
      </c>
      <c r="D215" s="3" t="s">
        <v>157</v>
      </c>
      <c r="E215" s="34" t="s">
        <v>209</v>
      </c>
      <c r="F215" s="3"/>
      <c r="G215" s="11">
        <f t="shared" si="3"/>
        <v>54892.5</v>
      </c>
      <c r="H215" s="12">
        <v>56300</v>
      </c>
      <c r="I215" s="12">
        <f t="shared" si="4"/>
        <v>111192.5</v>
      </c>
      <c r="K215" s="13">
        <f>H215/1000</f>
        <v>56.3</v>
      </c>
      <c r="L215">
        <v>975</v>
      </c>
    </row>
    <row r="216" spans="1:12" ht="16" x14ac:dyDescent="0.2">
      <c r="A216" s="3">
        <v>6500</v>
      </c>
      <c r="B216" s="3">
        <v>220</v>
      </c>
      <c r="C216" s="21" t="s">
        <v>171</v>
      </c>
      <c r="D216" s="3" t="s">
        <v>157</v>
      </c>
      <c r="E216" s="10" t="s">
        <v>208</v>
      </c>
      <c r="F216" s="3"/>
      <c r="G216" s="11">
        <f>G215*0.0765</f>
        <v>4199.2762499999999</v>
      </c>
      <c r="H216" s="12">
        <v>4306.95</v>
      </c>
      <c r="I216" s="12">
        <f t="shared" si="4"/>
        <v>8506.2262499999997</v>
      </c>
    </row>
    <row r="217" spans="1:12" ht="16" x14ac:dyDescent="0.2">
      <c r="A217" s="3">
        <v>6500</v>
      </c>
      <c r="B217" s="3">
        <v>240</v>
      </c>
      <c r="C217" s="21" t="s">
        <v>171</v>
      </c>
      <c r="D217" s="3" t="s">
        <v>157</v>
      </c>
      <c r="E217" s="10" t="s">
        <v>124</v>
      </c>
      <c r="F217" s="3"/>
      <c r="G217" s="11">
        <f>G215*0.0043</f>
        <v>236.03774999999999</v>
      </c>
      <c r="H217" s="12">
        <v>242.09</v>
      </c>
      <c r="I217" s="12">
        <f t="shared" si="4"/>
        <v>478.12774999999999</v>
      </c>
    </row>
    <row r="218" spans="1:12" ht="32" x14ac:dyDescent="0.2">
      <c r="A218" s="3">
        <v>7100</v>
      </c>
      <c r="B218" s="3">
        <v>100</v>
      </c>
      <c r="C218" s="21" t="s">
        <v>171</v>
      </c>
      <c r="D218" s="3" t="s">
        <v>157</v>
      </c>
      <c r="E218" s="34" t="s">
        <v>209</v>
      </c>
      <c r="F218" s="3"/>
      <c r="G218" s="11">
        <f t="shared" si="3"/>
        <v>5021.25</v>
      </c>
      <c r="H218" s="12">
        <v>5150</v>
      </c>
      <c r="I218" s="12">
        <f t="shared" si="4"/>
        <v>10171.25</v>
      </c>
      <c r="K218" s="13">
        <f>H218/1000</f>
        <v>5.15</v>
      </c>
      <c r="L218">
        <v>975</v>
      </c>
    </row>
    <row r="219" spans="1:12" ht="16" x14ac:dyDescent="0.2">
      <c r="A219" s="3">
        <v>7100</v>
      </c>
      <c r="B219" s="3">
        <v>220</v>
      </c>
      <c r="C219" s="21" t="s">
        <v>171</v>
      </c>
      <c r="D219" s="3" t="s">
        <v>157</v>
      </c>
      <c r="E219" s="10" t="s">
        <v>208</v>
      </c>
      <c r="F219" s="3"/>
      <c r="G219" s="11">
        <f>G218*0.0765</f>
        <v>384.12562500000001</v>
      </c>
      <c r="H219" s="12">
        <v>393.98</v>
      </c>
      <c r="I219" s="12">
        <f t="shared" si="4"/>
        <v>778.10562500000003</v>
      </c>
    </row>
    <row r="220" spans="1:12" ht="16" x14ac:dyDescent="0.2">
      <c r="A220" s="3">
        <v>7100</v>
      </c>
      <c r="B220" s="3">
        <v>240</v>
      </c>
      <c r="C220" s="21" t="s">
        <v>171</v>
      </c>
      <c r="D220" s="3" t="s">
        <v>157</v>
      </c>
      <c r="E220" s="10" t="s">
        <v>124</v>
      </c>
      <c r="F220" s="3"/>
      <c r="G220" s="11">
        <f>G218*0.0043</f>
        <v>21.591374999999999</v>
      </c>
      <c r="H220" s="12">
        <v>22.15</v>
      </c>
      <c r="I220" s="12">
        <f t="shared" si="4"/>
        <v>43.741374999999998</v>
      </c>
    </row>
    <row r="221" spans="1:12" ht="32" x14ac:dyDescent="0.2">
      <c r="A221" s="3">
        <v>7200</v>
      </c>
      <c r="B221" s="3">
        <v>100</v>
      </c>
      <c r="C221" s="21" t="s">
        <v>171</v>
      </c>
      <c r="D221" s="3" t="s">
        <v>157</v>
      </c>
      <c r="E221" s="34" t="s">
        <v>209</v>
      </c>
      <c r="F221" s="3"/>
      <c r="G221" s="11">
        <f t="shared" si="3"/>
        <v>975</v>
      </c>
      <c r="H221" s="12">
        <v>1000</v>
      </c>
      <c r="I221" s="12">
        <f t="shared" si="4"/>
        <v>1975</v>
      </c>
      <c r="K221" s="13">
        <f>H221/1000</f>
        <v>1</v>
      </c>
      <c r="L221">
        <v>975</v>
      </c>
    </row>
    <row r="222" spans="1:12" ht="16" x14ac:dyDescent="0.2">
      <c r="A222" s="3">
        <v>7200</v>
      </c>
      <c r="B222" s="3">
        <v>220</v>
      </c>
      <c r="C222" s="21" t="s">
        <v>171</v>
      </c>
      <c r="D222" s="3" t="s">
        <v>157</v>
      </c>
      <c r="E222" s="10" t="s">
        <v>208</v>
      </c>
      <c r="F222" s="3"/>
      <c r="G222" s="11">
        <f>G221*0.0765</f>
        <v>74.587500000000006</v>
      </c>
      <c r="H222" s="12">
        <v>76.5</v>
      </c>
      <c r="I222" s="12">
        <f t="shared" si="4"/>
        <v>151.08750000000001</v>
      </c>
    </row>
    <row r="223" spans="1:12" ht="16" x14ac:dyDescent="0.2">
      <c r="A223" s="3">
        <v>7200</v>
      </c>
      <c r="B223" s="3">
        <v>240</v>
      </c>
      <c r="C223" s="21" t="s">
        <v>171</v>
      </c>
      <c r="D223" s="3" t="s">
        <v>157</v>
      </c>
      <c r="E223" s="10" t="s">
        <v>124</v>
      </c>
      <c r="F223" s="3"/>
      <c r="G223" s="11">
        <f>G221*0.0043</f>
        <v>4.1924999999999999</v>
      </c>
      <c r="H223" s="12">
        <v>4.3</v>
      </c>
      <c r="I223" s="12">
        <f t="shared" si="4"/>
        <v>8.4924999999999997</v>
      </c>
    </row>
    <row r="224" spans="1:12" ht="32" x14ac:dyDescent="0.2">
      <c r="A224" s="3">
        <v>7300</v>
      </c>
      <c r="B224" s="3">
        <v>100</v>
      </c>
      <c r="C224" s="21" t="s">
        <v>171</v>
      </c>
      <c r="D224" s="3" t="s">
        <v>157</v>
      </c>
      <c r="E224" s="34" t="s">
        <v>209</v>
      </c>
      <c r="F224" s="3"/>
      <c r="G224" s="11">
        <f t="shared" si="3"/>
        <v>433728.75</v>
      </c>
      <c r="H224" s="12">
        <v>444850</v>
      </c>
      <c r="I224" s="12">
        <f t="shared" si="4"/>
        <v>878578.75</v>
      </c>
      <c r="K224" s="13">
        <f>H224/1000</f>
        <v>444.85</v>
      </c>
      <c r="L224">
        <v>975</v>
      </c>
    </row>
    <row r="225" spans="1:12" ht="16" x14ac:dyDescent="0.2">
      <c r="A225" s="3">
        <v>7300</v>
      </c>
      <c r="B225" s="3">
        <v>220</v>
      </c>
      <c r="C225" s="21" t="s">
        <v>171</v>
      </c>
      <c r="D225" s="3" t="s">
        <v>157</v>
      </c>
      <c r="E225" s="10" t="s">
        <v>208</v>
      </c>
      <c r="F225" s="3"/>
      <c r="G225" s="11">
        <f>G224*0.0765</f>
        <v>33180.249374999999</v>
      </c>
      <c r="H225" s="12">
        <v>34031.03</v>
      </c>
      <c r="I225" s="12">
        <f t="shared" si="4"/>
        <v>67211.279374999998</v>
      </c>
    </row>
    <row r="226" spans="1:12" ht="16" x14ac:dyDescent="0.2">
      <c r="A226" s="3">
        <v>7300</v>
      </c>
      <c r="B226" s="3">
        <v>240</v>
      </c>
      <c r="C226" s="21" t="s">
        <v>171</v>
      </c>
      <c r="D226" s="3" t="s">
        <v>157</v>
      </c>
      <c r="E226" s="10" t="s">
        <v>124</v>
      </c>
      <c r="F226" s="3"/>
      <c r="G226" s="11">
        <f>G224*0.0043</f>
        <v>1865.033625</v>
      </c>
      <c r="H226" s="12">
        <v>1912.85</v>
      </c>
      <c r="I226" s="12">
        <f t="shared" si="4"/>
        <v>3777.8836249999999</v>
      </c>
    </row>
    <row r="227" spans="1:12" ht="32" x14ac:dyDescent="0.2">
      <c r="A227" s="3">
        <v>7400</v>
      </c>
      <c r="B227" s="3">
        <v>100</v>
      </c>
      <c r="C227" s="21" t="s">
        <v>171</v>
      </c>
      <c r="D227" s="3" t="s">
        <v>157</v>
      </c>
      <c r="E227" s="34" t="s">
        <v>209</v>
      </c>
      <c r="F227" s="3"/>
      <c r="G227" s="11">
        <f t="shared" si="3"/>
        <v>12675</v>
      </c>
      <c r="H227" s="12">
        <v>13000</v>
      </c>
      <c r="I227" s="12">
        <f t="shared" si="4"/>
        <v>25675</v>
      </c>
      <c r="K227" s="13">
        <f>H227/1000</f>
        <v>13</v>
      </c>
      <c r="L227">
        <v>975</v>
      </c>
    </row>
    <row r="228" spans="1:12" ht="16" x14ac:dyDescent="0.2">
      <c r="A228" s="3">
        <v>7400</v>
      </c>
      <c r="B228" s="3">
        <v>220</v>
      </c>
      <c r="C228" s="21" t="s">
        <v>171</v>
      </c>
      <c r="D228" s="3" t="s">
        <v>157</v>
      </c>
      <c r="E228" s="10" t="s">
        <v>208</v>
      </c>
      <c r="F228" s="3"/>
      <c r="G228" s="11">
        <f>G227*0.0765</f>
        <v>969.63749999999993</v>
      </c>
      <c r="H228" s="12">
        <v>994.5</v>
      </c>
      <c r="I228" s="12">
        <f t="shared" si="4"/>
        <v>1964.1374999999998</v>
      </c>
    </row>
    <row r="229" spans="1:12" ht="16" x14ac:dyDescent="0.2">
      <c r="A229" s="3">
        <v>7400</v>
      </c>
      <c r="B229" s="3">
        <v>240</v>
      </c>
      <c r="C229" s="21" t="s">
        <v>171</v>
      </c>
      <c r="D229" s="3" t="s">
        <v>157</v>
      </c>
      <c r="E229" s="10" t="s">
        <v>124</v>
      </c>
      <c r="F229" s="3"/>
      <c r="G229" s="11">
        <f>G227*0.0043</f>
        <v>54.502499999999998</v>
      </c>
      <c r="H229" s="12">
        <v>55.9</v>
      </c>
      <c r="I229" s="12">
        <f t="shared" si="4"/>
        <v>110.4025</v>
      </c>
    </row>
    <row r="230" spans="1:12" ht="32" x14ac:dyDescent="0.2">
      <c r="A230" s="3">
        <v>7500</v>
      </c>
      <c r="B230" s="3">
        <v>100</v>
      </c>
      <c r="C230" s="21" t="s">
        <v>171</v>
      </c>
      <c r="D230" s="3" t="s">
        <v>157</v>
      </c>
      <c r="E230" s="34" t="s">
        <v>209</v>
      </c>
      <c r="F230" s="3"/>
      <c r="G230" s="11">
        <f t="shared" si="3"/>
        <v>28275</v>
      </c>
      <c r="H230" s="12">
        <v>29000</v>
      </c>
      <c r="I230" s="12">
        <f t="shared" si="4"/>
        <v>57275</v>
      </c>
      <c r="K230" s="13">
        <f>H230/1000</f>
        <v>29</v>
      </c>
      <c r="L230">
        <v>975</v>
      </c>
    </row>
    <row r="231" spans="1:12" ht="16" x14ac:dyDescent="0.2">
      <c r="A231" s="3">
        <v>7500</v>
      </c>
      <c r="B231" s="3">
        <v>220</v>
      </c>
      <c r="C231" s="21" t="s">
        <v>171</v>
      </c>
      <c r="D231" s="3" t="s">
        <v>157</v>
      </c>
      <c r="E231" s="10" t="s">
        <v>208</v>
      </c>
      <c r="F231" s="3"/>
      <c r="G231" s="11">
        <f>G230*0.0765</f>
        <v>2163.0374999999999</v>
      </c>
      <c r="H231" s="12">
        <v>2218.5</v>
      </c>
      <c r="I231" s="12">
        <f t="shared" si="4"/>
        <v>4381.5375000000004</v>
      </c>
    </row>
    <row r="232" spans="1:12" ht="16" x14ac:dyDescent="0.2">
      <c r="A232" s="3">
        <v>7500</v>
      </c>
      <c r="B232" s="3">
        <v>240</v>
      </c>
      <c r="C232" s="21" t="s">
        <v>171</v>
      </c>
      <c r="D232" s="3" t="s">
        <v>157</v>
      </c>
      <c r="E232" s="10" t="s">
        <v>124</v>
      </c>
      <c r="F232" s="3"/>
      <c r="G232" s="11">
        <f>G230*0.0043</f>
        <v>121.5825</v>
      </c>
      <c r="H232" s="12">
        <v>124.7</v>
      </c>
      <c r="I232" s="12">
        <f t="shared" si="4"/>
        <v>246.2825</v>
      </c>
    </row>
    <row r="233" spans="1:12" ht="32" x14ac:dyDescent="0.2">
      <c r="A233" s="3">
        <v>7600</v>
      </c>
      <c r="B233" s="3">
        <v>100</v>
      </c>
      <c r="C233" s="21" t="s">
        <v>171</v>
      </c>
      <c r="D233" s="3" t="s">
        <v>157</v>
      </c>
      <c r="E233" s="34" t="s">
        <v>209</v>
      </c>
      <c r="F233" s="3"/>
      <c r="G233" s="11">
        <f t="shared" si="3"/>
        <v>174671.25</v>
      </c>
      <c r="H233" s="12">
        <v>179150</v>
      </c>
      <c r="I233" s="12">
        <f t="shared" si="4"/>
        <v>353821.25</v>
      </c>
      <c r="K233" s="13">
        <f>H233/1000</f>
        <v>179.15</v>
      </c>
      <c r="L233">
        <v>975</v>
      </c>
    </row>
    <row r="234" spans="1:12" ht="16" x14ac:dyDescent="0.2">
      <c r="A234" s="3">
        <v>7600</v>
      </c>
      <c r="B234" s="3">
        <v>220</v>
      </c>
      <c r="C234" s="21" t="s">
        <v>171</v>
      </c>
      <c r="D234" s="3" t="s">
        <v>157</v>
      </c>
      <c r="E234" s="10" t="s">
        <v>208</v>
      </c>
      <c r="F234" s="3"/>
      <c r="G234" s="11">
        <f>G233*0.0765</f>
        <v>13362.350624999999</v>
      </c>
      <c r="H234" s="12">
        <v>13704.98</v>
      </c>
      <c r="I234" s="12">
        <f t="shared" si="4"/>
        <v>27067.330624999999</v>
      </c>
    </row>
    <row r="235" spans="1:12" ht="16" x14ac:dyDescent="0.2">
      <c r="A235" s="3">
        <v>7600</v>
      </c>
      <c r="B235" s="3">
        <v>240</v>
      </c>
      <c r="C235" s="21" t="s">
        <v>171</v>
      </c>
      <c r="D235" s="3" t="s">
        <v>157</v>
      </c>
      <c r="E235" s="10" t="s">
        <v>124</v>
      </c>
      <c r="F235" s="3"/>
      <c r="G235" s="11">
        <f>G233*0.0043</f>
        <v>751.08637499999998</v>
      </c>
      <c r="H235" s="12">
        <v>770.35</v>
      </c>
      <c r="I235" s="12">
        <f t="shared" si="4"/>
        <v>1521.436375</v>
      </c>
    </row>
    <row r="236" spans="1:12" ht="32" x14ac:dyDescent="0.2">
      <c r="A236" s="3">
        <v>7710</v>
      </c>
      <c r="B236" s="3">
        <v>100</v>
      </c>
      <c r="C236" s="21" t="s">
        <v>171</v>
      </c>
      <c r="D236" s="3" t="s">
        <v>157</v>
      </c>
      <c r="E236" s="34" t="s">
        <v>209</v>
      </c>
      <c r="F236" s="3"/>
      <c r="G236" s="11">
        <f t="shared" si="3"/>
        <v>4524</v>
      </c>
      <c r="H236" s="12">
        <v>4640</v>
      </c>
      <c r="I236" s="12">
        <f t="shared" si="4"/>
        <v>9164</v>
      </c>
      <c r="K236" s="13">
        <f>H236/1000</f>
        <v>4.6399999999999997</v>
      </c>
      <c r="L236">
        <v>975</v>
      </c>
    </row>
    <row r="237" spans="1:12" ht="16" x14ac:dyDescent="0.2">
      <c r="A237" s="3">
        <v>7710</v>
      </c>
      <c r="B237" s="3">
        <v>220</v>
      </c>
      <c r="C237" s="21" t="s">
        <v>171</v>
      </c>
      <c r="D237" s="3" t="s">
        <v>157</v>
      </c>
      <c r="E237" s="10" t="s">
        <v>208</v>
      </c>
      <c r="F237" s="3"/>
      <c r="G237" s="11">
        <f>G236*0.0765</f>
        <v>346.08600000000001</v>
      </c>
      <c r="H237" s="12">
        <v>354.96</v>
      </c>
      <c r="I237" s="12">
        <f t="shared" si="4"/>
        <v>701.04600000000005</v>
      </c>
    </row>
    <row r="238" spans="1:12" ht="16" x14ac:dyDescent="0.2">
      <c r="A238" s="3">
        <v>7710</v>
      </c>
      <c r="B238" s="3">
        <v>240</v>
      </c>
      <c r="C238" s="21" t="s">
        <v>171</v>
      </c>
      <c r="D238" s="3" t="s">
        <v>157</v>
      </c>
      <c r="E238" s="10" t="s">
        <v>124</v>
      </c>
      <c r="F238" s="3"/>
      <c r="G238" s="11">
        <f>G236*0.0043</f>
        <v>19.453199999999999</v>
      </c>
      <c r="H238" s="12">
        <v>19.95</v>
      </c>
      <c r="I238" s="12">
        <f t="shared" si="4"/>
        <v>39.403199999999998</v>
      </c>
    </row>
    <row r="239" spans="1:12" ht="32" x14ac:dyDescent="0.2">
      <c r="A239" s="3">
        <v>7730</v>
      </c>
      <c r="B239" s="3">
        <v>100</v>
      </c>
      <c r="C239" s="21" t="s">
        <v>171</v>
      </c>
      <c r="D239" s="3" t="s">
        <v>157</v>
      </c>
      <c r="E239" s="34" t="s">
        <v>209</v>
      </c>
      <c r="F239" s="3"/>
      <c r="G239" s="11">
        <f t="shared" ref="G239:G257" si="5">K239*L239</f>
        <v>28275</v>
      </c>
      <c r="H239" s="12">
        <v>29000</v>
      </c>
      <c r="I239" s="12">
        <f t="shared" si="4"/>
        <v>57275</v>
      </c>
      <c r="K239" s="13">
        <f>H239/1000</f>
        <v>29</v>
      </c>
      <c r="L239">
        <v>975</v>
      </c>
    </row>
    <row r="240" spans="1:12" ht="16" x14ac:dyDescent="0.2">
      <c r="A240" s="3">
        <v>7730</v>
      </c>
      <c r="B240" s="3">
        <v>220</v>
      </c>
      <c r="C240" s="21" t="s">
        <v>171</v>
      </c>
      <c r="D240" s="3" t="s">
        <v>157</v>
      </c>
      <c r="E240" s="10" t="s">
        <v>208</v>
      </c>
      <c r="F240" s="3"/>
      <c r="G240" s="11">
        <f>G239*0.0765</f>
        <v>2163.0374999999999</v>
      </c>
      <c r="H240" s="12">
        <v>2218.5</v>
      </c>
      <c r="I240" s="12">
        <f t="shared" si="4"/>
        <v>4381.5375000000004</v>
      </c>
    </row>
    <row r="241" spans="1:12" ht="16" x14ac:dyDescent="0.2">
      <c r="A241" s="3">
        <v>7730</v>
      </c>
      <c r="B241" s="3">
        <v>240</v>
      </c>
      <c r="C241" s="21" t="s">
        <v>171</v>
      </c>
      <c r="D241" s="3" t="s">
        <v>157</v>
      </c>
      <c r="E241" s="10" t="s">
        <v>124</v>
      </c>
      <c r="F241" s="3"/>
      <c r="G241" s="11">
        <f>G239*0.0043</f>
        <v>121.5825</v>
      </c>
      <c r="H241" s="12">
        <v>124.7</v>
      </c>
      <c r="I241" s="12">
        <f t="shared" si="4"/>
        <v>246.2825</v>
      </c>
    </row>
    <row r="242" spans="1:12" ht="32" x14ac:dyDescent="0.2">
      <c r="A242" s="3">
        <v>7760</v>
      </c>
      <c r="B242" s="3">
        <v>100</v>
      </c>
      <c r="C242" s="21" t="s">
        <v>171</v>
      </c>
      <c r="D242" s="3" t="s">
        <v>157</v>
      </c>
      <c r="E242" s="34" t="s">
        <v>209</v>
      </c>
      <c r="F242" s="3"/>
      <c r="G242" s="11">
        <f t="shared" si="5"/>
        <v>27300</v>
      </c>
      <c r="H242" s="12">
        <v>28000</v>
      </c>
      <c r="I242" s="12">
        <f t="shared" si="4"/>
        <v>55300</v>
      </c>
      <c r="K242" s="13">
        <f>H242/1000</f>
        <v>28</v>
      </c>
      <c r="L242">
        <v>975</v>
      </c>
    </row>
    <row r="243" spans="1:12" ht="16" x14ac:dyDescent="0.2">
      <c r="A243" s="3">
        <v>7760</v>
      </c>
      <c r="B243" s="3">
        <v>220</v>
      </c>
      <c r="C243" s="21" t="s">
        <v>171</v>
      </c>
      <c r="D243" s="3" t="s">
        <v>157</v>
      </c>
      <c r="E243" s="10" t="s">
        <v>208</v>
      </c>
      <c r="F243" s="3"/>
      <c r="G243" s="11">
        <f>G242*0.0765</f>
        <v>2088.4499999999998</v>
      </c>
      <c r="H243" s="12">
        <v>2142</v>
      </c>
      <c r="I243" s="12">
        <f t="shared" si="4"/>
        <v>4230.45</v>
      </c>
    </row>
    <row r="244" spans="1:12" ht="16" x14ac:dyDescent="0.2">
      <c r="A244" s="3">
        <v>7760</v>
      </c>
      <c r="B244" s="3">
        <v>240</v>
      </c>
      <c r="C244" s="21" t="s">
        <v>171</v>
      </c>
      <c r="D244" s="3" t="s">
        <v>157</v>
      </c>
      <c r="E244" s="10" t="s">
        <v>124</v>
      </c>
      <c r="F244" s="3"/>
      <c r="G244" s="11">
        <f>G242*0.0043</f>
        <v>117.39</v>
      </c>
      <c r="H244" s="12">
        <v>120.4</v>
      </c>
      <c r="I244" s="12">
        <f t="shared" si="4"/>
        <v>237.79000000000002</v>
      </c>
    </row>
    <row r="245" spans="1:12" ht="32" x14ac:dyDescent="0.2">
      <c r="A245" s="3">
        <v>7800</v>
      </c>
      <c r="B245" s="3">
        <v>100</v>
      </c>
      <c r="C245" s="21" t="s">
        <v>171</v>
      </c>
      <c r="D245" s="3" t="s">
        <v>157</v>
      </c>
      <c r="E245" s="34" t="s">
        <v>209</v>
      </c>
      <c r="F245" s="3"/>
      <c r="G245" s="11">
        <f t="shared" si="5"/>
        <v>407228.25</v>
      </c>
      <c r="H245" s="12">
        <v>417670</v>
      </c>
      <c r="I245" s="12">
        <f t="shared" ref="I245:I278" si="6">H245+G245</f>
        <v>824898.25</v>
      </c>
      <c r="K245" s="13">
        <f>H245/1000</f>
        <v>417.67</v>
      </c>
      <c r="L245">
        <v>975</v>
      </c>
    </row>
    <row r="246" spans="1:12" ht="16" x14ac:dyDescent="0.2">
      <c r="A246" s="3">
        <v>7800</v>
      </c>
      <c r="B246" s="3">
        <v>220</v>
      </c>
      <c r="C246" s="21" t="s">
        <v>171</v>
      </c>
      <c r="D246" s="3" t="s">
        <v>157</v>
      </c>
      <c r="E246" s="10" t="s">
        <v>208</v>
      </c>
      <c r="F246" s="3"/>
      <c r="G246" s="11">
        <f>G245*0.0765</f>
        <v>31152.961124999998</v>
      </c>
      <c r="H246" s="12">
        <v>31951.759999999998</v>
      </c>
      <c r="I246" s="12">
        <f t="shared" si="6"/>
        <v>63104.721124999996</v>
      </c>
    </row>
    <row r="247" spans="1:12" ht="16" x14ac:dyDescent="0.2">
      <c r="A247" s="3">
        <v>7800</v>
      </c>
      <c r="B247" s="3">
        <v>240</v>
      </c>
      <c r="C247" s="21" t="s">
        <v>171</v>
      </c>
      <c r="D247" s="3" t="s">
        <v>157</v>
      </c>
      <c r="E247" s="10" t="s">
        <v>124</v>
      </c>
      <c r="F247" s="3"/>
      <c r="G247" s="11">
        <f>G245*0.0043</f>
        <v>1751.081475</v>
      </c>
      <c r="H247" s="12">
        <v>1795.98</v>
      </c>
      <c r="I247" s="12">
        <f t="shared" si="6"/>
        <v>3547.061475</v>
      </c>
    </row>
    <row r="248" spans="1:12" ht="32" x14ac:dyDescent="0.2">
      <c r="A248" s="3">
        <v>7900</v>
      </c>
      <c r="B248" s="3">
        <v>100</v>
      </c>
      <c r="C248" s="21" t="s">
        <v>171</v>
      </c>
      <c r="D248" s="3" t="s">
        <v>157</v>
      </c>
      <c r="E248" s="34" t="s">
        <v>209</v>
      </c>
      <c r="F248" s="3"/>
      <c r="G248" s="11">
        <f t="shared" si="5"/>
        <v>338812.5</v>
      </c>
      <c r="H248" s="12">
        <v>347500</v>
      </c>
      <c r="I248" s="12">
        <f t="shared" si="6"/>
        <v>686312.5</v>
      </c>
      <c r="K248" s="13">
        <f>H248/1000</f>
        <v>347.5</v>
      </c>
      <c r="L248">
        <v>975</v>
      </c>
    </row>
    <row r="249" spans="1:12" ht="16" x14ac:dyDescent="0.2">
      <c r="A249" s="3">
        <v>7900</v>
      </c>
      <c r="B249" s="3">
        <v>220</v>
      </c>
      <c r="C249" s="21" t="s">
        <v>171</v>
      </c>
      <c r="D249" s="3" t="s">
        <v>157</v>
      </c>
      <c r="E249" s="10" t="s">
        <v>208</v>
      </c>
      <c r="F249" s="3"/>
      <c r="G249" s="11">
        <f>G248*0.0765</f>
        <v>25919.15625</v>
      </c>
      <c r="H249" s="12">
        <v>26583.75</v>
      </c>
      <c r="I249" s="12">
        <f t="shared" si="6"/>
        <v>52502.90625</v>
      </c>
    </row>
    <row r="250" spans="1:12" ht="16" x14ac:dyDescent="0.2">
      <c r="A250" s="3">
        <v>7900</v>
      </c>
      <c r="B250" s="3">
        <v>240</v>
      </c>
      <c r="C250" s="21" t="s">
        <v>171</v>
      </c>
      <c r="D250" s="3" t="s">
        <v>157</v>
      </c>
      <c r="E250" s="10" t="s">
        <v>124</v>
      </c>
      <c r="F250" s="3"/>
      <c r="G250" s="11">
        <f>G248*0.0043</f>
        <v>1456.89375</v>
      </c>
      <c r="H250" s="12">
        <v>1494.25</v>
      </c>
      <c r="I250" s="12">
        <f t="shared" si="6"/>
        <v>2951.1437500000002</v>
      </c>
    </row>
    <row r="251" spans="1:12" ht="32" x14ac:dyDescent="0.2">
      <c r="A251" s="3">
        <v>8100</v>
      </c>
      <c r="B251" s="3">
        <v>100</v>
      </c>
      <c r="C251" s="21" t="s">
        <v>171</v>
      </c>
      <c r="D251" s="3" t="s">
        <v>157</v>
      </c>
      <c r="E251" s="34" t="s">
        <v>209</v>
      </c>
      <c r="F251" s="3"/>
      <c r="G251" s="11">
        <f t="shared" si="5"/>
        <v>110175</v>
      </c>
      <c r="H251" s="12">
        <v>113000</v>
      </c>
      <c r="I251" s="12">
        <f t="shared" si="6"/>
        <v>223175</v>
      </c>
      <c r="K251" s="13">
        <f>H251/1000</f>
        <v>113</v>
      </c>
      <c r="L251">
        <v>975</v>
      </c>
    </row>
    <row r="252" spans="1:12" ht="16" x14ac:dyDescent="0.2">
      <c r="A252" s="3">
        <v>8100</v>
      </c>
      <c r="B252" s="3">
        <v>220</v>
      </c>
      <c r="C252" s="21" t="s">
        <v>171</v>
      </c>
      <c r="D252" s="3" t="s">
        <v>157</v>
      </c>
      <c r="E252" s="10" t="s">
        <v>208</v>
      </c>
      <c r="F252" s="3"/>
      <c r="G252" s="11">
        <f>G251*0.0765</f>
        <v>8428.3875000000007</v>
      </c>
      <c r="H252" s="12">
        <v>8644.5</v>
      </c>
      <c r="I252" s="12">
        <f t="shared" si="6"/>
        <v>17072.887500000001</v>
      </c>
    </row>
    <row r="253" spans="1:12" ht="16" x14ac:dyDescent="0.2">
      <c r="A253" s="3">
        <v>8100</v>
      </c>
      <c r="B253" s="3">
        <v>240</v>
      </c>
      <c r="C253" s="21" t="s">
        <v>171</v>
      </c>
      <c r="D253" s="3" t="s">
        <v>157</v>
      </c>
      <c r="E253" s="10" t="s">
        <v>124</v>
      </c>
      <c r="F253" s="3"/>
      <c r="G253" s="11">
        <f>G251*0.0043</f>
        <v>473.7525</v>
      </c>
      <c r="H253" s="12">
        <v>485.9</v>
      </c>
      <c r="I253" s="12">
        <f t="shared" si="6"/>
        <v>959.65249999999992</v>
      </c>
    </row>
    <row r="254" spans="1:12" ht="32" x14ac:dyDescent="0.2">
      <c r="A254" s="3">
        <v>8200</v>
      </c>
      <c r="B254" s="3">
        <v>100</v>
      </c>
      <c r="C254" s="21" t="s">
        <v>171</v>
      </c>
      <c r="D254" s="3" t="s">
        <v>157</v>
      </c>
      <c r="E254" s="34" t="s">
        <v>209</v>
      </c>
      <c r="F254" s="3"/>
      <c r="G254" s="11">
        <f t="shared" si="5"/>
        <v>17745</v>
      </c>
      <c r="H254" s="12">
        <v>18200</v>
      </c>
      <c r="I254" s="12">
        <f t="shared" si="6"/>
        <v>35945</v>
      </c>
      <c r="K254" s="13">
        <f>H254/1000</f>
        <v>18.2</v>
      </c>
      <c r="L254">
        <v>975</v>
      </c>
    </row>
    <row r="255" spans="1:12" ht="16" x14ac:dyDescent="0.2">
      <c r="A255" s="3">
        <v>8200</v>
      </c>
      <c r="B255" s="3">
        <v>220</v>
      </c>
      <c r="C255" s="21" t="s">
        <v>171</v>
      </c>
      <c r="D255" s="3" t="s">
        <v>157</v>
      </c>
      <c r="E255" s="10" t="s">
        <v>208</v>
      </c>
      <c r="F255" s="3"/>
      <c r="G255" s="11">
        <f>G254*0.0765</f>
        <v>1357.4925000000001</v>
      </c>
      <c r="H255" s="12">
        <v>1392.3</v>
      </c>
      <c r="I255" s="12">
        <f t="shared" si="6"/>
        <v>2749.7925</v>
      </c>
    </row>
    <row r="256" spans="1:12" ht="16" x14ac:dyDescent="0.2">
      <c r="A256" s="3">
        <v>8200</v>
      </c>
      <c r="B256" s="3">
        <v>240</v>
      </c>
      <c r="C256" s="21" t="s">
        <v>171</v>
      </c>
      <c r="D256" s="3" t="s">
        <v>157</v>
      </c>
      <c r="E256" s="10" t="s">
        <v>124</v>
      </c>
      <c r="F256" s="3"/>
      <c r="G256" s="11">
        <f>G254*0.0043</f>
        <v>76.3035</v>
      </c>
      <c r="H256" s="12">
        <v>78.260000000000005</v>
      </c>
      <c r="I256" s="12">
        <f t="shared" si="6"/>
        <v>154.5635</v>
      </c>
    </row>
    <row r="257" spans="1:12" ht="32" x14ac:dyDescent="0.2">
      <c r="A257" s="3">
        <v>9100</v>
      </c>
      <c r="B257" s="3">
        <v>100</v>
      </c>
      <c r="C257" s="21" t="s">
        <v>171</v>
      </c>
      <c r="D257" s="3" t="s">
        <v>157</v>
      </c>
      <c r="E257" s="34" t="s">
        <v>209</v>
      </c>
      <c r="F257" s="3"/>
      <c r="G257" s="11">
        <f t="shared" si="5"/>
        <v>20475</v>
      </c>
      <c r="H257" s="12">
        <v>21000</v>
      </c>
      <c r="I257" s="12">
        <f t="shared" si="6"/>
        <v>41475</v>
      </c>
      <c r="K257" s="13">
        <f>H257/1000</f>
        <v>21</v>
      </c>
      <c r="L257">
        <v>975</v>
      </c>
    </row>
    <row r="258" spans="1:12" ht="16" x14ac:dyDescent="0.2">
      <c r="A258" s="3">
        <v>9100</v>
      </c>
      <c r="B258" s="3">
        <v>220</v>
      </c>
      <c r="C258" s="21" t="s">
        <v>171</v>
      </c>
      <c r="D258" s="3" t="s">
        <v>157</v>
      </c>
      <c r="E258" s="10" t="s">
        <v>208</v>
      </c>
      <c r="F258" s="3"/>
      <c r="G258" s="11">
        <f>G257*0.0765</f>
        <v>1566.3374999999999</v>
      </c>
      <c r="H258" s="12">
        <v>1606.5</v>
      </c>
      <c r="I258" s="12">
        <f t="shared" si="6"/>
        <v>3172.8374999999996</v>
      </c>
    </row>
    <row r="259" spans="1:12" ht="16" x14ac:dyDescent="0.2">
      <c r="A259" s="3">
        <v>9100</v>
      </c>
      <c r="B259" s="3">
        <v>240</v>
      </c>
      <c r="C259" s="21" t="s">
        <v>171</v>
      </c>
      <c r="D259" s="3" t="s">
        <v>157</v>
      </c>
      <c r="E259" s="10" t="s">
        <v>124</v>
      </c>
      <c r="F259" s="3"/>
      <c r="G259" s="11">
        <f>G257*0.0043</f>
        <v>88.042500000000004</v>
      </c>
      <c r="H259" s="12">
        <v>90.3</v>
      </c>
      <c r="I259" s="12">
        <f t="shared" si="6"/>
        <v>178.3425</v>
      </c>
    </row>
    <row r="260" spans="1:12" ht="48" x14ac:dyDescent="0.2">
      <c r="A260" s="3">
        <v>7300</v>
      </c>
      <c r="B260" s="3">
        <v>110</v>
      </c>
      <c r="C260" s="21" t="s">
        <v>171</v>
      </c>
      <c r="D260" s="3" t="s">
        <v>119</v>
      </c>
      <c r="E260" s="10" t="s">
        <v>120</v>
      </c>
      <c r="F260" s="3"/>
      <c r="G260" s="11">
        <v>0</v>
      </c>
      <c r="H260" s="12">
        <f>100440*2</f>
        <v>200880</v>
      </c>
      <c r="I260" s="12">
        <f t="shared" si="6"/>
        <v>200880</v>
      </c>
    </row>
    <row r="261" spans="1:12" ht="16" x14ac:dyDescent="0.2">
      <c r="A261" s="3">
        <v>7300</v>
      </c>
      <c r="B261" s="3">
        <v>210</v>
      </c>
      <c r="C261" s="21" t="s">
        <v>171</v>
      </c>
      <c r="D261" s="3" t="s">
        <v>119</v>
      </c>
      <c r="E261" s="10" t="s">
        <v>121</v>
      </c>
      <c r="F261" s="3"/>
      <c r="G261" s="11">
        <v>0</v>
      </c>
      <c r="H261" s="12">
        <v>23565</v>
      </c>
      <c r="I261" s="12">
        <f t="shared" si="6"/>
        <v>23565</v>
      </c>
    </row>
    <row r="262" spans="1:12" ht="32" x14ac:dyDescent="0.2">
      <c r="A262" s="3">
        <v>7300</v>
      </c>
      <c r="B262" s="3">
        <v>220</v>
      </c>
      <c r="C262" s="21" t="s">
        <v>171</v>
      </c>
      <c r="D262" s="3" t="s">
        <v>119</v>
      </c>
      <c r="E262" s="10" t="s">
        <v>122</v>
      </c>
      <c r="F262" s="3"/>
      <c r="G262" s="11">
        <v>0</v>
      </c>
      <c r="H262" s="12">
        <v>15369</v>
      </c>
      <c r="I262" s="12">
        <f t="shared" si="6"/>
        <v>15369</v>
      </c>
    </row>
    <row r="263" spans="1:12" ht="32" x14ac:dyDescent="0.2">
      <c r="A263" s="3">
        <v>7300</v>
      </c>
      <c r="B263" s="3">
        <v>240</v>
      </c>
      <c r="C263" s="21" t="s">
        <v>171</v>
      </c>
      <c r="D263" s="3" t="s">
        <v>119</v>
      </c>
      <c r="E263" s="10" t="s">
        <v>123</v>
      </c>
      <c r="F263" s="3"/>
      <c r="G263" s="11">
        <v>0</v>
      </c>
      <c r="H263" s="12">
        <f>432*2</f>
        <v>864</v>
      </c>
      <c r="I263" s="12">
        <f t="shared" si="6"/>
        <v>864</v>
      </c>
    </row>
    <row r="264" spans="1:12" ht="32" x14ac:dyDescent="0.2">
      <c r="A264" s="3">
        <v>7710</v>
      </c>
      <c r="B264" s="3">
        <v>360</v>
      </c>
      <c r="C264" s="21" t="s">
        <v>171</v>
      </c>
      <c r="D264" s="3" t="s">
        <v>116</v>
      </c>
      <c r="E264" s="10" t="s">
        <v>126</v>
      </c>
      <c r="F264" s="3"/>
      <c r="G264" s="11">
        <v>0</v>
      </c>
      <c r="H264" s="12">
        <f>85000+85000</f>
        <v>170000</v>
      </c>
      <c r="I264" s="12">
        <f t="shared" si="6"/>
        <v>170000</v>
      </c>
    </row>
    <row r="265" spans="1:12" ht="16" x14ac:dyDescent="0.2">
      <c r="A265" s="3">
        <v>7710</v>
      </c>
      <c r="B265" s="3">
        <v>110</v>
      </c>
      <c r="C265" s="21" t="s">
        <v>171</v>
      </c>
      <c r="D265" s="3" t="s">
        <v>125</v>
      </c>
      <c r="E265" s="10" t="s">
        <v>105</v>
      </c>
      <c r="F265" s="3">
        <v>1</v>
      </c>
      <c r="G265" s="11">
        <v>0</v>
      </c>
      <c r="H265" s="12">
        <v>93280</v>
      </c>
      <c r="I265" s="12">
        <f t="shared" si="6"/>
        <v>93280</v>
      </c>
    </row>
    <row r="266" spans="1:12" ht="16" x14ac:dyDescent="0.2">
      <c r="A266" s="3">
        <v>7710</v>
      </c>
      <c r="B266" s="3">
        <v>210</v>
      </c>
      <c r="C266" s="21" t="s">
        <v>171</v>
      </c>
      <c r="D266" s="3" t="s">
        <v>125</v>
      </c>
      <c r="E266" s="10" t="s">
        <v>106</v>
      </c>
      <c r="F266" s="3"/>
      <c r="G266" s="11">
        <v>0</v>
      </c>
      <c r="H266" s="12">
        <f>10942-13</f>
        <v>10929</v>
      </c>
      <c r="I266" s="12">
        <f t="shared" si="6"/>
        <v>10929</v>
      </c>
    </row>
    <row r="267" spans="1:12" ht="16" x14ac:dyDescent="0.2">
      <c r="A267" s="3">
        <v>7710</v>
      </c>
      <c r="B267" s="3">
        <v>220</v>
      </c>
      <c r="C267" s="21" t="s">
        <v>171</v>
      </c>
      <c r="D267" s="3" t="s">
        <v>125</v>
      </c>
      <c r="E267" s="10" t="s">
        <v>107</v>
      </c>
      <c r="F267" s="3"/>
      <c r="G267" s="11">
        <v>0</v>
      </c>
      <c r="H267" s="12">
        <v>7136</v>
      </c>
      <c r="I267" s="12">
        <f t="shared" si="6"/>
        <v>7136</v>
      </c>
    </row>
    <row r="268" spans="1:12" ht="16" x14ac:dyDescent="0.2">
      <c r="A268" s="3">
        <v>7710</v>
      </c>
      <c r="B268" s="3">
        <v>230</v>
      </c>
      <c r="C268" s="21" t="s">
        <v>171</v>
      </c>
      <c r="D268" s="3" t="s">
        <v>125</v>
      </c>
      <c r="E268" s="10" t="s">
        <v>108</v>
      </c>
      <c r="F268" s="3"/>
      <c r="G268" s="11">
        <v>0</v>
      </c>
      <c r="H268" s="12">
        <v>9003</v>
      </c>
      <c r="I268" s="12">
        <f t="shared" si="6"/>
        <v>9003</v>
      </c>
    </row>
    <row r="269" spans="1:12" ht="16" x14ac:dyDescent="0.2">
      <c r="A269" s="3">
        <v>7710</v>
      </c>
      <c r="B269" s="3">
        <v>240</v>
      </c>
      <c r="C269" s="21" t="s">
        <v>171</v>
      </c>
      <c r="D269" s="3" t="s">
        <v>125</v>
      </c>
      <c r="E269" s="10" t="s">
        <v>109</v>
      </c>
      <c r="F269" s="3"/>
      <c r="G269" s="11">
        <v>0</v>
      </c>
      <c r="H269" s="12">
        <v>402</v>
      </c>
      <c r="I269" s="12">
        <f t="shared" si="6"/>
        <v>402</v>
      </c>
    </row>
    <row r="270" spans="1:12" ht="16" x14ac:dyDescent="0.2">
      <c r="A270" s="17">
        <v>5100</v>
      </c>
      <c r="B270" s="17">
        <v>394</v>
      </c>
      <c r="C270" s="17" t="s">
        <v>171</v>
      </c>
      <c r="D270" s="17" t="s">
        <v>197</v>
      </c>
      <c r="E270" s="24" t="s">
        <v>173</v>
      </c>
      <c r="F270" s="17"/>
      <c r="G270" s="22">
        <v>30000</v>
      </c>
      <c r="H270" s="23">
        <v>60000</v>
      </c>
      <c r="I270" s="12">
        <f t="shared" si="6"/>
        <v>90000</v>
      </c>
    </row>
    <row r="271" spans="1:12" ht="16" x14ac:dyDescent="0.2">
      <c r="A271" s="27">
        <v>7900</v>
      </c>
      <c r="B271" s="17">
        <v>394</v>
      </c>
      <c r="C271" s="17" t="s">
        <v>171</v>
      </c>
      <c r="D271" s="17" t="s">
        <v>197</v>
      </c>
      <c r="E271" s="24" t="s">
        <v>173</v>
      </c>
      <c r="F271" s="17"/>
      <c r="G271" s="28">
        <v>20320.11</v>
      </c>
      <c r="H271" s="29">
        <v>11756.43</v>
      </c>
      <c r="I271" s="12">
        <f t="shared" si="6"/>
        <v>32076.54</v>
      </c>
    </row>
    <row r="272" spans="1:12" ht="16" x14ac:dyDescent="0.2">
      <c r="A272" s="3">
        <v>7710</v>
      </c>
      <c r="B272" s="3">
        <v>110</v>
      </c>
      <c r="C272" s="3" t="s">
        <v>172</v>
      </c>
      <c r="D272" s="3" t="s">
        <v>117</v>
      </c>
      <c r="E272" s="10" t="s">
        <v>111</v>
      </c>
      <c r="F272" s="3">
        <v>0.2</v>
      </c>
      <c r="G272" s="11">
        <v>0</v>
      </c>
      <c r="H272" s="12">
        <v>20336</v>
      </c>
      <c r="I272" s="12">
        <f t="shared" si="6"/>
        <v>20336</v>
      </c>
    </row>
    <row r="273" spans="1:14" ht="32" x14ac:dyDescent="0.2">
      <c r="A273" s="3">
        <v>7710</v>
      </c>
      <c r="B273" s="3">
        <v>160</v>
      </c>
      <c r="C273" s="3" t="s">
        <v>172</v>
      </c>
      <c r="D273" s="3" t="s">
        <v>117</v>
      </c>
      <c r="E273" s="10" t="s">
        <v>110</v>
      </c>
      <c r="F273" s="3">
        <v>2</v>
      </c>
      <c r="G273" s="11">
        <v>0</v>
      </c>
      <c r="H273" s="12">
        <v>93260</v>
      </c>
      <c r="I273" s="12">
        <f t="shared" si="6"/>
        <v>93260</v>
      </c>
    </row>
    <row r="274" spans="1:14" ht="16" x14ac:dyDescent="0.2">
      <c r="A274" s="3">
        <v>7710</v>
      </c>
      <c r="B274" s="3">
        <v>210</v>
      </c>
      <c r="C274" s="3" t="s">
        <v>172</v>
      </c>
      <c r="D274" s="3" t="s">
        <v>117</v>
      </c>
      <c r="E274" s="10" t="s">
        <v>112</v>
      </c>
      <c r="F274" s="3"/>
      <c r="G274" s="11">
        <v>0</v>
      </c>
      <c r="H274" s="12">
        <v>13320</v>
      </c>
      <c r="I274" s="12">
        <f t="shared" si="6"/>
        <v>13320</v>
      </c>
    </row>
    <row r="275" spans="1:14" ht="16" x14ac:dyDescent="0.2">
      <c r="A275" s="3">
        <v>7710</v>
      </c>
      <c r="B275" s="3">
        <v>220</v>
      </c>
      <c r="C275" s="3" t="s">
        <v>172</v>
      </c>
      <c r="D275" s="3" t="s">
        <v>117</v>
      </c>
      <c r="E275" s="10" t="s">
        <v>113</v>
      </c>
      <c r="F275" s="3"/>
      <c r="G275" s="11">
        <v>0</v>
      </c>
      <c r="H275" s="12">
        <v>8690</v>
      </c>
      <c r="I275" s="12">
        <f t="shared" si="6"/>
        <v>8690</v>
      </c>
    </row>
    <row r="276" spans="1:14" ht="16" x14ac:dyDescent="0.2">
      <c r="A276" s="3">
        <v>7710</v>
      </c>
      <c r="B276" s="3">
        <v>230</v>
      </c>
      <c r="C276" s="3" t="s">
        <v>172</v>
      </c>
      <c r="D276" s="3" t="s">
        <v>117</v>
      </c>
      <c r="E276" s="10" t="s">
        <v>114</v>
      </c>
      <c r="F276" s="3"/>
      <c r="G276" s="11">
        <v>0</v>
      </c>
      <c r="H276" s="12">
        <v>19806</v>
      </c>
      <c r="I276" s="12">
        <f t="shared" si="6"/>
        <v>19806</v>
      </c>
    </row>
    <row r="277" spans="1:14" ht="16" x14ac:dyDescent="0.2">
      <c r="A277" s="3">
        <v>7710</v>
      </c>
      <c r="B277" s="3">
        <v>240</v>
      </c>
      <c r="C277" s="3" t="s">
        <v>172</v>
      </c>
      <c r="D277" s="3" t="s">
        <v>117</v>
      </c>
      <c r="E277" s="10" t="s">
        <v>115</v>
      </c>
      <c r="F277" s="3"/>
      <c r="G277" s="11">
        <v>0</v>
      </c>
      <c r="H277" s="12">
        <v>488</v>
      </c>
      <c r="I277" s="12">
        <f t="shared" si="6"/>
        <v>488</v>
      </c>
    </row>
    <row r="278" spans="1:14" ht="16" x14ac:dyDescent="0.2">
      <c r="A278" s="3">
        <v>7710</v>
      </c>
      <c r="B278" s="3">
        <v>510</v>
      </c>
      <c r="C278" s="3" t="s">
        <v>172</v>
      </c>
      <c r="D278" s="3" t="s">
        <v>117</v>
      </c>
      <c r="E278" s="10" t="s">
        <v>118</v>
      </c>
      <c r="F278" s="3"/>
      <c r="G278" s="11">
        <v>1000</v>
      </c>
      <c r="H278" s="12">
        <v>0</v>
      </c>
      <c r="I278" s="12">
        <f t="shared" si="6"/>
        <v>1000</v>
      </c>
    </row>
    <row r="279" spans="1:14" ht="16" x14ac:dyDescent="0.2">
      <c r="A279" s="17">
        <v>7200</v>
      </c>
      <c r="B279" s="17">
        <v>792</v>
      </c>
      <c r="C279" s="17" t="s">
        <v>172</v>
      </c>
      <c r="D279" s="17" t="s">
        <v>198</v>
      </c>
      <c r="E279" s="24" t="s">
        <v>152</v>
      </c>
      <c r="F279" s="17"/>
      <c r="G279" s="22">
        <f>ROUNDDOWN(L285,0)</f>
        <v>1163896</v>
      </c>
      <c r="H279" s="23">
        <f>ROUND(M285,0)</f>
        <v>1053487</v>
      </c>
      <c r="I279" s="23">
        <f t="shared" ref="I279" si="7">H279+G279</f>
        <v>2217383</v>
      </c>
    </row>
    <row r="280" spans="1:14" x14ac:dyDescent="0.2">
      <c r="A280" s="49" t="s">
        <v>5</v>
      </c>
      <c r="B280" s="49"/>
      <c r="C280" s="49"/>
      <c r="D280" s="49"/>
      <c r="E280" s="49"/>
      <c r="F280" s="49"/>
      <c r="G280" s="14">
        <f>SUM(G10:G279)</f>
        <v>58923544.997047991</v>
      </c>
      <c r="H280" s="14">
        <f>SUM(H10:H279)</f>
        <v>29526116.000000019</v>
      </c>
      <c r="I280" s="14">
        <f>SUM(I10:I279)</f>
        <v>88449660.99704805</v>
      </c>
      <c r="J280" s="18">
        <f>88449661-I280</f>
        <v>2.9519498348236084E-3</v>
      </c>
    </row>
    <row r="281" spans="1:14" x14ac:dyDescent="0.2">
      <c r="G281" s="18"/>
      <c r="H281" s="18"/>
      <c r="I281" s="18"/>
    </row>
    <row r="282" spans="1:14" x14ac:dyDescent="0.2">
      <c r="A282" s="50" t="s">
        <v>16</v>
      </c>
      <c r="B282" s="50"/>
      <c r="C282" s="50"/>
      <c r="H282" s="4"/>
      <c r="K282" t="s">
        <v>156</v>
      </c>
      <c r="L282" s="13">
        <f>SUM(G10:G278)</f>
        <v>57759648.997047991</v>
      </c>
      <c r="M282" s="13">
        <f>SUM(H10:H278)</f>
        <v>28472629.000000019</v>
      </c>
      <c r="N282" s="13">
        <f t="shared" ref="N282:N284" si="8">M282+L282</f>
        <v>86232277.997048005</v>
      </c>
    </row>
    <row r="283" spans="1:14" x14ac:dyDescent="0.2">
      <c r="A283" s="6"/>
      <c r="B283" s="6"/>
      <c r="C283" s="5" t="s">
        <v>7</v>
      </c>
      <c r="D283" s="44" t="s">
        <v>6</v>
      </c>
      <c r="E283" s="44"/>
      <c r="F283" s="6"/>
      <c r="G283" s="6"/>
      <c r="H283" s="4"/>
      <c r="K283" t="s">
        <v>153</v>
      </c>
      <c r="L283" s="13">
        <f>G86+G142+G143</f>
        <v>26303000</v>
      </c>
      <c r="M283" s="13">
        <f>H86+H142+H143</f>
        <v>0</v>
      </c>
      <c r="N283" s="13">
        <f t="shared" si="8"/>
        <v>26303000</v>
      </c>
    </row>
    <row r="284" spans="1:14" x14ac:dyDescent="0.2">
      <c r="K284" t="s">
        <v>155</v>
      </c>
      <c r="L284" s="13">
        <f>L282-L283</f>
        <v>31456648.997047991</v>
      </c>
      <c r="M284" s="13">
        <f>M282-M283</f>
        <v>28472629.000000019</v>
      </c>
      <c r="N284" s="13">
        <f t="shared" si="8"/>
        <v>59929277.997048005</v>
      </c>
    </row>
    <row r="285" spans="1:14" x14ac:dyDescent="0.2">
      <c r="A285" s="43" t="s">
        <v>11</v>
      </c>
      <c r="B285" s="43"/>
      <c r="C285" s="43"/>
      <c r="D285" s="43"/>
      <c r="E285" s="43"/>
      <c r="F285" s="43"/>
      <c r="G285" s="43"/>
      <c r="K285" t="s">
        <v>154</v>
      </c>
      <c r="L285" s="13">
        <f>L284*0.037</f>
        <v>1163896.0128907757</v>
      </c>
      <c r="M285" s="13">
        <f>M284*0.037</f>
        <v>1053487.2730000007</v>
      </c>
      <c r="N285" s="13">
        <f>M285+L285</f>
        <v>2217383.2858907767</v>
      </c>
    </row>
    <row r="288" spans="1:14" x14ac:dyDescent="0.2">
      <c r="I288" s="38"/>
      <c r="J288" s="40"/>
    </row>
    <row r="289" spans="9:14" x14ac:dyDescent="0.2">
      <c r="I289" s="38"/>
      <c r="J289" s="39"/>
    </row>
    <row r="290" spans="9:14" x14ac:dyDescent="0.2">
      <c r="I290" s="38"/>
      <c r="J290" s="18"/>
      <c r="N290" s="13"/>
    </row>
    <row r="291" spans="9:14" x14ac:dyDescent="0.2">
      <c r="K291" s="13"/>
    </row>
  </sheetData>
  <autoFilter ref="A9:I285" xr:uid="{00000000-0001-0000-0000-000000000000}"/>
  <sortState xmlns:xlrd2="http://schemas.microsoft.com/office/spreadsheetml/2017/richdata2" ref="A10:I278">
    <sortCondition ref="D10:D278"/>
    <sortCondition ref="A10:A278"/>
    <sortCondition ref="B10:B278"/>
  </sortState>
  <mergeCells count="9">
    <mergeCell ref="A285:G285"/>
    <mergeCell ref="D283:E283"/>
    <mergeCell ref="A1:D2"/>
    <mergeCell ref="H1:I3"/>
    <mergeCell ref="A3:D4"/>
    <mergeCell ref="A280:F280"/>
    <mergeCell ref="A282:C282"/>
    <mergeCell ref="A7:I7"/>
    <mergeCell ref="A6:I6"/>
  </mergeCells>
  <pageMargins left="0.7" right="0.7" top="0.75" bottom="0.75" header="0.3" footer="0.3"/>
  <pageSetup scale="78" fitToHeight="11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69A59-8F90-4015-9138-B0432806D0F2}">
  <sheetPr>
    <pageSetUpPr fitToPage="1"/>
  </sheetPr>
  <dimension ref="A1:D21"/>
  <sheetViews>
    <sheetView workbookViewId="0">
      <selection activeCell="D22" sqref="D22"/>
    </sheetView>
  </sheetViews>
  <sheetFormatPr baseColWidth="10" defaultColWidth="8.83203125" defaultRowHeight="15" x14ac:dyDescent="0.2"/>
  <cols>
    <col min="1" max="1" width="12.6640625" bestFit="1" customWidth="1"/>
    <col min="2" max="3" width="29.83203125" style="16" bestFit="1" customWidth="1"/>
    <col min="4" max="4" width="21" style="16" bestFit="1" customWidth="1"/>
  </cols>
  <sheetData>
    <row r="1" spans="1:4" x14ac:dyDescent="0.2">
      <c r="A1" s="30" t="s">
        <v>0</v>
      </c>
      <c r="B1" t="s">
        <v>201</v>
      </c>
      <c r="C1"/>
      <c r="D1"/>
    </row>
    <row r="2" spans="1:4" x14ac:dyDescent="0.2">
      <c r="A2" s="30" t="s">
        <v>1</v>
      </c>
      <c r="B2" t="s">
        <v>201</v>
      </c>
      <c r="C2"/>
      <c r="D2"/>
    </row>
    <row r="3" spans="1:4" x14ac:dyDescent="0.2">
      <c r="B3"/>
      <c r="C3"/>
      <c r="D3"/>
    </row>
    <row r="4" spans="1:4" x14ac:dyDescent="0.2">
      <c r="A4" s="30" t="s">
        <v>199</v>
      </c>
      <c r="B4" t="s">
        <v>202</v>
      </c>
      <c r="C4" t="s">
        <v>203</v>
      </c>
      <c r="D4" t="s">
        <v>204</v>
      </c>
    </row>
    <row r="5" spans="1:4" x14ac:dyDescent="0.2">
      <c r="A5" s="31">
        <v>1</v>
      </c>
      <c r="B5" s="42">
        <v>4339672.4300000006</v>
      </c>
      <c r="C5" s="13">
        <v>13409363.700000001</v>
      </c>
      <c r="D5" s="13">
        <v>17749036.129999999</v>
      </c>
    </row>
    <row r="6" spans="1:4" x14ac:dyDescent="0.2">
      <c r="A6" s="31" t="s">
        <v>164</v>
      </c>
      <c r="B6" s="42">
        <v>100000</v>
      </c>
      <c r="C6" s="13">
        <v>6570270</v>
      </c>
      <c r="D6" s="13">
        <v>6670270</v>
      </c>
    </row>
    <row r="7" spans="1:4" x14ac:dyDescent="0.2">
      <c r="A7" s="31" t="s">
        <v>182</v>
      </c>
      <c r="B7" s="42">
        <v>15046.96</v>
      </c>
      <c r="C7" s="13">
        <v>0</v>
      </c>
      <c r="D7" s="13">
        <v>15046.96</v>
      </c>
    </row>
    <row r="8" spans="1:4" x14ac:dyDescent="0.2">
      <c r="A8" s="31" t="s">
        <v>185</v>
      </c>
      <c r="B8" s="42">
        <v>5013.03</v>
      </c>
      <c r="C8" s="13">
        <v>6313.03</v>
      </c>
      <c r="D8" s="13">
        <v>11326.06</v>
      </c>
    </row>
    <row r="9" spans="1:4" x14ac:dyDescent="0.2">
      <c r="A9" s="31" t="s">
        <v>165</v>
      </c>
      <c r="B9" s="42">
        <v>0</v>
      </c>
      <c r="C9" s="13">
        <v>151000</v>
      </c>
      <c r="D9" s="13">
        <v>151000</v>
      </c>
    </row>
    <row r="10" spans="1:4" x14ac:dyDescent="0.2">
      <c r="A10" s="31" t="s">
        <v>166</v>
      </c>
      <c r="B10" s="42">
        <v>4400623.6100000003</v>
      </c>
      <c r="C10" s="13">
        <v>34003.550000000003</v>
      </c>
      <c r="D10" s="13">
        <v>4434627.16</v>
      </c>
    </row>
    <row r="11" spans="1:4" x14ac:dyDescent="0.2">
      <c r="A11" s="31" t="s">
        <v>167</v>
      </c>
      <c r="B11" s="42">
        <v>1729785.5</v>
      </c>
      <c r="C11" s="13">
        <v>1551344.5</v>
      </c>
      <c r="D11" s="13">
        <v>3281130</v>
      </c>
    </row>
    <row r="12" spans="1:4" x14ac:dyDescent="0.2">
      <c r="A12" s="31" t="s">
        <v>183</v>
      </c>
      <c r="B12" s="42">
        <v>24000</v>
      </c>
      <c r="C12" s="13">
        <v>800</v>
      </c>
      <c r="D12" s="13">
        <v>24800</v>
      </c>
    </row>
    <row r="13" spans="1:4" x14ac:dyDescent="0.2">
      <c r="A13" s="31" t="s">
        <v>168</v>
      </c>
      <c r="B13" s="42">
        <v>10558.24</v>
      </c>
      <c r="C13" s="13">
        <v>1397100</v>
      </c>
      <c r="D13" s="13">
        <v>1407658.24</v>
      </c>
    </row>
    <row r="14" spans="1:4" x14ac:dyDescent="0.2">
      <c r="A14" s="31" t="s">
        <v>184</v>
      </c>
      <c r="B14" s="42">
        <v>208243.65000000002</v>
      </c>
      <c r="C14" s="13">
        <v>0</v>
      </c>
      <c r="D14" s="13">
        <v>208243.65000000002</v>
      </c>
    </row>
    <row r="15" spans="1:4" x14ac:dyDescent="0.2">
      <c r="A15" s="31" t="s">
        <v>169</v>
      </c>
      <c r="B15" s="42">
        <v>24248745</v>
      </c>
      <c r="C15" s="13">
        <v>11000</v>
      </c>
      <c r="D15" s="13">
        <v>24259745</v>
      </c>
    </row>
    <row r="16" spans="1:4" x14ac:dyDescent="0.2">
      <c r="A16" s="31" t="s">
        <v>170</v>
      </c>
      <c r="B16" s="42">
        <v>1149893.5299999998</v>
      </c>
      <c r="C16" s="13">
        <v>1182349.79</v>
      </c>
      <c r="D16" s="13">
        <v>2332243.3199999998</v>
      </c>
    </row>
    <row r="17" spans="1:4" x14ac:dyDescent="0.2">
      <c r="A17" s="31" t="s">
        <v>171</v>
      </c>
      <c r="B17" s="42">
        <v>21527067.047047995</v>
      </c>
      <c r="C17" s="13">
        <v>4003184.4299999997</v>
      </c>
      <c r="D17" s="13">
        <v>25530251.477047995</v>
      </c>
    </row>
    <row r="18" spans="1:4" x14ac:dyDescent="0.2">
      <c r="A18" s="31" t="s">
        <v>172</v>
      </c>
      <c r="B18" s="42">
        <v>1164896</v>
      </c>
      <c r="C18" s="13">
        <v>1209387</v>
      </c>
      <c r="D18" s="13">
        <v>2374283</v>
      </c>
    </row>
    <row r="19" spans="1:4" x14ac:dyDescent="0.2">
      <c r="A19" s="31" t="s">
        <v>200</v>
      </c>
      <c r="B19" s="42">
        <v>58923544.997047998</v>
      </c>
      <c r="C19" s="13">
        <v>29526116.000000004</v>
      </c>
      <c r="D19" s="13">
        <v>88449660.997047991</v>
      </c>
    </row>
    <row r="20" spans="1:4" x14ac:dyDescent="0.2">
      <c r="B20"/>
      <c r="C20"/>
    </row>
    <row r="21" spans="1:4" x14ac:dyDescent="0.2">
      <c r="B21"/>
      <c r="C21"/>
    </row>
  </sheetData>
  <pageMargins left="0.7" right="0.7" top="0.75" bottom="0.75" header="0.3" footer="0.3"/>
  <pageSetup orientation="landscape" r:id="rId2"/>
  <headerFooter>
    <oddHeader>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D9630B-119C-40F2-A3DA-70F1F526277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ef373230-e173-4e6a-8f42-59bce9da1dde"/>
    <ds:schemaRef ds:uri="6175c4d1-a53c-410c-92b6-74bcb683b4a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Sheet1</vt:lpstr>
      <vt:lpstr>Sheet3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Sheet1!Print_Area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2021-12-16T14:43:38Z</cp:lastPrinted>
  <dcterms:created xsi:type="dcterms:W3CDTF">2021-06-09T18:28:06Z</dcterms:created>
  <dcterms:modified xsi:type="dcterms:W3CDTF">2022-04-11T18:00:55Z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