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DC5E9F09-8BE0-E143-A6EE-C9C80B33A886}" xr6:coauthVersionLast="47" xr6:coauthVersionMax="47" xr10:uidLastSave="{00000000-0000-0000-0000-000000000000}"/>
  <bookViews>
    <workbookView xWindow="0" yWindow="500" windowWidth="23040" windowHeight="9200" xr2:uid="{00000000-000D-0000-FFFF-FFFF00000000}"/>
  </bookViews>
  <sheets>
    <sheet name="Sheet1" sheetId="1" r:id="rId1"/>
  </sheets>
  <definedNames>
    <definedName name="_xlnm._FilterDatabase" localSheetId="0" hidden="1">Sheet1!$A$9:$N$552</definedName>
    <definedName name="Account_Title">Sheet1!$E$9</definedName>
    <definedName name="Activity_Number">Sheet1!$D$9</definedName>
    <definedName name="Amount_for_20__allocation_____110_303_243">Sheet1!$G$9</definedName>
    <definedName name="Amount_for_80__allocation">Sheet1!$H$9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9" i="1" l="1"/>
  <c r="I45" i="1" l="1"/>
  <c r="I36" i="1"/>
  <c r="H139" i="1"/>
  <c r="H136" i="1"/>
  <c r="I136" i="1" s="1"/>
  <c r="H438" i="1"/>
  <c r="I438" i="1" s="1"/>
  <c r="H435" i="1"/>
  <c r="I435" i="1" s="1"/>
  <c r="H421" i="1"/>
  <c r="I421" i="1" s="1"/>
  <c r="H418" i="1"/>
  <c r="I418" i="1" s="1"/>
  <c r="H254" i="1"/>
  <c r="I254" i="1" s="1"/>
  <c r="H253" i="1"/>
  <c r="H252" i="1"/>
  <c r="H113" i="1"/>
  <c r="H110" i="1"/>
  <c r="H534" i="1"/>
  <c r="I534" i="1" s="1"/>
  <c r="H542" i="1"/>
  <c r="I542" i="1" s="1"/>
  <c r="I548" i="1"/>
  <c r="I547" i="1"/>
  <c r="I539" i="1"/>
  <c r="I531" i="1"/>
  <c r="I530" i="1"/>
  <c r="I529" i="1"/>
  <c r="I521" i="1"/>
  <c r="I520" i="1"/>
  <c r="I519" i="1"/>
  <c r="I506" i="1"/>
  <c r="I503" i="1"/>
  <c r="I498" i="1"/>
  <c r="I497" i="1"/>
  <c r="I492" i="1"/>
  <c r="I489" i="1"/>
  <c r="I488" i="1"/>
  <c r="I480" i="1"/>
  <c r="I463" i="1"/>
  <c r="I462" i="1"/>
  <c r="I461" i="1"/>
  <c r="I456" i="1"/>
  <c r="I453" i="1"/>
  <c r="I451" i="1"/>
  <c r="I446" i="1"/>
  <c r="I445" i="1"/>
  <c r="I444" i="1"/>
  <c r="I443" i="1"/>
  <c r="I416" i="1"/>
  <c r="I415" i="1"/>
  <c r="I414" i="1"/>
  <c r="I412" i="1"/>
  <c r="I411" i="1"/>
  <c r="I410" i="1"/>
  <c r="I405" i="1"/>
  <c r="I404" i="1"/>
  <c r="I403" i="1"/>
  <c r="I398" i="1"/>
  <c r="I389" i="1"/>
  <c r="I384" i="1"/>
  <c r="I381" i="1"/>
  <c r="I375" i="1"/>
  <c r="I371" i="1"/>
  <c r="I363" i="1"/>
  <c r="I359" i="1"/>
  <c r="I312" i="1"/>
  <c r="I311" i="1"/>
  <c r="I310" i="1"/>
  <c r="I301" i="1"/>
  <c r="I296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I270" i="1"/>
  <c r="I266" i="1"/>
  <c r="I265" i="1"/>
  <c r="I263" i="1"/>
  <c r="I253" i="1"/>
  <c r="I252" i="1"/>
  <c r="I251" i="1"/>
  <c r="I250" i="1"/>
  <c r="I237" i="1"/>
  <c r="I234" i="1"/>
  <c r="I213" i="1"/>
  <c r="I210" i="1"/>
  <c r="I205" i="1"/>
  <c r="I202" i="1"/>
  <c r="I201" i="1"/>
  <c r="I197" i="1"/>
  <c r="I195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30" i="1"/>
  <c r="I127" i="1"/>
  <c r="I126" i="1"/>
  <c r="I125" i="1"/>
  <c r="I124" i="1"/>
  <c r="I120" i="1"/>
  <c r="I119" i="1"/>
  <c r="I113" i="1"/>
  <c r="I110" i="1"/>
  <c r="I109" i="1"/>
  <c r="I107" i="1"/>
  <c r="I104" i="1"/>
  <c r="I101" i="1"/>
  <c r="I97" i="1"/>
  <c r="I96" i="1"/>
  <c r="I69" i="1"/>
  <c r="I68" i="1"/>
  <c r="I64" i="1"/>
  <c r="I56" i="1"/>
  <c r="I48" i="1"/>
  <c r="I47" i="1"/>
  <c r="I46" i="1"/>
  <c r="I44" i="1"/>
  <c r="I37" i="1"/>
  <c r="I35" i="1"/>
  <c r="I34" i="1"/>
  <c r="I33" i="1"/>
  <c r="I32" i="1"/>
  <c r="I28" i="1"/>
  <c r="I27" i="1"/>
  <c r="I26" i="1"/>
  <c r="I22" i="1"/>
  <c r="I21" i="1"/>
  <c r="I546" i="1"/>
  <c r="H545" i="1"/>
  <c r="I545" i="1" s="1"/>
  <c r="H544" i="1"/>
  <c r="I544" i="1" s="1"/>
  <c r="H543" i="1"/>
  <c r="I543" i="1" s="1"/>
  <c r="H541" i="1"/>
  <c r="I541" i="1" s="1"/>
  <c r="H540" i="1"/>
  <c r="I540" i="1" s="1"/>
  <c r="H70" i="1"/>
  <c r="I70" i="1" s="1"/>
  <c r="H144" i="1"/>
  <c r="H146" i="1" s="1"/>
  <c r="I146" i="1" s="1"/>
  <c r="I139" i="1"/>
  <c r="H135" i="1"/>
  <c r="H142" i="1" s="1"/>
  <c r="I142" i="1" s="1"/>
  <c r="H138" i="1" l="1"/>
  <c r="I138" i="1" s="1"/>
  <c r="H140" i="1"/>
  <c r="I140" i="1" s="1"/>
  <c r="I135" i="1"/>
  <c r="I144" i="1"/>
  <c r="H145" i="1"/>
  <c r="I145" i="1" s="1"/>
  <c r="H137" i="1"/>
  <c r="I137" i="1" s="1"/>
  <c r="H143" i="1"/>
  <c r="I143" i="1" s="1"/>
  <c r="H141" i="1"/>
  <c r="I141" i="1" l="1"/>
  <c r="H538" i="1" l="1"/>
  <c r="I538" i="1" s="1"/>
  <c r="H537" i="1"/>
  <c r="I537" i="1" s="1"/>
  <c r="H536" i="1"/>
  <c r="I536" i="1" s="1"/>
  <c r="H535" i="1"/>
  <c r="I535" i="1" s="1"/>
  <c r="H533" i="1"/>
  <c r="I533" i="1" s="1"/>
  <c r="H532" i="1"/>
  <c r="I532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H514" i="1"/>
  <c r="I514" i="1" s="1"/>
  <c r="H511" i="1"/>
  <c r="H510" i="1"/>
  <c r="I510" i="1" s="1"/>
  <c r="H509" i="1"/>
  <c r="I509" i="1" s="1"/>
  <c r="H499" i="1"/>
  <c r="H496" i="1"/>
  <c r="I496" i="1" s="1"/>
  <c r="H495" i="1"/>
  <c r="I495" i="1" s="1"/>
  <c r="H483" i="1"/>
  <c r="I483" i="1" s="1"/>
  <c r="H487" i="1"/>
  <c r="I487" i="1" s="1"/>
  <c r="H475" i="1"/>
  <c r="I475" i="1" s="1"/>
  <c r="H472" i="1"/>
  <c r="H467" i="1"/>
  <c r="I467" i="1" s="1"/>
  <c r="H464" i="1"/>
  <c r="H460" i="1"/>
  <c r="I460" i="1" s="1"/>
  <c r="H459" i="1"/>
  <c r="I459" i="1" s="1"/>
  <c r="H458" i="1"/>
  <c r="I458" i="1" s="1"/>
  <c r="H457" i="1"/>
  <c r="I457" i="1" s="1"/>
  <c r="H455" i="1"/>
  <c r="I455" i="1" s="1"/>
  <c r="H454" i="1"/>
  <c r="I454" i="1" s="1"/>
  <c r="H452" i="1"/>
  <c r="I452" i="1" s="1"/>
  <c r="I449" i="1"/>
  <c r="I450" i="1"/>
  <c r="H442" i="1"/>
  <c r="I442" i="1" s="1"/>
  <c r="H471" i="1" l="1"/>
  <c r="I471" i="1" s="1"/>
  <c r="I464" i="1"/>
  <c r="H502" i="1"/>
  <c r="I502" i="1" s="1"/>
  <c r="I499" i="1"/>
  <c r="I522" i="1"/>
  <c r="H473" i="1"/>
  <c r="I473" i="1" s="1"/>
  <c r="I472" i="1"/>
  <c r="H518" i="1"/>
  <c r="I518" i="1" s="1"/>
  <c r="I511" i="1"/>
  <c r="H515" i="1"/>
  <c r="I515" i="1" s="1"/>
  <c r="H512" i="1"/>
  <c r="I512" i="1" s="1"/>
  <c r="H513" i="1"/>
  <c r="I513" i="1" s="1"/>
  <c r="H439" i="1"/>
  <c r="I439" i="1" s="1"/>
  <c r="H516" i="1"/>
  <c r="I516" i="1" s="1"/>
  <c r="H517" i="1"/>
  <c r="I517" i="1" s="1"/>
  <c r="H505" i="1"/>
  <c r="I505" i="1" s="1"/>
  <c r="H504" i="1"/>
  <c r="I504" i="1" s="1"/>
  <c r="H507" i="1"/>
  <c r="I507" i="1" s="1"/>
  <c r="H508" i="1"/>
  <c r="I508" i="1" s="1"/>
  <c r="H500" i="1"/>
  <c r="I500" i="1" s="1"/>
  <c r="H501" i="1"/>
  <c r="I501" i="1" s="1"/>
  <c r="H490" i="1"/>
  <c r="I490" i="1" s="1"/>
  <c r="H491" i="1"/>
  <c r="I491" i="1" s="1"/>
  <c r="H493" i="1"/>
  <c r="I493" i="1" s="1"/>
  <c r="H494" i="1"/>
  <c r="I494" i="1" s="1"/>
  <c r="H481" i="1"/>
  <c r="I481" i="1" s="1"/>
  <c r="H482" i="1"/>
  <c r="I482" i="1" s="1"/>
  <c r="H484" i="1"/>
  <c r="I484" i="1" s="1"/>
  <c r="H485" i="1"/>
  <c r="I485" i="1" s="1"/>
  <c r="H486" i="1"/>
  <c r="I486" i="1" s="1"/>
  <c r="H479" i="1"/>
  <c r="I479" i="1" s="1"/>
  <c r="H476" i="1"/>
  <c r="I476" i="1" s="1"/>
  <c r="H478" i="1"/>
  <c r="I478" i="1" s="1"/>
  <c r="H474" i="1"/>
  <c r="I474" i="1" s="1"/>
  <c r="H477" i="1"/>
  <c r="I477" i="1" s="1"/>
  <c r="H468" i="1"/>
  <c r="I468" i="1" s="1"/>
  <c r="H466" i="1"/>
  <c r="I466" i="1" s="1"/>
  <c r="H469" i="1"/>
  <c r="I469" i="1" s="1"/>
  <c r="H465" i="1"/>
  <c r="I465" i="1" s="1"/>
  <c r="H470" i="1"/>
  <c r="I470" i="1" s="1"/>
  <c r="H440" i="1"/>
  <c r="I440" i="1" s="1"/>
  <c r="H441" i="1"/>
  <c r="I441" i="1" s="1"/>
  <c r="H436" i="1"/>
  <c r="I436" i="1" s="1"/>
  <c r="H437" i="1"/>
  <c r="I437" i="1" s="1"/>
  <c r="H434" i="1" l="1"/>
  <c r="I434" i="1" s="1"/>
  <c r="H429" i="1"/>
  <c r="I429" i="1" s="1"/>
  <c r="H426" i="1"/>
  <c r="G417" i="1"/>
  <c r="I417" i="1" s="1"/>
  <c r="H425" i="1"/>
  <c r="I425" i="1" s="1"/>
  <c r="H424" i="1"/>
  <c r="I424" i="1" s="1"/>
  <c r="G413" i="1"/>
  <c r="I413" i="1" s="1"/>
  <c r="H106" i="1"/>
  <c r="I106" i="1" s="1"/>
  <c r="G409" i="1"/>
  <c r="I409" i="1" s="1"/>
  <c r="H406" i="1"/>
  <c r="G402" i="1"/>
  <c r="I402" i="1" s="1"/>
  <c r="G401" i="1"/>
  <c r="I401" i="1" s="1"/>
  <c r="G400" i="1"/>
  <c r="I400" i="1" s="1"/>
  <c r="H399" i="1"/>
  <c r="I399" i="1" s="1"/>
  <c r="H397" i="1"/>
  <c r="I397" i="1" s="1"/>
  <c r="H392" i="1"/>
  <c r="I392" i="1" s="1"/>
  <c r="H396" i="1"/>
  <c r="I396" i="1" s="1"/>
  <c r="H395" i="1"/>
  <c r="I395" i="1" s="1"/>
  <c r="H394" i="1"/>
  <c r="I394" i="1" s="1"/>
  <c r="H393" i="1"/>
  <c r="I393" i="1" s="1"/>
  <c r="H391" i="1"/>
  <c r="I391" i="1" s="1"/>
  <c r="H390" i="1"/>
  <c r="I390" i="1" s="1"/>
  <c r="H388" i="1"/>
  <c r="I388" i="1" s="1"/>
  <c r="H385" i="1"/>
  <c r="I385" i="1" s="1"/>
  <c r="H383" i="1"/>
  <c r="I383" i="1" s="1"/>
  <c r="H387" i="1"/>
  <c r="I387" i="1" s="1"/>
  <c r="H380" i="1"/>
  <c r="I380" i="1" s="1"/>
  <c r="H376" i="1"/>
  <c r="I376" i="1" s="1"/>
  <c r="H379" i="1"/>
  <c r="I379" i="1" s="1"/>
  <c r="H378" i="1"/>
  <c r="I378" i="1" s="1"/>
  <c r="H377" i="1"/>
  <c r="I377" i="1" s="1"/>
  <c r="H374" i="1"/>
  <c r="I374" i="1" s="1"/>
  <c r="H373" i="1"/>
  <c r="I373" i="1" s="1"/>
  <c r="H372" i="1"/>
  <c r="I372" i="1" s="1"/>
  <c r="H370" i="1"/>
  <c r="I370" i="1" s="1"/>
  <c r="H367" i="1"/>
  <c r="H364" i="1"/>
  <c r="I364" i="1" s="1"/>
  <c r="H366" i="1"/>
  <c r="I366" i="1" s="1"/>
  <c r="H360" i="1"/>
  <c r="H358" i="1"/>
  <c r="I358" i="1" s="1"/>
  <c r="H357" i="1"/>
  <c r="I357" i="1" s="1"/>
  <c r="H356" i="1"/>
  <c r="I356" i="1" s="1"/>
  <c r="H355" i="1"/>
  <c r="I355" i="1" s="1"/>
  <c r="H369" i="1" l="1"/>
  <c r="I369" i="1" s="1"/>
  <c r="I367" i="1"/>
  <c r="H362" i="1"/>
  <c r="I362" i="1" s="1"/>
  <c r="I360" i="1"/>
  <c r="H433" i="1"/>
  <c r="I433" i="1" s="1"/>
  <c r="I426" i="1"/>
  <c r="H408" i="1"/>
  <c r="I408" i="1" s="1"/>
  <c r="I406" i="1"/>
  <c r="H423" i="1"/>
  <c r="I423" i="1" s="1"/>
  <c r="H430" i="1"/>
  <c r="I430" i="1" s="1"/>
  <c r="H431" i="1"/>
  <c r="I431" i="1" s="1"/>
  <c r="H427" i="1"/>
  <c r="I427" i="1" s="1"/>
  <c r="H432" i="1"/>
  <c r="I432" i="1" s="1"/>
  <c r="H428" i="1"/>
  <c r="I428" i="1" s="1"/>
  <c r="H419" i="1"/>
  <c r="I419" i="1" s="1"/>
  <c r="H420" i="1"/>
  <c r="I420" i="1" s="1"/>
  <c r="H422" i="1"/>
  <c r="I422" i="1" s="1"/>
  <c r="H407" i="1"/>
  <c r="I407" i="1" s="1"/>
  <c r="H382" i="1"/>
  <c r="I382" i="1" s="1"/>
  <c r="H386" i="1"/>
  <c r="I386" i="1" s="1"/>
  <c r="H368" i="1"/>
  <c r="I368" i="1" s="1"/>
  <c r="H361" i="1"/>
  <c r="H365" i="1"/>
  <c r="I365" i="1" s="1"/>
  <c r="I361" i="1" l="1"/>
  <c r="J362" i="1" s="1"/>
  <c r="G351" i="1" l="1"/>
  <c r="G347" i="1"/>
  <c r="G346" i="1"/>
  <c r="I346" i="1" s="1"/>
  <c r="G342" i="1"/>
  <c r="H338" i="1"/>
  <c r="I338" i="1" s="1"/>
  <c r="H331" i="1"/>
  <c r="H334" i="1"/>
  <c r="I334" i="1" s="1"/>
  <c r="H330" i="1"/>
  <c r="I330" i="1" s="1"/>
  <c r="H329" i="1"/>
  <c r="I329" i="1" s="1"/>
  <c r="H324" i="1"/>
  <c r="I324" i="1" s="1"/>
  <c r="H321" i="1"/>
  <c r="H316" i="1"/>
  <c r="I316" i="1" s="1"/>
  <c r="H313" i="1"/>
  <c r="I313" i="1" s="1"/>
  <c r="G353" i="1" l="1"/>
  <c r="I353" i="1" s="1"/>
  <c r="I351" i="1"/>
  <c r="G343" i="1"/>
  <c r="I343" i="1" s="1"/>
  <c r="I342" i="1"/>
  <c r="H326" i="1"/>
  <c r="I326" i="1" s="1"/>
  <c r="I321" i="1"/>
  <c r="G350" i="1"/>
  <c r="I350" i="1" s="1"/>
  <c r="I347" i="1"/>
  <c r="H337" i="1"/>
  <c r="I337" i="1" s="1"/>
  <c r="I331" i="1"/>
  <c r="H339" i="1"/>
  <c r="I339" i="1" s="1"/>
  <c r="H340" i="1"/>
  <c r="I340" i="1" s="1"/>
  <c r="H341" i="1"/>
  <c r="I341" i="1" s="1"/>
  <c r="G354" i="1"/>
  <c r="I354" i="1" s="1"/>
  <c r="G352" i="1"/>
  <c r="G348" i="1"/>
  <c r="I348" i="1" s="1"/>
  <c r="G349" i="1"/>
  <c r="I349" i="1" s="1"/>
  <c r="G345" i="1"/>
  <c r="I345" i="1" s="1"/>
  <c r="G344" i="1"/>
  <c r="I344" i="1" s="1"/>
  <c r="H336" i="1"/>
  <c r="I336" i="1" s="1"/>
  <c r="H333" i="1"/>
  <c r="I333" i="1" s="1"/>
  <c r="H335" i="1"/>
  <c r="I335" i="1" s="1"/>
  <c r="H332" i="1"/>
  <c r="I332" i="1" s="1"/>
  <c r="H328" i="1"/>
  <c r="I328" i="1" s="1"/>
  <c r="H322" i="1"/>
  <c r="I322" i="1" s="1"/>
  <c r="H323" i="1"/>
  <c r="I323" i="1" s="1"/>
  <c r="H327" i="1"/>
  <c r="I327" i="1" s="1"/>
  <c r="H325" i="1"/>
  <c r="I325" i="1" s="1"/>
  <c r="I352" i="1" l="1"/>
  <c r="H320" i="1"/>
  <c r="I320" i="1" s="1"/>
  <c r="H319" i="1"/>
  <c r="I319" i="1" s="1"/>
  <c r="H318" i="1"/>
  <c r="I318" i="1" s="1"/>
  <c r="H317" i="1"/>
  <c r="I317" i="1" s="1"/>
  <c r="H315" i="1"/>
  <c r="I315" i="1" s="1"/>
  <c r="H305" i="1"/>
  <c r="I305" i="1" s="1"/>
  <c r="H302" i="1"/>
  <c r="H304" i="1" s="1"/>
  <c r="I304" i="1" s="1"/>
  <c r="H300" i="1"/>
  <c r="I300" i="1" s="1"/>
  <c r="H303" i="1" l="1"/>
  <c r="I303" i="1" s="1"/>
  <c r="H309" i="1"/>
  <c r="I309" i="1" s="1"/>
  <c r="I302" i="1"/>
  <c r="H306" i="1"/>
  <c r="I306" i="1" s="1"/>
  <c r="H314" i="1"/>
  <c r="H308" i="1"/>
  <c r="I308" i="1" s="1"/>
  <c r="H307" i="1"/>
  <c r="I307" i="1" s="1"/>
  <c r="H294" i="1"/>
  <c r="I294" i="1" s="1"/>
  <c r="H295" i="1"/>
  <c r="I295" i="1" s="1"/>
  <c r="H297" i="1"/>
  <c r="I297" i="1" s="1"/>
  <c r="H298" i="1"/>
  <c r="I298" i="1" s="1"/>
  <c r="H299" i="1"/>
  <c r="I299" i="1" s="1"/>
  <c r="I314" i="1" l="1"/>
  <c r="H134" i="1" l="1"/>
  <c r="I134" i="1" s="1"/>
  <c r="H133" i="1"/>
  <c r="I133" i="1" s="1"/>
  <c r="H132" i="1"/>
  <c r="I132" i="1" s="1"/>
  <c r="H131" i="1"/>
  <c r="I131" i="1" s="1"/>
  <c r="H129" i="1"/>
  <c r="I129" i="1" s="1"/>
  <c r="H128" i="1"/>
  <c r="I128" i="1" s="1"/>
  <c r="H272" i="1"/>
  <c r="I272" i="1" s="1"/>
  <c r="H269" i="1" l="1"/>
  <c r="I269" i="1" s="1"/>
  <c r="H267" i="1"/>
  <c r="I267" i="1" s="1"/>
  <c r="H268" i="1"/>
  <c r="I268" i="1" s="1"/>
  <c r="H264" i="1" l="1"/>
  <c r="I264" i="1" s="1"/>
  <c r="H255" i="1"/>
  <c r="I255" i="1" s="1"/>
  <c r="H258" i="1"/>
  <c r="I258" i="1" s="1"/>
  <c r="H262" i="1" l="1"/>
  <c r="I262" i="1" s="1"/>
  <c r="H203" i="1"/>
  <c r="I203" i="1" s="1"/>
  <c r="H211" i="1"/>
  <c r="I211" i="1" s="1"/>
  <c r="H235" i="1"/>
  <c r="I235" i="1" s="1"/>
  <c r="H260" i="1" l="1"/>
  <c r="I260" i="1" s="1"/>
  <c r="H256" i="1"/>
  <c r="I256" i="1" s="1"/>
  <c r="H257" i="1"/>
  <c r="I257" i="1" s="1"/>
  <c r="H261" i="1"/>
  <c r="I261" i="1" s="1"/>
  <c r="H259" i="1"/>
  <c r="I259" i="1" s="1"/>
  <c r="H245" i="1" l="1"/>
  <c r="I245" i="1" s="1"/>
  <c r="H242" i="1"/>
  <c r="I242" i="1" s="1"/>
  <c r="H243" i="1" l="1"/>
  <c r="I243" i="1" s="1"/>
  <c r="H249" i="1"/>
  <c r="I249" i="1" s="1"/>
  <c r="H246" i="1"/>
  <c r="I246" i="1" s="1"/>
  <c r="H244" i="1"/>
  <c r="I244" i="1" s="1"/>
  <c r="H247" i="1"/>
  <c r="I247" i="1" s="1"/>
  <c r="H248" i="1"/>
  <c r="I248" i="1" s="1"/>
  <c r="H241" i="1"/>
  <c r="I241" i="1" s="1"/>
  <c r="H240" i="1"/>
  <c r="I240" i="1" s="1"/>
  <c r="H239" i="1"/>
  <c r="I239" i="1" s="1"/>
  <c r="H238" i="1"/>
  <c r="I238" i="1" s="1"/>
  <c r="H236" i="1"/>
  <c r="I236" i="1" s="1"/>
  <c r="H229" i="1"/>
  <c r="I229" i="1" s="1"/>
  <c r="H226" i="1"/>
  <c r="H221" i="1"/>
  <c r="I221" i="1" s="1"/>
  <c r="H227" i="1" l="1"/>
  <c r="I227" i="1" s="1"/>
  <c r="I226" i="1"/>
  <c r="H232" i="1"/>
  <c r="I232" i="1" s="1"/>
  <c r="H231" i="1"/>
  <c r="I231" i="1" s="1"/>
  <c r="H233" i="1"/>
  <c r="I233" i="1" s="1"/>
  <c r="H228" i="1"/>
  <c r="I228" i="1" s="1"/>
  <c r="H230" i="1"/>
  <c r="I230" i="1" s="1"/>
  <c r="H218" i="1" l="1"/>
  <c r="I218" i="1" s="1"/>
  <c r="H219" i="1" l="1"/>
  <c r="I219" i="1" s="1"/>
  <c r="H225" i="1"/>
  <c r="I225" i="1" s="1"/>
  <c r="H224" i="1"/>
  <c r="I224" i="1" s="1"/>
  <c r="H223" i="1"/>
  <c r="I223" i="1" s="1"/>
  <c r="H222" i="1"/>
  <c r="I222" i="1" s="1"/>
  <c r="H220" i="1"/>
  <c r="I220" i="1" s="1"/>
  <c r="H217" i="1" l="1"/>
  <c r="I217" i="1" s="1"/>
  <c r="H216" i="1"/>
  <c r="I216" i="1" s="1"/>
  <c r="H215" i="1"/>
  <c r="I215" i="1" s="1"/>
  <c r="H214" i="1"/>
  <c r="I214" i="1" s="1"/>
  <c r="H212" i="1"/>
  <c r="I212" i="1" s="1"/>
  <c r="H209" i="1"/>
  <c r="I209" i="1" s="1"/>
  <c r="H208" i="1"/>
  <c r="I208" i="1" s="1"/>
  <c r="H206" i="1"/>
  <c r="I206" i="1" s="1"/>
  <c r="H207" i="1"/>
  <c r="I207" i="1" s="1"/>
  <c r="H204" i="1" l="1"/>
  <c r="I204" i="1" l="1"/>
  <c r="H198" i="1"/>
  <c r="H196" i="1"/>
  <c r="I196" i="1" s="1"/>
  <c r="H200" i="1" l="1"/>
  <c r="I200" i="1" s="1"/>
  <c r="I198" i="1"/>
  <c r="H199" i="1"/>
  <c r="I199" i="1" s="1"/>
  <c r="H190" i="1"/>
  <c r="I190" i="1" s="1"/>
  <c r="H187" i="1"/>
  <c r="I187" i="1" s="1"/>
  <c r="H188" i="1" l="1"/>
  <c r="I188" i="1" s="1"/>
  <c r="H194" i="1"/>
  <c r="I194" i="1" s="1"/>
  <c r="H193" i="1"/>
  <c r="I193" i="1" s="1"/>
  <c r="H192" i="1"/>
  <c r="I192" i="1" s="1"/>
  <c r="H191" i="1"/>
  <c r="I191" i="1" s="1"/>
  <c r="H189" i="1"/>
  <c r="I189" i="1" s="1"/>
  <c r="G182" i="1" l="1"/>
  <c r="I182" i="1" s="1"/>
  <c r="G179" i="1"/>
  <c r="I179" i="1" s="1"/>
  <c r="G174" i="1"/>
  <c r="I174" i="1" s="1"/>
  <c r="G171" i="1"/>
  <c r="G172" i="1" l="1"/>
  <c r="I172" i="1" s="1"/>
  <c r="I171" i="1"/>
  <c r="G185" i="1"/>
  <c r="I185" i="1" s="1"/>
  <c r="G180" i="1"/>
  <c r="I180" i="1" s="1"/>
  <c r="G184" i="1"/>
  <c r="I184" i="1" s="1"/>
  <c r="G186" i="1"/>
  <c r="I186" i="1" s="1"/>
  <c r="G181" i="1"/>
  <c r="I181" i="1" s="1"/>
  <c r="G183" i="1"/>
  <c r="I183" i="1" s="1"/>
  <c r="G177" i="1"/>
  <c r="I177" i="1" s="1"/>
  <c r="G176" i="1"/>
  <c r="I176" i="1" s="1"/>
  <c r="G173" i="1"/>
  <c r="I173" i="1" s="1"/>
  <c r="G178" i="1"/>
  <c r="I178" i="1" s="1"/>
  <c r="G175" i="1"/>
  <c r="I175" i="1" s="1"/>
  <c r="H147" i="1"/>
  <c r="H150" i="1"/>
  <c r="I150" i="1" s="1"/>
  <c r="H121" i="1"/>
  <c r="H118" i="1"/>
  <c r="I118" i="1" s="1"/>
  <c r="H117" i="1"/>
  <c r="I117" i="1" s="1"/>
  <c r="H108" i="1"/>
  <c r="I108" i="1" s="1"/>
  <c r="H105" i="1"/>
  <c r="I105" i="1" s="1"/>
  <c r="H103" i="1"/>
  <c r="I103" i="1" s="1"/>
  <c r="H102" i="1"/>
  <c r="I102" i="1" s="1"/>
  <c r="H100" i="1"/>
  <c r="I100" i="1" s="1"/>
  <c r="H99" i="1"/>
  <c r="I99" i="1" s="1"/>
  <c r="H98" i="1"/>
  <c r="I98" i="1" s="1"/>
  <c r="G92" i="1"/>
  <c r="H89" i="1"/>
  <c r="H85" i="1"/>
  <c r="H81" i="1"/>
  <c r="H88" i="1"/>
  <c r="I88" i="1" s="1"/>
  <c r="H84" i="1"/>
  <c r="I84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153" i="1" l="1"/>
  <c r="I153" i="1" s="1"/>
  <c r="I147" i="1"/>
  <c r="H123" i="1"/>
  <c r="I123" i="1" s="1"/>
  <c r="I121" i="1"/>
  <c r="H82" i="1"/>
  <c r="I82" i="1" s="1"/>
  <c r="I81" i="1"/>
  <c r="H87" i="1"/>
  <c r="I87" i="1" s="1"/>
  <c r="I85" i="1"/>
  <c r="G95" i="1"/>
  <c r="I95" i="1" s="1"/>
  <c r="I92" i="1"/>
  <c r="H91" i="1"/>
  <c r="I91" i="1" s="1"/>
  <c r="I89" i="1"/>
  <c r="H122" i="1"/>
  <c r="H148" i="1"/>
  <c r="I148" i="1" s="1"/>
  <c r="H151" i="1"/>
  <c r="I151" i="1" s="1"/>
  <c r="H152" i="1"/>
  <c r="I152" i="1" s="1"/>
  <c r="H154" i="1"/>
  <c r="I154" i="1" s="1"/>
  <c r="H149" i="1"/>
  <c r="I149" i="1" s="1"/>
  <c r="H114" i="1"/>
  <c r="I114" i="1" s="1"/>
  <c r="H111" i="1"/>
  <c r="I111" i="1" s="1"/>
  <c r="H116" i="1"/>
  <c r="I116" i="1" s="1"/>
  <c r="H112" i="1"/>
  <c r="I112" i="1" s="1"/>
  <c r="H115" i="1"/>
  <c r="I115" i="1" s="1"/>
  <c r="H83" i="1"/>
  <c r="I83" i="1" s="1"/>
  <c r="H86" i="1"/>
  <c r="I86" i="1" s="1"/>
  <c r="G93" i="1"/>
  <c r="I93" i="1" s="1"/>
  <c r="G94" i="1"/>
  <c r="I94" i="1" s="1"/>
  <c r="H90" i="1"/>
  <c r="I90" i="1" s="1"/>
  <c r="I122" i="1" l="1"/>
  <c r="H73" i="1"/>
  <c r="I73" i="1" s="1"/>
  <c r="H72" i="1"/>
  <c r="I72" i="1" s="1"/>
  <c r="H71" i="1"/>
  <c r="I71" i="1" s="1"/>
  <c r="G67" i="1"/>
  <c r="I67" i="1" s="1"/>
  <c r="G66" i="1"/>
  <c r="I66" i="1" s="1"/>
  <c r="G65" i="1"/>
  <c r="I65" i="1" s="1"/>
  <c r="H59" i="1" l="1"/>
  <c r="I59" i="1" s="1"/>
  <c r="H57" i="1"/>
  <c r="I57" i="1" s="1"/>
  <c r="H63" i="1"/>
  <c r="I63" i="1" s="1"/>
  <c r="H62" i="1"/>
  <c r="I62" i="1" s="1"/>
  <c r="H61" i="1"/>
  <c r="I61" i="1" s="1"/>
  <c r="H60" i="1"/>
  <c r="I60" i="1" s="1"/>
  <c r="H58" i="1"/>
  <c r="I58" i="1" s="1"/>
  <c r="H52" i="1"/>
  <c r="I52" i="1" s="1"/>
  <c r="H53" i="1" l="1"/>
  <c r="H55" i="1"/>
  <c r="I55" i="1" s="1"/>
  <c r="G51" i="1"/>
  <c r="I51" i="1" s="1"/>
  <c r="H54" i="1"/>
  <c r="I54" i="1" s="1"/>
  <c r="G49" i="1"/>
  <c r="I49" i="1" s="1"/>
  <c r="G50" i="1"/>
  <c r="I50" i="1" s="1"/>
  <c r="I53" i="1" l="1"/>
  <c r="H549" i="1"/>
  <c r="G40" i="1" l="1"/>
  <c r="I40" i="1" s="1"/>
  <c r="G38" i="1" l="1"/>
  <c r="I38" i="1" s="1"/>
  <c r="G42" i="1"/>
  <c r="I42" i="1" s="1"/>
  <c r="G31" i="1" l="1"/>
  <c r="I31" i="1" s="1"/>
  <c r="G30" i="1"/>
  <c r="I30" i="1" s="1"/>
  <c r="G29" i="1"/>
  <c r="I29" i="1" s="1"/>
  <c r="G25" i="1" l="1"/>
  <c r="I25" i="1" s="1"/>
  <c r="G24" i="1"/>
  <c r="I24" i="1" s="1"/>
  <c r="G23" i="1"/>
  <c r="I23" i="1" s="1"/>
  <c r="N548" i="1" l="1"/>
  <c r="N547" i="1"/>
  <c r="M549" i="1"/>
  <c r="M550" i="1" s="1"/>
  <c r="L550" i="1"/>
  <c r="G18" i="1"/>
  <c r="I18" i="1" s="1"/>
  <c r="G10" i="1"/>
  <c r="I10" i="1" s="1"/>
  <c r="G13" i="1"/>
  <c r="I13" i="1" s="1"/>
  <c r="G20" i="1" l="1"/>
  <c r="I20" i="1" s="1"/>
  <c r="G17" i="1"/>
  <c r="I17" i="1" s="1"/>
  <c r="N550" i="1"/>
  <c r="G19" i="1"/>
  <c r="G14" i="1"/>
  <c r="I14" i="1" s="1"/>
  <c r="G11" i="1"/>
  <c r="I11" i="1" s="1"/>
  <c r="G15" i="1"/>
  <c r="I15" i="1" s="1"/>
  <c r="G16" i="1"/>
  <c r="I16" i="1" s="1"/>
  <c r="G12" i="1"/>
  <c r="I12" i="1" s="1"/>
  <c r="I19" i="1" l="1"/>
  <c r="M552" i="1"/>
  <c r="L552" i="1"/>
  <c r="G41" i="1"/>
  <c r="I41" i="1" s="1"/>
  <c r="G43" i="1"/>
  <c r="I43" i="1" s="1"/>
  <c r="G39" i="1"/>
  <c r="I39" i="1" s="1"/>
  <c r="N552" i="1" l="1"/>
  <c r="G549" i="1"/>
  <c r="I549" i="1" s="1"/>
  <c r="P549" i="1" s="1"/>
</calcChain>
</file>

<file path=xl/sharedStrings.xml><?xml version="1.0" encoding="utf-8"?>
<sst xmlns="http://schemas.openxmlformats.org/spreadsheetml/2006/main" count="1574" uniqueCount="332">
  <si>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</si>
  <si>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</si>
  <si>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</si>
  <si>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</si>
  <si>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</si>
  <si>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</si>
  <si>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</si>
  <si>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</si>
  <si>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</si>
  <si>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</si>
  <si>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</si>
  <si>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</si>
  <si>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Total allocation </t>
  </si>
  <si>
    <t>ARP ESSER BUDGET NARRATIVE FORM</t>
  </si>
  <si>
    <t>ARP ESSER Lump Sum DOE 101</t>
  </si>
  <si>
    <t>TAPS Number 
22A-175</t>
  </si>
  <si>
    <t xml:space="preserve">Amount for 80% allocation </t>
  </si>
  <si>
    <t>1A</t>
  </si>
  <si>
    <t>Retirement @ 10.82% - Tier I (Intervention Teachers)</t>
  </si>
  <si>
    <t>FICA @ 7.65% - Tier I (Intervention Teachers)</t>
  </si>
  <si>
    <t>Workers Comp @ .35% -Tier I (Intervention Teachers)</t>
  </si>
  <si>
    <t>Unemployment Compensation @.013% Tier I (Intervention Teachers)</t>
  </si>
  <si>
    <t>Other Benefits @2.412% Tier I (Intervention Teachers)</t>
  </si>
  <si>
    <t>Tier 1 Intervention Teachers - to provide direct support to lowest performing students.  2 years - 2021-22 and 2022-23 - Avg. Sal. $50,492</t>
  </si>
  <si>
    <t>Health Insurance @$9,300 Per Full Time Employee  Tier I (Intervention Teachers)</t>
  </si>
  <si>
    <t>Life Insurance @ .0706%</t>
  </si>
  <si>
    <t>1B</t>
  </si>
  <si>
    <t>Tutors during the day - to work with Tier II and III students. 29 hrs/week X 75 tutors X 28 weeks X 2 years.  Avg. Salary $13,398</t>
  </si>
  <si>
    <t>FICA @ 7.65% - Tutors during the day</t>
  </si>
  <si>
    <t>district</t>
  </si>
  <si>
    <t>charter</t>
  </si>
  <si>
    <t>total</t>
  </si>
  <si>
    <t>IC 5%</t>
  </si>
  <si>
    <t>Amount for 20% allocation  - $110,303,243</t>
  </si>
  <si>
    <t>1C</t>
  </si>
  <si>
    <t>Retirement @ 10.82% - tutors/coordinators</t>
  </si>
  <si>
    <t>FICA @ 7.65% - Tutors/coordinators</t>
  </si>
  <si>
    <t>Workers Comp @ .35% -Tutors/coordinators</t>
  </si>
  <si>
    <t xml:space="preserve">A) Orange/480_______________
     Name of Eligible Recipient </t>
  </si>
  <si>
    <t>1M</t>
  </si>
  <si>
    <t>FICA @ 7.65%</t>
  </si>
  <si>
    <t xml:space="preserve">Workers Comp. .35% </t>
  </si>
  <si>
    <t>1D</t>
  </si>
  <si>
    <t>Coordinator - 1 per school X up to 8 hrs/month X 100 schools X $22/hr. X 2 years</t>
  </si>
  <si>
    <t>Retirement @ 10.82%</t>
  </si>
  <si>
    <t>Cogni Tutor - SAT/ACT concordant test prep - 10 sessions of 15 hrs. - $2,400 per school x 22 schools X 2 years</t>
  </si>
  <si>
    <t>1E</t>
  </si>
  <si>
    <t xml:space="preserve">Salaries Paraprofessionals - ESE Summer extended learning - all schools 4 weeks in June - 6 hours per day - 3 per school X premium pay $20/hr. </t>
  </si>
  <si>
    <t>Workers Comp .35%</t>
  </si>
  <si>
    <t>2E</t>
  </si>
  <si>
    <t>Salaries - Summer extended learning - all schools 4 weeks in June - 7 hours per day - approximately 125 schools X up to 6 teachers X avg. sal. $37/hour X 28 hours/week X 4 weeks - 2022-24 school years</t>
  </si>
  <si>
    <t>Summer transportation - 2022-24 school years</t>
  </si>
  <si>
    <t>Contracted Services - substitute teachers and paras as needed for summer coverage - avg. teacher $155/day avg. para $85 per day</t>
  </si>
  <si>
    <t xml:space="preserve">Summer - Contracted School Resource Officers </t>
  </si>
  <si>
    <t>1F</t>
  </si>
  <si>
    <t>1G</t>
  </si>
  <si>
    <t xml:space="preserve"> </t>
  </si>
  <si>
    <t>Additional volunteer summer planning days - teachers to collaboratively across teams review data and plan for differentiated instruction - Approx. 12,300 instructional teachers x 6 hours X 5 days X $25/hour.  2 summers</t>
  </si>
  <si>
    <t>1H</t>
  </si>
  <si>
    <t>Retirement @ 10.82% -</t>
  </si>
  <si>
    <t xml:space="preserve">FICA @ 7.65% - </t>
  </si>
  <si>
    <t xml:space="preserve">Workers Comp @ .35% </t>
  </si>
  <si>
    <t xml:space="preserve">Unemployment Compensation @.013% </t>
  </si>
  <si>
    <t xml:space="preserve">Other Benefits @2.412% </t>
  </si>
  <si>
    <t>1I</t>
  </si>
  <si>
    <t>Home Visits - Teams of staff to provide community outreach and home visits with students who are chronically absent or failing courses - to make the home to school connection - 20 schools X 30 hours per month X 8 X $25/hr. x 2 years</t>
  </si>
  <si>
    <t>1J</t>
  </si>
  <si>
    <t>Classroom Libraries - Secondary Intensive reading - 167 classes X $3000 per class</t>
  </si>
  <si>
    <t>1K</t>
  </si>
  <si>
    <t>Early Literacy - K-2 Book rooms for new schools  - $40,000 per school - 2022 - 4 new schools, 2023 3 new schools - 7 X $40,000</t>
  </si>
  <si>
    <t>1L</t>
  </si>
  <si>
    <t>2A</t>
  </si>
  <si>
    <t>High School - Musical, Theatre and Art equipment and supplies  $31,000 per HS X 22</t>
  </si>
  <si>
    <t>Middle  School - Musical, Theatre and Art equipment and supplies  $13,154 per MS X 39</t>
  </si>
  <si>
    <t>Elementary  School - Musical, Theatre and Art equipment and supplies  $3,365 per Elem X 127</t>
  </si>
  <si>
    <t>K-8 School - Musical, Theatre and Art equipment and supplies  $9,500 per MS  X 9</t>
  </si>
  <si>
    <t>A</t>
  </si>
  <si>
    <t>B</t>
  </si>
  <si>
    <t>Literacy and Social Studies Content Kits - 254 Kdg. Kits @ $900 each, 1,270 1st-5th grade kits @ $1000 each</t>
  </si>
  <si>
    <t>C</t>
  </si>
  <si>
    <t>AIM institute  - Instructional - Pathways to Structure Literacy 2 cohorts - 60 instructional staff X $791 pp course fee</t>
  </si>
  <si>
    <t>AIM institute  - Instructional - Pathways to Proficient Reading - 2 cohorts - 510 instructional staff X $625 pp course fee</t>
  </si>
  <si>
    <t>AIM institute  - Instructional AIM First Step Bundles- 2 cohorts - 500 instructional staff X $249 pp - online course</t>
  </si>
  <si>
    <t>AIM Institute - Pathways - 510 staff X 40 hours outside of contract day to complete course X $20 per hour</t>
  </si>
  <si>
    <t>AIM institute  - Instructional - Pathways to Structure Literacy 60 staff X 25 hours to complete course outside of contract day X $20/hr.</t>
  </si>
  <si>
    <t>AIM institute  - Instructional -First Step Bundles - 500 staff X 20 hours to complete course outside of contract day X $20/hr.</t>
  </si>
  <si>
    <t>AIM institute  - Administrators - Pathways to Literacy Leadership - 2 cohorts - 120 admin. X $625 pp course fee</t>
  </si>
  <si>
    <t>Workers Comp @ .35% -Tutors during the day</t>
  </si>
  <si>
    <t>Tutors before/after, Saturday or during spring break camps - 75 schools X Avg. 4 staff - before/after 4 hours per week x 20 weeks x 4 staff =320 hours X 75 schools = 24,000 hours X $30 per hr. -- Saturdays 10 X 4 hours X 4 staff X 50 schools - 8,000 hours X $45/hr. --spring break camps 12 hours X 5 staff X 25 schools - 1,500 hours X $30/hr. - 2021-22 and 2022-23 school year</t>
  </si>
  <si>
    <t>Coordinator - 1 per school for before/after/Saturday or spring break camps -  $22/hr. X approx. 200 hours X 110 schools x 2 yrs.</t>
  </si>
  <si>
    <t>Virtual Tutors - College students to provide online tutoring in math or reading - 2022-24 school years - $22/hr. - may be utilized  in up to 100+ schools with 135 tutors</t>
  </si>
  <si>
    <t xml:space="preserve">Mastery Prep - SAT/ACT concordant test prep - 24 instructional hours $100 per student </t>
  </si>
  <si>
    <t>MAO Acceleration teachers - District teachers to provide school support for tutoring using the Acceleration model. Avg. Salary $52,500 X 2 plus 4 weeks in summer x 2 years</t>
  </si>
  <si>
    <t>Summer - Algebra Acceleration Camps - 2-3 teachers per HS  - total 45 X 4 days X 5 hours X 4 weeks X $40/hr. x 2 years</t>
  </si>
  <si>
    <t>D</t>
  </si>
  <si>
    <t>E</t>
  </si>
  <si>
    <t>Facilitators - PD for 6/12 Instructional personnel aligned to FL BEST standards ELS - 20 facilitators 2 hrs. planning x $25/hr. = $1,000 - 20 facilitators  12 hrs. x $35 = $8,400</t>
  </si>
  <si>
    <t>Participants - 1000 teachers X 12 hrs. X $20/hr.</t>
  </si>
  <si>
    <t>Retirement @ 10.82% - (facilitators only)</t>
  </si>
  <si>
    <t>F</t>
  </si>
  <si>
    <t>IXL Math student site license for Alg. 1/Geo.- $9/student X 39,500 students X 2 years - PD Standard District Success Package $25,000 per year</t>
  </si>
  <si>
    <t>G</t>
  </si>
  <si>
    <t xml:space="preserve">6-12 ELA instructional materials - $10/student X 100,848 </t>
  </si>
  <si>
    <t>H</t>
  </si>
  <si>
    <t>I</t>
  </si>
  <si>
    <t>Printing of Infographics on the importance of chemistry and physics and course progression.  230 bundles @ $300 each</t>
  </si>
  <si>
    <t>J</t>
  </si>
  <si>
    <t xml:space="preserve">K-5 textbook adoption                                                        3-5 ELA textbooks and  Social Studies  2022-23 school year </t>
  </si>
  <si>
    <t>K</t>
  </si>
  <si>
    <t>Reading Plus intervention software for extra hour schools - Reading plus software including PD - 23 schools X $13,500 site license X 2 years</t>
  </si>
  <si>
    <t>L</t>
  </si>
  <si>
    <t xml:space="preserve">PD to practice dashboard to determine engagement, implementation and impact of PD - </t>
  </si>
  <si>
    <t>M</t>
  </si>
  <si>
    <t>Triple P Positive Parenting -distributive leadership model certifying  40 staff per year to become certified trainers - 40 staff X $6,700 x 2 cohorts</t>
  </si>
  <si>
    <t>N</t>
  </si>
  <si>
    <t>Leadership Web Based Dashboard - $100,000 development cost</t>
  </si>
  <si>
    <t>O</t>
  </si>
  <si>
    <t>Health Insurance @$9,2890 Per X 50</t>
  </si>
  <si>
    <t>Workers Comp @ .35% -</t>
  </si>
  <si>
    <t>FICA @ 7.65% -</t>
  </si>
  <si>
    <t xml:space="preserve">Retirement @ 10.82% - </t>
  </si>
  <si>
    <t xml:space="preserve">Health Insurance @$9,289 Per Full Time Employee  </t>
  </si>
  <si>
    <t>P</t>
  </si>
  <si>
    <t>Starbase STEM experience - 5th grade - $600 bus (5 days travel in county) X 200 busses</t>
  </si>
  <si>
    <t>Q</t>
  </si>
  <si>
    <t xml:space="preserve"> EarlyBird - Kdg reading screener - 300 classrooms X 20 students/class X $10/student $60,000, PD $600 per school 60 schools - 2022-24 2 years</t>
  </si>
  <si>
    <t>R</t>
  </si>
  <si>
    <t xml:space="preserve">Orton-Gillingham Summer Institutes - Summer 2022 and 2023 - 125 teachers per institute $300 pp X 2 years x 2 institutes/summer - $150,000 </t>
  </si>
  <si>
    <t>Participants - 125 teachers x 2 institutes/summer x 2 X $20/hr. X 7 hrs x 5 days</t>
  </si>
  <si>
    <t>2B</t>
  </si>
  <si>
    <t>Behavior Specialists  - 42 Behavior Specialist to provide addition behavior supports in highest need schools - 42 X avg. salary $52,500 - 2 years</t>
  </si>
  <si>
    <t>2D</t>
  </si>
  <si>
    <t>2F</t>
  </si>
  <si>
    <t>Algebra 1 teachers - pilot program in 5 highest need high schools based on ALG 1 pass rate - 10 teachers (2 per school) X avg. sal. $52,500 - 2 years</t>
  </si>
  <si>
    <t>ELA 10 teachers  - pilot program in 5 highest need high schools  - 20 teachers (4 per school) X avg. sal. $52,500 - 2 years</t>
  </si>
  <si>
    <t>Media Center collections - to enhance school library collections. Print library books and reference materials - 211 centers X $2500 per center X 2 years</t>
  </si>
  <si>
    <t>Media Center Collections - professional journals and reviews of library materials - ABC CLIO school library connection</t>
  </si>
  <si>
    <t>Media Center summer PD for media specialists - 200 media specialists X 18 hours X $20/hr. x 2 summers</t>
  </si>
  <si>
    <t>Salary - Program Specialist Multilingual (75% of Salary) x 2023-24</t>
  </si>
  <si>
    <t>Salary- Program Specialist ESE High School 2023-24</t>
  </si>
  <si>
    <t>Staffing Specialist - 98 (.5) positions to support ESE students and families - 49 X avg. salary $52,500 X 2 years</t>
  </si>
  <si>
    <t>Staffing Clerks to support ESE students through support in IEP and MTSS meetings.  96 @ avg. $9,680 Jan. 2023 - June 2024</t>
  </si>
  <si>
    <t xml:space="preserve">Salaries - Administrator - Principal on Assignment ESE  </t>
  </si>
  <si>
    <t>Salaries - Resource Teachers ESE (2 positions) - to support teachers of students with disabilities in the  area of behavior and instruction. Avg. salary $52,500 X 2</t>
  </si>
  <si>
    <t>ELLevation platform - a tool to assist in the monitoring and identifying best practices for ELL students.  Platform $833,184, Consultants - QA analyst, Project Manager, Teacher Training - $493,276</t>
  </si>
  <si>
    <t>Instructional Materials -Project Lead the WAY - STEM programming - 249 Vex Kits - $45,500 and 30 schools @ $1653 to replenish and replace PLT curriculum and supplies</t>
  </si>
  <si>
    <t>M, N</t>
  </si>
  <si>
    <t xml:space="preserve">Capitalized Equipment - CTE upgrade to all students access to industry standards equipment - 20 IMAC @ $2327, 2 MacBook Pros @ 2938, 35 high power computers w/monitors @ $3166 and </t>
  </si>
  <si>
    <t>Capitalized Equipment - additional food storage - 7 portable freezers @ $20,000 each</t>
  </si>
  <si>
    <t>District Police - 3 officers to support conflict resolution, de-escalation and community relations.  3 @ avg. salary - $63,898 X 2 years</t>
  </si>
  <si>
    <t>Contract Services - School Resource Officer at Carver MS - $79,000 X 2 years</t>
  </si>
  <si>
    <t>ESE Program Assistants District and School Level (11) 11 X avg. salary $36,000 x 2 years</t>
  </si>
  <si>
    <t>2G</t>
  </si>
  <si>
    <t>DocuSign Software - digital signature software - $250,000 per year x 2</t>
  </si>
  <si>
    <t>Multipurpose passenger vans - due to the pandemic and shortage of drivers - funds to purchase smaller vehicles that can be used for MVP or ESE students and don't recall CDL license - 12 @ $96,585 includes GPS and lifts</t>
  </si>
  <si>
    <t>Rugged tablets - GPS units to update bus routes to reduce the chance of substitute drivers getting lost.</t>
  </si>
  <si>
    <t>2I</t>
  </si>
  <si>
    <t>2J</t>
  </si>
  <si>
    <t>Smart Sheets - collaboration software integrated with SAP- $50k per year X 2 years ($658 per user license)</t>
  </si>
  <si>
    <t>Connect Support - substitutes for Connect support PD - 500 Substitutes X $125/day X 2 cohorts</t>
  </si>
  <si>
    <t>2K</t>
  </si>
  <si>
    <t>Contract Labor - consultants to develop reports for student reporting - 2 years - cost of 4 developers @ $100 per hour - 90 reports</t>
  </si>
  <si>
    <t>Data Center Switches - Cisco switches to connect servers</t>
  </si>
  <si>
    <t xml:space="preserve">Out of Band management network equipment- secure backdoor route for Network Engineers </t>
  </si>
  <si>
    <t>Supplemental Reading software - RAZ plus district license - two years $500,280 per year</t>
  </si>
  <si>
    <t>VPK - teacher laptops - to support teacher PD, parent communication and student assessments - 125 classes X $1,221 each</t>
  </si>
  <si>
    <t>Write Score - comprehensive writing program for K-10 -       Write Score - 3 assessments K-10 - $2,083,725/year X 2</t>
  </si>
  <si>
    <t>Write Score - Core Connections - PD Series -</t>
  </si>
  <si>
    <t>Write score - substitutes Year 1 subs for Grade 3-10 - 3 day training 1,775 teacher X 3 days x $150 per day sub year 1 and 2</t>
  </si>
  <si>
    <t>Additional hours for bus drivers to clean and sanitize busses daily after final run of day including supplies (hand sanitizer dispensers and sanitizer) - 687 routes per day X 180 days X 2 years</t>
  </si>
  <si>
    <t>Impact - Monitoring tool to allow the district to monitor and manage Canvas usage - year one license includes PD on product $235,152, year 2 $231,504</t>
  </si>
  <si>
    <t>Firewall Box Modules - Professional services to help implement and configure 2 firewalls - includes the price of intrusion protection licensing.</t>
  </si>
  <si>
    <t>Multifactor Authentication - DUO MFA solution for staff who use VPN.  Cyber Security- enhanced security when remotely accessing OCPS. $33000 per year x 2 - License fee</t>
  </si>
  <si>
    <t>Supplemental Math - ST Math License - year one pilot 20 schools x $6000 per site, year 2 40 schools X $6000 per site</t>
  </si>
  <si>
    <t>Supplemental Math - Symphony Math K-5 software including PD - year one pilot 20 X $8,00 per site, year two - 40 site X $8,500</t>
  </si>
  <si>
    <t>Phonics Instruction VPK - CAPIT preschool phonics curriculum - 125 Classrooms X $950 X 2 years</t>
  </si>
  <si>
    <t>Study Island - Elementary Science - access for all students grades 3-5 - $160,000 X 2 years</t>
  </si>
  <si>
    <t xml:space="preserve">Study Island - Middle Science - Grades 6-8 district license - $160,000 per year X 2 </t>
  </si>
  <si>
    <t>Salary - Program Specialist Writing - 2 years Avg Salary $65000</t>
  </si>
  <si>
    <t xml:space="preserve">M </t>
  </si>
  <si>
    <t>Title I Crate - Platform for compliance documentation for federal programs - $450 per school X 105 - $47250 X 2 years plus $3000 for training</t>
  </si>
  <si>
    <t>Hot Spots - for student connectivity</t>
  </si>
  <si>
    <t>Imagine Learning - Language Literacy Concepts to teach critical reading and listening comprehensive to EL students - district license $400,000 per year X 2</t>
  </si>
  <si>
    <t xml:space="preserve">Student Device Repair - misc. repair of cracked screens, clogged ports, broken devices as needed </t>
  </si>
  <si>
    <t>S</t>
  </si>
  <si>
    <t>2L</t>
  </si>
  <si>
    <t>Classroom Light Raise equipment and Audio enhancement - refresh for classrooms without or with equipment greater than 10 years old - 2 years to refresh</t>
  </si>
  <si>
    <t>Non Capitalized Computer Hardware - 1 additional device in each 6-12 classroom for student use due to broken, lost, stolen or forgotten at home equipment - approx. 5,700 classrooms</t>
  </si>
  <si>
    <t>Mental Health -to reduce absenteeism and increase attendance for employees - $60,000 per year x 2</t>
  </si>
  <si>
    <t>Mental Health counseling resources - to create a counseling resources.  $2000 per school X 205</t>
  </si>
  <si>
    <t>Social Workers - additional social workers hired to ensure every elementary school support on campus  - 135 Avg. Sal. $52,500 x 2 years</t>
  </si>
  <si>
    <t xml:space="preserve">Social Workers - MS social worker  - 8.5 Avg. Sal. $52,500 </t>
  </si>
  <si>
    <t>2M</t>
  </si>
  <si>
    <t>RLLMC - music tutoring through community partnerships - 200 students X 15 lessons X $25/lesson x 2 years</t>
  </si>
  <si>
    <t>RLLMC - music camp experiences for low income students - $400 per camp X 50 students x 2 summers</t>
  </si>
  <si>
    <t>Salaries - Support Clerk III to support art programs Avg. Salary $20,550 X 2 years</t>
  </si>
  <si>
    <t>Gizmos - Supplemental software grades 3-12 to support math and science content - district site license $750,000/year x 2</t>
  </si>
  <si>
    <t>Non Capitalized Computer Hardware - Technology Refresh - Student devices</t>
  </si>
  <si>
    <t>Threat assessment software - to systemically track threats in a comprehensive manner - $300,000 district license X 2 years</t>
  </si>
  <si>
    <t>SEL counseling groups - supplemental materials and games for student use in therapy  - items will be checked out by itinerant SW - $25,000 per learning community X 5</t>
  </si>
  <si>
    <t>Advanced Study Mentor club - sponsor - 20 weeks X $22/hr. X 22 schools</t>
  </si>
  <si>
    <t>Elementary Science Acceleration camps - 2 teachers per school X 150 schools X $30 per hour X 30 hours X 2 years</t>
  </si>
  <si>
    <t>Science camp materials - 44 students - $500 per classroom X 2 per school X 150 schools X 2 years</t>
  </si>
  <si>
    <t>Summer Core teachers for over age students - 3 teachers per MS X avg. sal. $35/hr. X30 hours X 6 weeks x 7 cluster sites x 2 summers</t>
  </si>
  <si>
    <t>FG</t>
  </si>
  <si>
    <t>Summer Pd -core content and ESE classes for paraprofessionals - 1,800 opportunities x 2 summers - $15/hr. X 3 hours per course</t>
  </si>
  <si>
    <t>Summer PD - core content classes for instructional staff - up to 2050 opportunities x 2 summers - $20/hour X 3 hours course</t>
  </si>
  <si>
    <t>2N</t>
  </si>
  <si>
    <t>i(A)</t>
  </si>
  <si>
    <t>i(B)</t>
  </si>
  <si>
    <t xml:space="preserve"> Progress Monitoring online course- 50 teachers X $20/hr. X 28 hours test development x 2 summers</t>
  </si>
  <si>
    <t>Facility Rental - $500 cay X 30 days X 2 years</t>
  </si>
  <si>
    <t>Assessment Platform for progress monitoring for ELA 9-10, Algebra I and Geometry- vendor to build the platform and support</t>
  </si>
  <si>
    <t>I ©</t>
  </si>
  <si>
    <t>Creating and Revising Progress Monitoring- 56 teachers X $25/hr. X 49 hours test development - $68,600 2 summers</t>
  </si>
  <si>
    <t>Creating and Revising Common Final Exams- 300 teachers X $25/hr. X 14 hours test development - $105,000 X 2 summers and 50 teachers X 28 hours X $25/hr. X 2 summers - $35,000</t>
  </si>
  <si>
    <t>Computer for test development - $733 X 50</t>
  </si>
  <si>
    <t>1(D)</t>
  </si>
  <si>
    <t xml:space="preserve">Program Specialist - Data Evaluation </t>
  </si>
  <si>
    <t>ii(A)</t>
  </si>
  <si>
    <t>ACT NCR school day for Jr/Sr - test fees - 14,149 (grades 11-12) X $35 per test x 2 years</t>
  </si>
  <si>
    <t>ii(B)</t>
  </si>
  <si>
    <t>ii(C)</t>
  </si>
  <si>
    <t>PSAT NMSQT grade 9 school day - 15,279 students X $15/test x 2 years</t>
  </si>
  <si>
    <t>ii(D)</t>
  </si>
  <si>
    <t>Hand2Mind - math mini lessons - K-5th  grade - 1812 X $85</t>
  </si>
  <si>
    <t>ii(E)</t>
  </si>
  <si>
    <t>ii(F)</t>
  </si>
  <si>
    <t>Elementary Math - Ten Frames - 10 frame manipulatives (150 X 6 sets per school) 1000 X 40</t>
  </si>
  <si>
    <t>ii(G)</t>
  </si>
  <si>
    <t xml:space="preserve">SIPPS Kits - elementary 6 per school $750 X 840, secondary - 3 per school $750 X 183 </t>
  </si>
  <si>
    <t>SIPPS high low book sets 1 and 2 - Elementary 6 per school - 840 X $312 and Secondary 3 per school - 183 X $312</t>
  </si>
  <si>
    <t xml:space="preserve">ii(H) </t>
  </si>
  <si>
    <t>Coding and Robotics supplies - QFUSION labs - cubit - 900 X $396, Ozobot 150 X $2999, Lego 150 X $2000</t>
  </si>
  <si>
    <t>PD for teachers to utilize coding and robotic supplies - 600 teachers X $20 X 3 hours</t>
  </si>
  <si>
    <t>ii(I)</t>
  </si>
  <si>
    <t>Science Instructional supplies - Miscellaneous supplies for classroom use  -600 classrooms X approx. $1.250 per class</t>
  </si>
  <si>
    <t>ii(J)</t>
  </si>
  <si>
    <t xml:space="preserve">Numbers World - intervention packages, and student materials </t>
  </si>
  <si>
    <t>AP PREP sessions - 70 sessions X 10 hours X $30/hr. (teacher pay)</t>
  </si>
  <si>
    <t>Assessment Platform  PD - teacher support on using the assessment platform - 375 staff X 6 hrs. X $20/hr. X 2 summers</t>
  </si>
  <si>
    <t>Senior Administrator - Data Strategy - 2 years funding</t>
  </si>
  <si>
    <t>SEL student surveys grades 3-5 - cost to administer and analyze results, provide data analysis and dashboards - $524,900 2023 and 2024 years</t>
  </si>
  <si>
    <t>Elementary Math - CRA -Giant Magnetic Manipulatives - $169 X 1,510</t>
  </si>
  <si>
    <t>ii(K)</t>
  </si>
  <si>
    <t>Reflex Math -district license - $300,000 per year X 2</t>
  </si>
  <si>
    <t>Mental Health Counselor in all schools 205 X $60000 X 2 years</t>
  </si>
  <si>
    <t>ii(L)</t>
  </si>
  <si>
    <t>Reading Plus intervention software for 8th grade - Reading Plus software and PD for 71 MS - $553,800 X 2 years</t>
  </si>
  <si>
    <t>ii(M)</t>
  </si>
  <si>
    <t>ii(N)</t>
  </si>
  <si>
    <t>ii(O)</t>
  </si>
  <si>
    <t>My 1st school books - $14 X 2500 students X 2 years and writing resources - 421 X 125 classrooms</t>
  </si>
  <si>
    <t>ii(P)</t>
  </si>
  <si>
    <t>ProCare Connect - $79 per month site license - X 24 months</t>
  </si>
  <si>
    <t>ii(Q)</t>
  </si>
  <si>
    <t>ii(R)</t>
  </si>
  <si>
    <t>Multisensory Instructional kits - 10 kits per school X 150 schools X $310/kit</t>
  </si>
  <si>
    <t>ii(S)</t>
  </si>
  <si>
    <t>Salary - 2 Sr. Administrator - Corrective Programs - to provide direct support to schools - 2 years funding</t>
  </si>
  <si>
    <t>ii(T)</t>
  </si>
  <si>
    <t>ii(U)</t>
  </si>
  <si>
    <t>2O</t>
  </si>
  <si>
    <t>Bipolar ionization retrofitting 750 older HVAC</t>
  </si>
  <si>
    <t>2P</t>
  </si>
  <si>
    <t>Water Bottle Filling Station Filters</t>
  </si>
  <si>
    <t>HVAC - Merv filters</t>
  </si>
  <si>
    <t>2R</t>
  </si>
  <si>
    <t>Premium Pay  Retention Bonus to Instructional staff based on longevity - 14,298 staff - 2022, 2023, 2024</t>
  </si>
  <si>
    <t>Premium Pay  Retention Bonus to Classified staff based on longevity - 7,616 staff - 2022,2023,2024</t>
  </si>
  <si>
    <t>Scribbles - online platform and training for electronic cum folders</t>
  </si>
  <si>
    <t>Program Evaluation of ESSER projects - 10-12 project ESSER funded projects $125,000 per evaluation x 2 years</t>
  </si>
  <si>
    <t>Program Specialist - Media $65000 per year X 2</t>
  </si>
  <si>
    <t>Personnel Exit Survey $33,000</t>
  </si>
  <si>
    <t>iCIMS Text Recruit Text to apply software = $4,000 to set up - $60,000 X 2 years</t>
  </si>
  <si>
    <t>Guidance Counselors (8) - in K-8 schools - avg. sal. $52,500</t>
  </si>
  <si>
    <t>Additional Assistant Principals in targeted elementary schools  (20) - avg sal. $103.000</t>
  </si>
  <si>
    <t>2 Warehouse Staff members - avg. salary $35K</t>
  </si>
  <si>
    <t xml:space="preserve">LPN - contracted or OCPS nursing services </t>
  </si>
  <si>
    <t xml:space="preserve">Manager Safety and Security - </t>
  </si>
  <si>
    <t xml:space="preserve">PPE Supplies and Signage - </t>
  </si>
  <si>
    <t>Custodial Temp Labor - due to staffing shortage - contract labor for cleaning</t>
  </si>
  <si>
    <t>Additional volunteer planning days 1 per quarter - teachers to collaboratively across teams review data and plan for differentiated instruction - Approx. 12,300 instructional teachers x 6 hours X 5 days X $25/hour.  2 summers</t>
  </si>
  <si>
    <t>Q,R</t>
  </si>
  <si>
    <t>Student Services - staff to support parents - enrollment and Family Empowerment Scholarships - Avg. Sal. $30,000 X 2 X 2 years</t>
  </si>
  <si>
    <t>2S</t>
  </si>
  <si>
    <t>Finance Specialist - to support ESSER expenditures and reports charter schools</t>
  </si>
  <si>
    <t>Finance Specialist - to support ESSER expenditures and reports (2) avg. sal. $35,000 X 2</t>
  </si>
  <si>
    <t>Sr. Manager - to support financial support of ESSER initiatives</t>
  </si>
  <si>
    <t>Business Analyst - to support district dashboard and financial reporting - 2 years</t>
  </si>
  <si>
    <t>Reimbursement to district trust 2022 and 2023</t>
  </si>
  <si>
    <t>CTE Classroom tech Technology - Rentals for PD and student conferences</t>
  </si>
  <si>
    <t>Salary - Project Lead the way CORE Training for 119 (22 high schools, 35 middle schools &amp; 7 K-8's) Middle and High School district wide during summer days/extended employment @ 100% of salary during June 2022. average cost $960/ teacher</t>
  </si>
  <si>
    <t>Retirement @ .1082 (calculated $114,240)</t>
  </si>
  <si>
    <t>FICA @ .0765  (calculated $114,240)</t>
  </si>
  <si>
    <t>Worker's Compensation @ .0035 (calculated $114,240)</t>
  </si>
  <si>
    <t>PLTW - Other purchased services - University of Florida coaching services and curriculum PD for Artificial Intelligence Program</t>
  </si>
  <si>
    <t>Non-Capitalized Computer Hardware – To purchase sixty Monitors (60x$300) for University High School</t>
  </si>
  <si>
    <t>all</t>
  </si>
  <si>
    <t>After hours PD for paraprofessional in reading and math - 3 hour session x 4 sessions  X 100 staff X $15/hr. X 2 years</t>
  </si>
  <si>
    <t>Salaries - ESE Summer extended learning - all schools 4 weeks in June - 7 hours per day - approximately 35 schools  up to 6 teachers X avg. sal. $37/hr. X 28 hrs./week X 4 weeks - 2022-24 school years</t>
  </si>
  <si>
    <t>Salaries Paraprofessionals  - Summer extended learning - all schools 4 weeks in June -125 x 7 hours per day - avg. $15/hr.</t>
  </si>
  <si>
    <t>Additional summer days - Social workers - to provide support with summer learning - 200 X 10 days X avg. $225 per day x 2 years</t>
  </si>
  <si>
    <t>Summer Geometry/Alg. I Acceleration for rising 7th grades - 6 hrs. X 4 days X 7 weeks X $40/hr. X 50 teachers (1 per MS) x 2 years</t>
  </si>
  <si>
    <t xml:space="preserve"> all</t>
  </si>
  <si>
    <t xml:space="preserve">Charter plans/final budgets will be submitted to district office for final approval for use of funds in accordance with applicable federal requirements.  </t>
  </si>
  <si>
    <t>Administrative Secretary - to support ESSER admin. Team - Avg. Salary $36,000 X 2 years</t>
  </si>
  <si>
    <t>PLTW Stem Program Technology Rentals - to purchase online curriculum and simulations for New Artificial Intelligence program</t>
  </si>
  <si>
    <t>Capitalized Computer Hardware - To purchase industry state of the Art computers for Artificial Intelligence program at University High School (30X$5,000)</t>
  </si>
  <si>
    <t>School Specialty - SPIRE Decodable Readers Complete Class Sets A &amp; B (6 copies of each title) - 6 class sets per school 1st-3rd grade - 18 sets per school - 2700 sets X $1,930/set</t>
  </si>
  <si>
    <t>My Heggerty Curriculum Support - K (2 year subscription) 2,100 X $39.99, primary (2 year subscription) 4,200 X $39.99, Grades 3-5 (2 year subscription) 2,700 X $19.99</t>
  </si>
  <si>
    <t>Albert.io platform for select high schools offering AP coursework - $14,400 per year x 9 x 2</t>
  </si>
  <si>
    <t>Retro commissioning HVAC on campuses with weighted age between 5 and 10 years</t>
  </si>
  <si>
    <t>Project Manager - to map out projects and collect data for ROI - 2 years</t>
  </si>
  <si>
    <t>Transportation for tutoring - Before school/after/Saturday/Spring break camps - OCPS busses - $50/hr. 2 hour minimum - 2 years</t>
  </si>
  <si>
    <t>Bilingual lab paraprofessionals for each K-8  and MS to support course recovery. $17,358 X 50 x 2 years</t>
  </si>
  <si>
    <t>Salary - Paraprofessionals for K-5- 125 X avg. Salary $9,800 X 2 years</t>
  </si>
  <si>
    <t>Salaries - Four (4) Technology Teachers @ 100% of salary to work summer days/extended employment for an average of ten (10) days each during June 2022 and 2023.</t>
  </si>
  <si>
    <t xml:space="preserve">Retirement @ .1082 </t>
  </si>
  <si>
    <t xml:space="preserve">FICA @ .0765  </t>
  </si>
  <si>
    <t xml:space="preserve">Worker's Compensation @ .0035 </t>
  </si>
  <si>
    <t>Extended Contract days - School Staffing Specialist and ESOL  compliance - avg. rate $35/hr. X 6 hrs. X 8 days X 300 employees x 2 summers</t>
  </si>
  <si>
    <t>Extended Contract days - District Staffing Specialist and ESOL  compliance - avg. rate $35/hr. X 7 hrs. X 15 days X 50 employees x 2 summers</t>
  </si>
  <si>
    <t>Employee Wellness - classes for employees to reduce stress and provide mental health - classes such as Yoga, Breathing techniques, stress relievers - 25,000 employees X 2 classes X $15 per class x 2 years</t>
  </si>
  <si>
    <t>Salary - Program Specialist Writing - MTSS and Support facilitation team - (2 new) Avg. Sal. $65000 x 10 x 2 years</t>
  </si>
  <si>
    <t>OCVS Edgenuity staff - 10 @ avg. sal. $52,500 2022 and 2023</t>
  </si>
  <si>
    <t>Virtual Job Platform - online district wide recruiting x 2 years</t>
  </si>
  <si>
    <t xml:space="preserve">Salaries - Resource Teachers  STO  - to support teachers in targeted schools . Avg. salary $52,500 </t>
  </si>
  <si>
    <t>Salary - Paraprofessionals for Secondary grades reading 6-9 - 60 X avg. Salary $9,800 X 2 years</t>
  </si>
  <si>
    <t>Summer materials/manipulative for all students - 2 summers</t>
  </si>
  <si>
    <t>CFE online course- 50 teachers X $20/hr. X 28 hours test development x 2 summers</t>
  </si>
  <si>
    <t>District Indirect Cost 4.77% (district - admin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</si>
</sst>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\ [$€-1];[Red]\-#,##0\ [$€-1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1" xfId="0" applyNumberFormat="1" applyFill="1" applyBorder="1" applyAlignment="1">
      <alignment horizontal="left" vertical="top" wrapText="1"/>
    </xf>
    <xf numFmtId="44" fontId="10" fillId="0" borderId="1" xfId="1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44" fontId="2" fillId="0" borderId="1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/>
    <xf numFmtId="44" fontId="0" fillId="0" borderId="1" xfId="1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left" vertical="top" wrapText="1"/>
    </xf>
    <xf numFmtId="44" fontId="0" fillId="0" borderId="1" xfId="0" applyNumberFormat="1" applyFill="1" applyBorder="1" applyAlignment="1">
      <alignment horizontal="left" vertical="top"/>
    </xf>
    <xf numFmtId="44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4" fontId="0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44" fontId="1" fillId="0" borderId="1" xfId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7" fillId="0" borderId="1" xfId="0" applyNumberFormat="1" applyFont="1" applyFill="1" applyBorder="1"/>
    <xf numFmtId="44" fontId="0" fillId="0" borderId="1" xfId="1" applyFont="1" applyFill="1" applyBorder="1" applyAlignment="1">
      <alignment horizontal="center" vertical="top"/>
    </xf>
    <xf numFmtId="0" fontId="7" fillId="0" borderId="1" xfId="0" applyFont="1" applyFill="1" applyBorder="1"/>
    <xf numFmtId="44" fontId="0" fillId="0" borderId="1" xfId="1" applyFont="1" applyFill="1" applyBorder="1"/>
    <xf numFmtId="44" fontId="8" fillId="0" borderId="1" xfId="1" applyFont="1" applyFill="1" applyBorder="1"/>
    <xf numFmtId="44" fontId="8" fillId="0" borderId="1" xfId="0" applyNumberFormat="1" applyFont="1" applyFill="1" applyBorder="1"/>
    <xf numFmtId="44" fontId="9" fillId="0" borderId="1" xfId="0" applyNumberFormat="1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right"/>
    </xf>
    <xf numFmtId="44" fontId="6" fillId="0" borderId="1" xfId="1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vertical="top"/>
    </xf>
    <xf numFmtId="44" fontId="0" fillId="3" borderId="1" xfId="0" applyNumberFormat="1" applyFill="1" applyBorder="1" applyAlignment="1">
      <alignment horizontal="left" vertical="top"/>
    </xf>
    <xf numFmtId="44" fontId="0" fillId="3" borderId="1" xfId="1" applyFont="1" applyFill="1" applyBorder="1" applyAlignment="1">
      <alignment horizontal="left" vertical="top"/>
    </xf>
    <xf numFmtId="0" fontId="0" fillId="0" borderId="3" xfId="0" applyFill="1" applyBorder="1"/>
    <xf numFmtId="0" fontId="0" fillId="0" borderId="2" xfId="0" applyFill="1" applyBorder="1"/>
    <xf numFmtId="0" fontId="0" fillId="0" borderId="0" xfId="0" applyFill="1" applyBorder="1"/>
    <xf numFmtId="44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44" fontId="0" fillId="0" borderId="7" xfId="0" applyNumberFormat="1" applyFill="1" applyBorder="1"/>
    <xf numFmtId="44" fontId="0" fillId="0" borderId="8" xfId="0" applyNumberFormat="1" applyFill="1" applyBorder="1"/>
    <xf numFmtId="0" fontId="0" fillId="0" borderId="9" xfId="0" applyFill="1" applyBorder="1"/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550</xdr:row>
      <xdr:rowOff>1077</xdr:rowOff>
    </xdr:from>
    <xdr:to>
      <xdr:col>8</xdr:col>
      <xdr:colOff>950594</xdr:colOff>
      <xdr:row>552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555"/>
  <sheetViews>
    <sheetView tabSelected="1" topLeftCell="A7" workbookViewId="0">
      <selection activeCell="I9" sqref="I9"/>
    </sheetView>
  </sheetViews>
  <sheetFormatPr baseColWidth="10" defaultColWidth="9.1640625" defaultRowHeight="52.5" customHeight="1" x14ac:dyDescent="0.2"/>
  <cols>
    <col min="1" max="1" width="8.6640625" style="10" bestFit="1" customWidth="1"/>
    <col min="2" max="2" width="7.1640625" style="10" customWidth="1"/>
    <col min="3" max="3" width="10.1640625" style="10" customWidth="1"/>
    <col min="4" max="4" width="9.6640625" style="10" customWidth="1"/>
    <col min="5" max="5" width="42.6640625" style="10" customWidth="1"/>
    <col min="6" max="6" width="8.1640625" style="10" bestFit="1" customWidth="1"/>
    <col min="7" max="7" width="21.5" style="4" customWidth="1"/>
    <col min="8" max="8" width="21.5" style="11" customWidth="1"/>
    <col min="9" max="9" width="21.5" style="12" customWidth="1"/>
    <col min="10" max="10" width="16.33203125" style="51" bestFit="1" customWidth="1"/>
    <col min="11" max="13" width="16.33203125" style="48" bestFit="1" customWidth="1"/>
    <col min="14" max="14" width="22.1640625" style="48" customWidth="1"/>
    <col min="15" max="15" width="8.5" style="48" customWidth="1"/>
    <col min="16" max="16" width="19.33203125" style="48" customWidth="1"/>
    <col min="17" max="18" width="9.1640625" style="48"/>
    <col min="19" max="16384" width="9.1640625" style="10"/>
  </cols>
  <sheetData>
    <row r="1" spans="1:12" ht="52.5" customHeight="1" x14ac:dyDescent="0.2">
      <c r="A1" s="57" t="s">
        <v>38</v>
      </c>
      <c r="B1" s="58"/>
      <c r="C1" s="58"/>
      <c r="D1" s="58"/>
      <c r="H1" s="59" t="s">
        <v>15</v>
      </c>
      <c r="I1" s="60"/>
      <c r="J1" s="45"/>
      <c r="K1" s="46"/>
      <c r="L1" s="46"/>
    </row>
    <row r="2" spans="1:12" ht="52.5" customHeight="1" x14ac:dyDescent="0.2">
      <c r="A2" s="58"/>
      <c r="B2" s="58"/>
      <c r="C2" s="58"/>
      <c r="D2" s="58"/>
      <c r="H2" s="60"/>
      <c r="I2" s="60"/>
      <c r="J2" s="45"/>
      <c r="K2" s="46"/>
      <c r="L2" s="46"/>
    </row>
    <row r="3" spans="1:12" ht="52.5" customHeight="1" x14ac:dyDescent="0.2">
      <c r="A3" s="57" t="s">
        <v>8</v>
      </c>
      <c r="B3" s="58"/>
      <c r="C3" s="58"/>
      <c r="D3" s="58"/>
      <c r="H3" s="60"/>
      <c r="I3" s="60"/>
      <c r="J3" s="45"/>
      <c r="K3" s="46"/>
      <c r="L3" s="46"/>
    </row>
    <row r="4" spans="1:12" ht="52.5" customHeight="1" x14ac:dyDescent="0.2">
      <c r="A4" s="58"/>
      <c r="B4" s="58"/>
      <c r="C4" s="58"/>
      <c r="D4" s="58"/>
      <c r="J4" s="45"/>
      <c r="K4" s="46"/>
      <c r="L4" s="46"/>
    </row>
    <row r="5" spans="1:12" ht="52.5" customHeight="1" x14ac:dyDescent="0.2">
      <c r="J5" s="45"/>
      <c r="K5" s="46"/>
      <c r="L5" s="46"/>
    </row>
    <row r="6" spans="1:12" ht="52.5" customHeight="1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45"/>
      <c r="K6" s="46"/>
      <c r="L6" s="46"/>
    </row>
    <row r="7" spans="1:12" ht="52.5" customHeight="1" x14ac:dyDescent="0.25">
      <c r="A7" s="63" t="s">
        <v>13</v>
      </c>
      <c r="B7" s="63"/>
      <c r="C7" s="63"/>
      <c r="D7" s="63"/>
      <c r="E7" s="63"/>
      <c r="F7" s="63"/>
      <c r="G7" s="63"/>
      <c r="H7" s="63"/>
      <c r="I7" s="63"/>
      <c r="J7" s="45"/>
      <c r="K7" s="46"/>
      <c r="L7" s="46"/>
    </row>
    <row r="8" spans="1:12" ht="52.5" customHeight="1" x14ac:dyDescent="0.2">
      <c r="J8" s="45"/>
      <c r="K8" s="46"/>
      <c r="L8" s="46"/>
    </row>
    <row r="9" spans="1:12" ht="52.5" customHeight="1" x14ac:dyDescent="0.2">
      <c r="A9" s="13" t="s">
        <v>0</v>
      </c>
      <c r="B9" s="13" t="s">
        <v>1</v>
      </c>
      <c r="C9" s="14" t="s">
        <v>9</v>
      </c>
      <c r="D9" s="14" t="s">
        <v>10</v>
      </c>
      <c r="E9" s="13" t="s">
        <v>2</v>
      </c>
      <c r="F9" s="14" t="s">
        <v>4</v>
      </c>
      <c r="G9" s="15" t="s">
        <v>33</v>
      </c>
      <c r="H9" s="8" t="s">
        <v>16</v>
      </c>
      <c r="I9" s="7" t="s">
        <v>12</v>
      </c>
      <c r="J9" s="45"/>
      <c r="K9" s="46"/>
      <c r="L9" s="46"/>
    </row>
    <row r="10" spans="1:12" ht="52.5" customHeight="1" x14ac:dyDescent="0.2">
      <c r="A10" s="3">
        <v>5100</v>
      </c>
      <c r="B10" s="3">
        <v>130</v>
      </c>
      <c r="C10" s="3" t="s">
        <v>39</v>
      </c>
      <c r="D10" s="3">
        <v>1</v>
      </c>
      <c r="E10" s="1" t="s">
        <v>23</v>
      </c>
      <c r="F10" s="3">
        <v>560</v>
      </c>
      <c r="G10" s="4">
        <f>SUM(560*50492*2)</f>
        <v>56551040</v>
      </c>
      <c r="I10" s="16">
        <f>SUM(G10:H10)</f>
        <v>56551040</v>
      </c>
      <c r="J10" s="45"/>
      <c r="K10" s="46"/>
      <c r="L10" s="46"/>
    </row>
    <row r="11" spans="1:12" ht="52.5" customHeight="1" x14ac:dyDescent="0.2">
      <c r="A11" s="3">
        <v>5100</v>
      </c>
      <c r="B11" s="3">
        <v>210</v>
      </c>
      <c r="C11" s="3" t="s">
        <v>39</v>
      </c>
      <c r="D11" s="3">
        <v>1</v>
      </c>
      <c r="E11" s="1" t="s">
        <v>18</v>
      </c>
      <c r="F11" s="3"/>
      <c r="G11" s="4">
        <f>SUM(G10*0.1082)</f>
        <v>6118822.5279999999</v>
      </c>
      <c r="I11" s="16">
        <f t="shared" ref="I11:I75" si="0">SUM(G11:H11)</f>
        <v>6118822.5279999999</v>
      </c>
      <c r="J11" s="45"/>
      <c r="K11" s="46"/>
      <c r="L11" s="46"/>
    </row>
    <row r="12" spans="1:12" ht="52.5" customHeight="1" x14ac:dyDescent="0.2">
      <c r="A12" s="3">
        <v>5100</v>
      </c>
      <c r="B12" s="3">
        <v>220</v>
      </c>
      <c r="C12" s="3" t="s">
        <v>39</v>
      </c>
      <c r="D12" s="3">
        <v>1</v>
      </c>
      <c r="E12" s="1" t="s">
        <v>19</v>
      </c>
      <c r="F12" s="3"/>
      <c r="G12" s="4">
        <f>SUM(G10*0.0765)</f>
        <v>4326154.5599999996</v>
      </c>
      <c r="I12" s="16">
        <f t="shared" si="0"/>
        <v>4326154.5599999996</v>
      </c>
      <c r="J12" s="45"/>
      <c r="K12" s="46"/>
      <c r="L12" s="46"/>
    </row>
    <row r="13" spans="1:12" ht="52.5" customHeight="1" x14ac:dyDescent="0.2">
      <c r="A13" s="3">
        <v>5100</v>
      </c>
      <c r="B13" s="3">
        <v>230</v>
      </c>
      <c r="C13" s="3" t="s">
        <v>39</v>
      </c>
      <c r="D13" s="3">
        <v>1</v>
      </c>
      <c r="E13" s="1" t="s">
        <v>24</v>
      </c>
      <c r="F13" s="3"/>
      <c r="G13" s="4">
        <f>SUM(9300*56*2)</f>
        <v>1041600</v>
      </c>
      <c r="I13" s="16">
        <f t="shared" si="0"/>
        <v>1041600</v>
      </c>
      <c r="J13" s="45"/>
      <c r="K13" s="46"/>
      <c r="L13" s="46"/>
    </row>
    <row r="14" spans="1:12" ht="52.5" customHeight="1" x14ac:dyDescent="0.2">
      <c r="A14" s="3">
        <v>5100</v>
      </c>
      <c r="B14" s="3">
        <v>231</v>
      </c>
      <c r="C14" s="3" t="s">
        <v>39</v>
      </c>
      <c r="D14" s="3">
        <v>1</v>
      </c>
      <c r="E14" s="1" t="s">
        <v>25</v>
      </c>
      <c r="F14" s="3"/>
      <c r="G14" s="4">
        <f>SUM(G10*0.0706%)</f>
        <v>39925.034239999994</v>
      </c>
      <c r="I14" s="16">
        <f t="shared" si="0"/>
        <v>39925.034239999994</v>
      </c>
      <c r="J14" s="45"/>
      <c r="K14" s="46"/>
      <c r="L14" s="46"/>
    </row>
    <row r="15" spans="1:12" ht="52.5" customHeight="1" x14ac:dyDescent="0.2">
      <c r="A15" s="3">
        <v>5100</v>
      </c>
      <c r="B15" s="3">
        <v>240</v>
      </c>
      <c r="C15" s="3" t="s">
        <v>39</v>
      </c>
      <c r="D15" s="3">
        <v>1</v>
      </c>
      <c r="E15" s="1" t="s">
        <v>20</v>
      </c>
      <c r="F15" s="3"/>
      <c r="G15" s="4">
        <f>SUM(G10*0.35%)</f>
        <v>197928.63999999998</v>
      </c>
      <c r="I15" s="16">
        <f t="shared" si="0"/>
        <v>197928.63999999998</v>
      </c>
      <c r="J15" s="49"/>
      <c r="K15" s="50"/>
      <c r="L15" s="50"/>
    </row>
    <row r="16" spans="1:12" ht="52.5" customHeight="1" x14ac:dyDescent="0.2">
      <c r="A16" s="3">
        <v>5100</v>
      </c>
      <c r="B16" s="3">
        <v>250</v>
      </c>
      <c r="C16" s="3" t="s">
        <v>39</v>
      </c>
      <c r="D16" s="3">
        <v>1</v>
      </c>
      <c r="E16" s="1" t="s">
        <v>21</v>
      </c>
      <c r="F16" s="3"/>
      <c r="G16" s="4">
        <f>SUM(G10*0.013%)</f>
        <v>7351.6351999999997</v>
      </c>
      <c r="I16" s="16">
        <f t="shared" si="0"/>
        <v>7351.6351999999997</v>
      </c>
    </row>
    <row r="17" spans="1:10" ht="52.5" customHeight="1" x14ac:dyDescent="0.2">
      <c r="A17" s="3">
        <v>5100</v>
      </c>
      <c r="B17" s="3">
        <v>290</v>
      </c>
      <c r="C17" s="3" t="s">
        <v>39</v>
      </c>
      <c r="D17" s="3">
        <v>1</v>
      </c>
      <c r="E17" s="1" t="s">
        <v>22</v>
      </c>
      <c r="F17" s="3"/>
      <c r="G17" s="4">
        <f>SUM(G10*2.412%)</f>
        <v>1364011.0847999998</v>
      </c>
      <c r="I17" s="16">
        <f t="shared" si="0"/>
        <v>1364011.0847999998</v>
      </c>
      <c r="J17" s="52"/>
    </row>
    <row r="18" spans="1:10" ht="52.5" customHeight="1" x14ac:dyDescent="0.2">
      <c r="A18" s="3">
        <v>5100</v>
      </c>
      <c r="B18" s="3">
        <v>754</v>
      </c>
      <c r="C18" s="3" t="s">
        <v>17</v>
      </c>
      <c r="D18" s="3">
        <v>1</v>
      </c>
      <c r="E18" s="1" t="s">
        <v>27</v>
      </c>
      <c r="F18" s="3">
        <v>75</v>
      </c>
      <c r="G18" s="4">
        <f>SUM(13398*75*2)</f>
        <v>2009700</v>
      </c>
      <c r="I18" s="16">
        <f t="shared" si="0"/>
        <v>2009700</v>
      </c>
    </row>
    <row r="19" spans="1:10" ht="52.5" customHeight="1" x14ac:dyDescent="0.2">
      <c r="A19" s="3">
        <v>5100</v>
      </c>
      <c r="B19" s="3">
        <v>220</v>
      </c>
      <c r="C19" s="3" t="s">
        <v>17</v>
      </c>
      <c r="D19" s="3">
        <v>1</v>
      </c>
      <c r="E19" s="1" t="s">
        <v>28</v>
      </c>
      <c r="F19" s="3"/>
      <c r="G19" s="4">
        <f>SUM(G18*0.0765)</f>
        <v>153742.04999999999</v>
      </c>
      <c r="I19" s="16">
        <f t="shared" si="0"/>
        <v>153742.04999999999</v>
      </c>
    </row>
    <row r="20" spans="1:10" ht="52.5" customHeight="1" x14ac:dyDescent="0.2">
      <c r="A20" s="3">
        <v>5100</v>
      </c>
      <c r="B20" s="3">
        <v>240</v>
      </c>
      <c r="C20" s="3" t="s">
        <v>17</v>
      </c>
      <c r="D20" s="3">
        <v>1</v>
      </c>
      <c r="E20" s="1" t="s">
        <v>87</v>
      </c>
      <c r="F20" s="3"/>
      <c r="G20" s="4">
        <f>SUM(G18*0.35%)</f>
        <v>7033.9499999999989</v>
      </c>
      <c r="I20" s="16">
        <f t="shared" si="0"/>
        <v>7033.9499999999989</v>
      </c>
      <c r="J20" s="52"/>
    </row>
    <row r="21" spans="1:10" ht="52.5" customHeight="1" x14ac:dyDescent="0.2">
      <c r="A21" s="3">
        <v>5900</v>
      </c>
      <c r="B21" s="3">
        <v>124</v>
      </c>
      <c r="C21" s="3" t="s">
        <v>26</v>
      </c>
      <c r="D21" s="3">
        <v>1</v>
      </c>
      <c r="E21" s="1" t="s">
        <v>88</v>
      </c>
      <c r="F21" s="3">
        <v>38.9</v>
      </c>
      <c r="G21" s="4">
        <v>2250000</v>
      </c>
      <c r="I21" s="16">
        <f t="shared" si="0"/>
        <v>2250000</v>
      </c>
      <c r="J21" s="52"/>
    </row>
    <row r="22" spans="1:10" ht="52.5" customHeight="1" x14ac:dyDescent="0.2">
      <c r="A22" s="3">
        <v>5900</v>
      </c>
      <c r="B22" s="3">
        <v>134</v>
      </c>
      <c r="C22" s="3" t="s">
        <v>26</v>
      </c>
      <c r="D22" s="3">
        <v>1</v>
      </c>
      <c r="E22" s="1" t="s">
        <v>89</v>
      </c>
      <c r="F22" s="3">
        <v>33.17</v>
      </c>
      <c r="G22" s="4">
        <v>968000</v>
      </c>
      <c r="I22" s="16">
        <f t="shared" si="0"/>
        <v>968000</v>
      </c>
    </row>
    <row r="23" spans="1:10" ht="52.5" customHeight="1" x14ac:dyDescent="0.2">
      <c r="A23" s="3">
        <v>5900</v>
      </c>
      <c r="B23" s="3">
        <v>210</v>
      </c>
      <c r="C23" s="3" t="s">
        <v>26</v>
      </c>
      <c r="D23" s="3">
        <v>1</v>
      </c>
      <c r="E23" s="1" t="s">
        <v>35</v>
      </c>
      <c r="F23" s="3"/>
      <c r="G23" s="4">
        <f>SUM(3218000*0.1082)</f>
        <v>348187.60000000003</v>
      </c>
      <c r="I23" s="16">
        <f t="shared" si="0"/>
        <v>348187.60000000003</v>
      </c>
    </row>
    <row r="24" spans="1:10" ht="52.5" customHeight="1" x14ac:dyDescent="0.2">
      <c r="A24" s="3">
        <v>5900</v>
      </c>
      <c r="B24" s="3">
        <v>220</v>
      </c>
      <c r="C24" s="3" t="s">
        <v>26</v>
      </c>
      <c r="D24" s="3">
        <v>1</v>
      </c>
      <c r="E24" s="1" t="s">
        <v>36</v>
      </c>
      <c r="F24" s="3"/>
      <c r="G24" s="4">
        <f>SUM(3218000*0.0765)</f>
        <v>246177</v>
      </c>
      <c r="I24" s="16">
        <f t="shared" si="0"/>
        <v>246177</v>
      </c>
    </row>
    <row r="25" spans="1:10" ht="52.5" customHeight="1" x14ac:dyDescent="0.2">
      <c r="A25" s="3">
        <v>5900</v>
      </c>
      <c r="B25" s="3">
        <v>240</v>
      </c>
      <c r="C25" s="3" t="s">
        <v>26</v>
      </c>
      <c r="D25" s="3">
        <v>1</v>
      </c>
      <c r="E25" s="1" t="s">
        <v>37</v>
      </c>
      <c r="F25" s="3"/>
      <c r="G25" s="4">
        <f>SUM(3218000*0.35%)</f>
        <v>11262.999999999998</v>
      </c>
      <c r="I25" s="16">
        <f t="shared" si="0"/>
        <v>11262.999999999998</v>
      </c>
      <c r="J25" s="52"/>
    </row>
    <row r="26" spans="1:10" ht="52.5" customHeight="1" x14ac:dyDescent="0.2">
      <c r="A26" s="3">
        <v>7800</v>
      </c>
      <c r="B26" s="3">
        <v>790</v>
      </c>
      <c r="C26" s="3" t="s">
        <v>26</v>
      </c>
      <c r="D26" s="3">
        <v>1</v>
      </c>
      <c r="E26" s="1" t="s">
        <v>314</v>
      </c>
      <c r="F26" s="3"/>
      <c r="G26" s="4">
        <v>2500000</v>
      </c>
      <c r="I26" s="16">
        <f t="shared" si="0"/>
        <v>2500000</v>
      </c>
      <c r="J26" s="52"/>
    </row>
    <row r="27" spans="1:10" ht="52.5" customHeight="1" x14ac:dyDescent="0.2">
      <c r="A27" s="3">
        <v>5900</v>
      </c>
      <c r="B27" s="3">
        <v>754</v>
      </c>
      <c r="C27" s="3" t="s">
        <v>34</v>
      </c>
      <c r="D27" s="3">
        <v>1</v>
      </c>
      <c r="E27" s="1" t="s">
        <v>90</v>
      </c>
      <c r="F27" s="3">
        <v>8.6300000000000008</v>
      </c>
      <c r="G27" s="4">
        <v>550000</v>
      </c>
      <c r="I27" s="16">
        <f t="shared" si="0"/>
        <v>550000</v>
      </c>
    </row>
    <row r="28" spans="1:10" ht="52.5" customHeight="1" x14ac:dyDescent="0.2">
      <c r="A28" s="3">
        <v>5900</v>
      </c>
      <c r="B28" s="3">
        <v>134</v>
      </c>
      <c r="C28" s="3" t="s">
        <v>34</v>
      </c>
      <c r="D28" s="3">
        <v>1</v>
      </c>
      <c r="E28" s="1" t="s">
        <v>43</v>
      </c>
      <c r="F28" s="3">
        <v>5.52</v>
      </c>
      <c r="G28" s="4">
        <v>352000</v>
      </c>
      <c r="I28" s="16">
        <f t="shared" si="0"/>
        <v>352000</v>
      </c>
      <c r="J28" s="52"/>
    </row>
    <row r="29" spans="1:10" ht="52.5" customHeight="1" x14ac:dyDescent="0.2">
      <c r="A29" s="3">
        <v>5900</v>
      </c>
      <c r="B29" s="3">
        <v>210</v>
      </c>
      <c r="C29" s="3" t="s">
        <v>34</v>
      </c>
      <c r="D29" s="3">
        <v>1</v>
      </c>
      <c r="E29" s="1" t="s">
        <v>44</v>
      </c>
      <c r="F29" s="3"/>
      <c r="G29" s="4">
        <f>SUM(G28*0.1082)</f>
        <v>38086.400000000001</v>
      </c>
      <c r="I29" s="16">
        <f t="shared" si="0"/>
        <v>38086.400000000001</v>
      </c>
    </row>
    <row r="30" spans="1:10" ht="52.5" customHeight="1" x14ac:dyDescent="0.2">
      <c r="A30" s="3">
        <v>5900</v>
      </c>
      <c r="B30" s="3">
        <v>220</v>
      </c>
      <c r="C30" s="3" t="s">
        <v>34</v>
      </c>
      <c r="D30" s="3">
        <v>1</v>
      </c>
      <c r="E30" s="18" t="s">
        <v>40</v>
      </c>
      <c r="F30" s="3"/>
      <c r="G30" s="4">
        <f>SUM(902000*0.0765)</f>
        <v>69003</v>
      </c>
      <c r="I30" s="16">
        <f t="shared" si="0"/>
        <v>69003</v>
      </c>
    </row>
    <row r="31" spans="1:10" ht="52.5" customHeight="1" x14ac:dyDescent="0.2">
      <c r="A31" s="3">
        <v>5900</v>
      </c>
      <c r="B31" s="3">
        <v>240</v>
      </c>
      <c r="C31" s="3" t="s">
        <v>34</v>
      </c>
      <c r="D31" s="3">
        <v>1</v>
      </c>
      <c r="E31" s="18" t="s">
        <v>41</v>
      </c>
      <c r="F31" s="3"/>
      <c r="G31" s="4">
        <f>SUM(902000*0.35%)</f>
        <v>3156.9999999999995</v>
      </c>
      <c r="I31" s="16">
        <f t="shared" si="0"/>
        <v>3156.9999999999995</v>
      </c>
      <c r="J31" s="52"/>
    </row>
    <row r="32" spans="1:10" ht="52.5" customHeight="1" x14ac:dyDescent="0.2">
      <c r="A32" s="3">
        <v>5100</v>
      </c>
      <c r="B32" s="3">
        <v>369</v>
      </c>
      <c r="C32" s="3" t="s">
        <v>42</v>
      </c>
      <c r="D32" s="3">
        <v>1</v>
      </c>
      <c r="E32" s="1" t="s">
        <v>91</v>
      </c>
      <c r="F32" s="3"/>
      <c r="G32" s="4">
        <v>214400</v>
      </c>
      <c r="I32" s="16">
        <f t="shared" si="0"/>
        <v>214400</v>
      </c>
      <c r="J32" s="52"/>
    </row>
    <row r="33" spans="1:10" ht="52.5" customHeight="1" x14ac:dyDescent="0.2">
      <c r="A33" s="3">
        <v>5100</v>
      </c>
      <c r="B33" s="3">
        <v>369</v>
      </c>
      <c r="C33" s="3" t="s">
        <v>42</v>
      </c>
      <c r="D33" s="3">
        <v>1</v>
      </c>
      <c r="E33" s="1" t="s">
        <v>45</v>
      </c>
      <c r="F33" s="3"/>
      <c r="G33" s="4">
        <v>105600</v>
      </c>
      <c r="I33" s="16">
        <f t="shared" si="0"/>
        <v>105600</v>
      </c>
      <c r="J33" s="52"/>
    </row>
    <row r="34" spans="1:10" ht="52.5" customHeight="1" x14ac:dyDescent="0.2">
      <c r="A34" s="3">
        <v>5100</v>
      </c>
      <c r="B34" s="3">
        <v>124</v>
      </c>
      <c r="C34" s="3" t="s">
        <v>46</v>
      </c>
      <c r="D34" s="3">
        <v>1</v>
      </c>
      <c r="E34" s="1" t="s">
        <v>50</v>
      </c>
      <c r="F34" s="3"/>
      <c r="G34" s="4">
        <v>6216000</v>
      </c>
      <c r="I34" s="16">
        <f t="shared" si="0"/>
        <v>6216000</v>
      </c>
      <c r="J34" s="52"/>
    </row>
    <row r="35" spans="1:10" ht="52.5" customHeight="1" x14ac:dyDescent="0.2">
      <c r="A35" s="3">
        <v>5200</v>
      </c>
      <c r="B35" s="3">
        <v>124</v>
      </c>
      <c r="C35" s="3" t="s">
        <v>46</v>
      </c>
      <c r="D35" s="3">
        <v>1</v>
      </c>
      <c r="E35" s="1" t="s">
        <v>300</v>
      </c>
      <c r="F35" s="3"/>
      <c r="G35" s="4">
        <v>1740480</v>
      </c>
      <c r="I35" s="16">
        <f t="shared" si="0"/>
        <v>1740480</v>
      </c>
      <c r="J35" s="52"/>
    </row>
    <row r="36" spans="1:10" ht="52.5" customHeight="1" x14ac:dyDescent="0.2">
      <c r="A36" s="3">
        <v>5100</v>
      </c>
      <c r="B36" s="3">
        <v>154</v>
      </c>
      <c r="C36" s="3" t="s">
        <v>46</v>
      </c>
      <c r="D36" s="3">
        <v>1</v>
      </c>
      <c r="E36" s="1" t="s">
        <v>301</v>
      </c>
      <c r="F36" s="3"/>
      <c r="G36" s="4">
        <v>420000</v>
      </c>
      <c r="I36" s="16">
        <f>SUM(G36:H36)</f>
        <v>420000</v>
      </c>
      <c r="J36" s="52"/>
    </row>
    <row r="37" spans="1:10" ht="52.5" customHeight="1" x14ac:dyDescent="0.2">
      <c r="A37" s="3">
        <v>5200</v>
      </c>
      <c r="B37" s="3">
        <v>154</v>
      </c>
      <c r="C37" s="3" t="s">
        <v>46</v>
      </c>
      <c r="D37" s="3">
        <v>1</v>
      </c>
      <c r="E37" s="1" t="s">
        <v>47</v>
      </c>
      <c r="F37" s="3"/>
      <c r="G37" s="4">
        <v>403200</v>
      </c>
      <c r="I37" s="16">
        <f t="shared" si="0"/>
        <v>403200</v>
      </c>
      <c r="J37" s="52"/>
    </row>
    <row r="38" spans="1:10" ht="52.5" customHeight="1" x14ac:dyDescent="0.2">
      <c r="A38" s="3">
        <v>5100</v>
      </c>
      <c r="B38" s="3">
        <v>210</v>
      </c>
      <c r="C38" s="3" t="s">
        <v>46</v>
      </c>
      <c r="D38" s="3">
        <v>1</v>
      </c>
      <c r="E38" s="18" t="s">
        <v>44</v>
      </c>
      <c r="F38" s="3"/>
      <c r="G38" s="4">
        <f>SUM(J34*10.82%)</f>
        <v>0</v>
      </c>
      <c r="I38" s="16">
        <f t="shared" si="0"/>
        <v>0</v>
      </c>
      <c r="J38" s="52"/>
    </row>
    <row r="39" spans="1:10" ht="52.5" customHeight="1" x14ac:dyDescent="0.2">
      <c r="A39" s="3">
        <v>5200</v>
      </c>
      <c r="B39" s="3">
        <v>210</v>
      </c>
      <c r="C39" s="3" t="s">
        <v>46</v>
      </c>
      <c r="D39" s="3">
        <v>1</v>
      </c>
      <c r="E39" s="18" t="s">
        <v>44</v>
      </c>
      <c r="F39" s="3"/>
      <c r="G39" s="4">
        <f>SUM(J35*10.82%)</f>
        <v>0</v>
      </c>
      <c r="I39" s="16">
        <f t="shared" si="0"/>
        <v>0</v>
      </c>
    </row>
    <row r="40" spans="1:10" ht="52.5" customHeight="1" x14ac:dyDescent="0.2">
      <c r="A40" s="3">
        <v>5100</v>
      </c>
      <c r="B40" s="3">
        <v>220</v>
      </c>
      <c r="C40" s="3" t="s">
        <v>46</v>
      </c>
      <c r="D40" s="3">
        <v>1</v>
      </c>
      <c r="E40" s="18" t="s">
        <v>40</v>
      </c>
      <c r="F40" s="3"/>
      <c r="G40" s="4">
        <f>SUM(J34*0.0765)</f>
        <v>0</v>
      </c>
      <c r="I40" s="16">
        <f t="shared" si="0"/>
        <v>0</v>
      </c>
    </row>
    <row r="41" spans="1:10" ht="52.5" customHeight="1" x14ac:dyDescent="0.2">
      <c r="A41" s="3">
        <v>5200</v>
      </c>
      <c r="B41" s="3">
        <v>220</v>
      </c>
      <c r="C41" s="3" t="s">
        <v>46</v>
      </c>
      <c r="D41" s="3">
        <v>1</v>
      </c>
      <c r="E41" s="18" t="s">
        <v>40</v>
      </c>
      <c r="F41" s="3"/>
      <c r="G41" s="4">
        <f>SUM(J35*0.0765)</f>
        <v>0</v>
      </c>
      <c r="I41" s="16">
        <f t="shared" si="0"/>
        <v>0</v>
      </c>
    </row>
    <row r="42" spans="1:10" ht="52.5" customHeight="1" x14ac:dyDescent="0.2">
      <c r="A42" s="3">
        <v>5100</v>
      </c>
      <c r="B42" s="3">
        <v>240</v>
      </c>
      <c r="C42" s="3" t="s">
        <v>46</v>
      </c>
      <c r="D42" s="3">
        <v>1</v>
      </c>
      <c r="E42" s="18" t="s">
        <v>48</v>
      </c>
      <c r="F42" s="3"/>
      <c r="G42" s="4">
        <f>SUM(J34*0.035%)</f>
        <v>0</v>
      </c>
      <c r="I42" s="16">
        <f t="shared" si="0"/>
        <v>0</v>
      </c>
    </row>
    <row r="43" spans="1:10" ht="52.5" customHeight="1" x14ac:dyDescent="0.2">
      <c r="A43" s="3">
        <v>5200</v>
      </c>
      <c r="B43" s="3">
        <v>240</v>
      </c>
      <c r="C43" s="3" t="s">
        <v>46</v>
      </c>
      <c r="D43" s="3">
        <v>1</v>
      </c>
      <c r="E43" s="18" t="s">
        <v>48</v>
      </c>
      <c r="F43" s="3"/>
      <c r="G43" s="4">
        <f>SUM(J35*0.035%)</f>
        <v>0</v>
      </c>
      <c r="I43" s="16">
        <f t="shared" si="0"/>
        <v>0</v>
      </c>
      <c r="J43" s="52"/>
    </row>
    <row r="44" spans="1:10" ht="52.5" customHeight="1" x14ac:dyDescent="0.2">
      <c r="A44" s="3">
        <v>5100</v>
      </c>
      <c r="B44" s="3">
        <v>510</v>
      </c>
      <c r="C44" s="3" t="s">
        <v>46</v>
      </c>
      <c r="D44" s="3">
        <v>1</v>
      </c>
      <c r="E44" s="1" t="s">
        <v>329</v>
      </c>
      <c r="F44" s="3"/>
      <c r="G44" s="4">
        <v>366457.79</v>
      </c>
      <c r="I44" s="16">
        <f t="shared" si="0"/>
        <v>366457.79</v>
      </c>
    </row>
    <row r="45" spans="1:10" ht="52.5" customHeight="1" x14ac:dyDescent="0.2">
      <c r="A45" s="3">
        <v>7800</v>
      </c>
      <c r="B45" s="3">
        <v>790</v>
      </c>
      <c r="C45" s="3" t="s">
        <v>46</v>
      </c>
      <c r="D45" s="3">
        <v>1</v>
      </c>
      <c r="E45" s="18" t="s">
        <v>51</v>
      </c>
      <c r="F45" s="3"/>
      <c r="G45" s="4">
        <v>3500000</v>
      </c>
      <c r="I45" s="16">
        <f>SUM(G45:H45)</f>
        <v>3500000</v>
      </c>
    </row>
    <row r="46" spans="1:10" ht="52.5" customHeight="1" x14ac:dyDescent="0.2">
      <c r="A46" s="3">
        <v>5200</v>
      </c>
      <c r="B46" s="3">
        <v>391</v>
      </c>
      <c r="C46" s="3" t="s">
        <v>46</v>
      </c>
      <c r="D46" s="3">
        <v>1</v>
      </c>
      <c r="E46" s="1" t="s">
        <v>52</v>
      </c>
      <c r="F46" s="3"/>
      <c r="G46" s="4">
        <v>200000</v>
      </c>
      <c r="I46" s="16">
        <f t="shared" si="0"/>
        <v>200000</v>
      </c>
    </row>
    <row r="47" spans="1:10" ht="52.5" customHeight="1" x14ac:dyDescent="0.2">
      <c r="A47" s="3">
        <v>6300</v>
      </c>
      <c r="B47" s="3">
        <v>390</v>
      </c>
      <c r="C47" s="3" t="s">
        <v>46</v>
      </c>
      <c r="D47" s="3">
        <v>1</v>
      </c>
      <c r="E47" s="18" t="s">
        <v>53</v>
      </c>
      <c r="F47" s="3"/>
      <c r="G47" s="4">
        <v>2000000</v>
      </c>
      <c r="I47" s="16">
        <f t="shared" si="0"/>
        <v>2000000</v>
      </c>
    </row>
    <row r="48" spans="1:10" ht="52.5" customHeight="1" x14ac:dyDescent="0.2">
      <c r="A48" s="3">
        <v>5900</v>
      </c>
      <c r="B48" s="3">
        <v>124</v>
      </c>
      <c r="C48" s="3" t="s">
        <v>54</v>
      </c>
      <c r="D48" s="3">
        <v>1</v>
      </c>
      <c r="E48" s="1" t="s">
        <v>93</v>
      </c>
      <c r="F48" s="3">
        <v>2.98</v>
      </c>
      <c r="G48" s="4">
        <v>288000</v>
      </c>
      <c r="I48" s="16">
        <f t="shared" si="0"/>
        <v>288000</v>
      </c>
    </row>
    <row r="49" spans="1:10" ht="52.5" customHeight="1" x14ac:dyDescent="0.2">
      <c r="A49" s="3">
        <v>5900</v>
      </c>
      <c r="B49" s="3">
        <v>210</v>
      </c>
      <c r="C49" s="3" t="s">
        <v>54</v>
      </c>
      <c r="D49" s="3">
        <v>1</v>
      </c>
      <c r="E49" s="18" t="s">
        <v>44</v>
      </c>
      <c r="F49" s="3"/>
      <c r="G49" s="4">
        <f>SUM(G48*10.82%)</f>
        <v>31161.600000000002</v>
      </c>
      <c r="I49" s="16">
        <f t="shared" si="0"/>
        <v>31161.600000000002</v>
      </c>
      <c r="J49" s="52"/>
    </row>
    <row r="50" spans="1:10" ht="52.5" customHeight="1" x14ac:dyDescent="0.2">
      <c r="A50" s="3">
        <v>5900</v>
      </c>
      <c r="B50" s="3">
        <v>220</v>
      </c>
      <c r="C50" s="3" t="s">
        <v>54</v>
      </c>
      <c r="D50" s="3">
        <v>1</v>
      </c>
      <c r="E50" s="18" t="s">
        <v>40</v>
      </c>
      <c r="F50" s="3"/>
      <c r="G50" s="4">
        <f>SUM(G48*0.0765)</f>
        <v>22032</v>
      </c>
      <c r="I50" s="16">
        <f t="shared" si="0"/>
        <v>22032</v>
      </c>
      <c r="J50" s="52"/>
    </row>
    <row r="51" spans="1:10" ht="52.5" customHeight="1" x14ac:dyDescent="0.2">
      <c r="A51" s="3">
        <v>5900</v>
      </c>
      <c r="B51" s="3">
        <v>240</v>
      </c>
      <c r="C51" s="3" t="s">
        <v>54</v>
      </c>
      <c r="D51" s="3">
        <v>1</v>
      </c>
      <c r="E51" s="18" t="s">
        <v>48</v>
      </c>
      <c r="F51" s="3"/>
      <c r="G51" s="4">
        <f>SUM(G48*0.035%)</f>
        <v>100.80000000000001</v>
      </c>
      <c r="I51" s="16">
        <f t="shared" si="0"/>
        <v>100.80000000000001</v>
      </c>
      <c r="J51" s="52"/>
    </row>
    <row r="52" spans="1:10" ht="52.5" customHeight="1" x14ac:dyDescent="0.2">
      <c r="A52" s="3">
        <v>5900</v>
      </c>
      <c r="B52" s="3">
        <v>124</v>
      </c>
      <c r="C52" s="3" t="s">
        <v>55</v>
      </c>
      <c r="D52" s="3">
        <v>1</v>
      </c>
      <c r="E52" s="1" t="s">
        <v>57</v>
      </c>
      <c r="F52" s="3"/>
      <c r="G52" s="4" t="s">
        <v>56</v>
      </c>
      <c r="H52" s="4">
        <f>SUM(12300*6*5*25*2)</f>
        <v>18450000</v>
      </c>
      <c r="I52" s="16">
        <f t="shared" si="0"/>
        <v>18450000</v>
      </c>
      <c r="J52" s="52"/>
    </row>
    <row r="53" spans="1:10" ht="52.5" customHeight="1" x14ac:dyDescent="0.2">
      <c r="A53" s="3">
        <v>5900</v>
      </c>
      <c r="B53" s="3">
        <v>210</v>
      </c>
      <c r="C53" s="3" t="s">
        <v>55</v>
      </c>
      <c r="D53" s="3">
        <v>1</v>
      </c>
      <c r="E53" s="18" t="s">
        <v>44</v>
      </c>
      <c r="F53" s="3"/>
      <c r="H53" s="11">
        <f>SUM(H52*0.1082)</f>
        <v>1996290</v>
      </c>
      <c r="I53" s="16">
        <f t="shared" si="0"/>
        <v>1996290</v>
      </c>
      <c r="J53" s="52"/>
    </row>
    <row r="54" spans="1:10" ht="52.5" customHeight="1" x14ac:dyDescent="0.2">
      <c r="A54" s="3">
        <v>5900</v>
      </c>
      <c r="B54" s="3">
        <v>220</v>
      </c>
      <c r="C54" s="3" t="s">
        <v>55</v>
      </c>
      <c r="D54" s="3">
        <v>1</v>
      </c>
      <c r="E54" s="18" t="s">
        <v>40</v>
      </c>
      <c r="F54" s="3"/>
      <c r="H54" s="11">
        <f>SUM(H52*0.0765)</f>
        <v>1411425</v>
      </c>
      <c r="I54" s="16">
        <f t="shared" si="0"/>
        <v>1411425</v>
      </c>
      <c r="J54" s="52"/>
    </row>
    <row r="55" spans="1:10" ht="52.5" customHeight="1" x14ac:dyDescent="0.2">
      <c r="A55" s="3">
        <v>5900</v>
      </c>
      <c r="B55" s="3">
        <v>240</v>
      </c>
      <c r="C55" s="3" t="s">
        <v>55</v>
      </c>
      <c r="D55" s="3">
        <v>1</v>
      </c>
      <c r="E55" s="18" t="s">
        <v>48</v>
      </c>
      <c r="F55" s="3"/>
      <c r="H55" s="11">
        <f>SUM(H52*0.35%)</f>
        <v>64574.999999999993</v>
      </c>
      <c r="I55" s="16">
        <f t="shared" si="0"/>
        <v>64574.999999999993</v>
      </c>
      <c r="J55" s="52"/>
    </row>
    <row r="56" spans="1:10" ht="52.5" customHeight="1" x14ac:dyDescent="0.2">
      <c r="A56" s="3">
        <v>6400</v>
      </c>
      <c r="B56" s="3">
        <v>130</v>
      </c>
      <c r="C56" s="3" t="s">
        <v>58</v>
      </c>
      <c r="D56" s="3">
        <v>1</v>
      </c>
      <c r="E56" s="1" t="s">
        <v>92</v>
      </c>
      <c r="F56" s="3">
        <v>2</v>
      </c>
      <c r="H56" s="11">
        <v>250560</v>
      </c>
      <c r="I56" s="16">
        <f t="shared" si="0"/>
        <v>250560</v>
      </c>
      <c r="J56" s="52"/>
    </row>
    <row r="57" spans="1:10" ht="52.5" customHeight="1" x14ac:dyDescent="0.2">
      <c r="A57" s="3">
        <v>6400</v>
      </c>
      <c r="B57" s="3">
        <v>210</v>
      </c>
      <c r="C57" s="3" t="s">
        <v>58</v>
      </c>
      <c r="D57" s="3">
        <v>1</v>
      </c>
      <c r="E57" s="19" t="s">
        <v>59</v>
      </c>
      <c r="F57" s="3"/>
      <c r="H57" s="4">
        <f>SUM(H56*0.1082)</f>
        <v>27110.592000000001</v>
      </c>
      <c r="I57" s="16">
        <f t="shared" si="0"/>
        <v>27110.592000000001</v>
      </c>
      <c r="J57" s="52"/>
    </row>
    <row r="58" spans="1:10" ht="52.5" customHeight="1" x14ac:dyDescent="0.2">
      <c r="A58" s="3">
        <v>6400</v>
      </c>
      <c r="B58" s="3">
        <v>220</v>
      </c>
      <c r="C58" s="3" t="s">
        <v>58</v>
      </c>
      <c r="D58" s="3">
        <v>1</v>
      </c>
      <c r="E58" s="1" t="s">
        <v>60</v>
      </c>
      <c r="F58" s="3"/>
      <c r="H58" s="4">
        <f>SUM(H56*0.0765)</f>
        <v>19167.84</v>
      </c>
      <c r="I58" s="16">
        <f t="shared" si="0"/>
        <v>19167.84</v>
      </c>
      <c r="J58" s="52"/>
    </row>
    <row r="59" spans="1:10" ht="52.5" customHeight="1" x14ac:dyDescent="0.2">
      <c r="A59" s="3">
        <v>6400</v>
      </c>
      <c r="B59" s="3">
        <v>230</v>
      </c>
      <c r="C59" s="3" t="s">
        <v>58</v>
      </c>
      <c r="D59" s="3">
        <v>1</v>
      </c>
      <c r="E59" s="1" t="s">
        <v>121</v>
      </c>
      <c r="F59" s="3"/>
      <c r="H59" s="4">
        <f>SUM(9289*2*2)</f>
        <v>37156</v>
      </c>
      <c r="I59" s="16">
        <f t="shared" si="0"/>
        <v>37156</v>
      </c>
      <c r="J59" s="52"/>
    </row>
    <row r="60" spans="1:10" ht="52.5" customHeight="1" x14ac:dyDescent="0.2">
      <c r="A60" s="3">
        <v>6400</v>
      </c>
      <c r="B60" s="3">
        <v>231</v>
      </c>
      <c r="C60" s="3" t="s">
        <v>58</v>
      </c>
      <c r="D60" s="3">
        <v>1</v>
      </c>
      <c r="E60" s="1" t="s">
        <v>25</v>
      </c>
      <c r="F60" s="3"/>
      <c r="H60" s="4">
        <f>SUM(H56*0.0706%)</f>
        <v>176.89535999999998</v>
      </c>
      <c r="I60" s="16">
        <f t="shared" si="0"/>
        <v>176.89535999999998</v>
      </c>
      <c r="J60" s="52"/>
    </row>
    <row r="61" spans="1:10" ht="52.5" customHeight="1" x14ac:dyDescent="0.2">
      <c r="A61" s="3">
        <v>6400</v>
      </c>
      <c r="B61" s="3">
        <v>240</v>
      </c>
      <c r="C61" s="3" t="s">
        <v>58</v>
      </c>
      <c r="D61" s="3">
        <v>1</v>
      </c>
      <c r="E61" s="1" t="s">
        <v>61</v>
      </c>
      <c r="F61" s="3"/>
      <c r="H61" s="4">
        <f>SUM(H56*0.35%)</f>
        <v>876.95999999999992</v>
      </c>
      <c r="I61" s="16">
        <f t="shared" si="0"/>
        <v>876.95999999999992</v>
      </c>
      <c r="J61" s="52"/>
    </row>
    <row r="62" spans="1:10" ht="52.5" customHeight="1" x14ac:dyDescent="0.2">
      <c r="A62" s="3">
        <v>6400</v>
      </c>
      <c r="B62" s="3">
        <v>250</v>
      </c>
      <c r="C62" s="3" t="s">
        <v>58</v>
      </c>
      <c r="D62" s="3">
        <v>1</v>
      </c>
      <c r="E62" s="1" t="s">
        <v>62</v>
      </c>
      <c r="F62" s="3"/>
      <c r="H62" s="4">
        <f>SUM(H56*0.013%)</f>
        <v>32.572799999999994</v>
      </c>
      <c r="I62" s="16">
        <f t="shared" si="0"/>
        <v>32.572799999999994</v>
      </c>
      <c r="J62" s="52"/>
    </row>
    <row r="63" spans="1:10" ht="52.5" customHeight="1" x14ac:dyDescent="0.2">
      <c r="A63" s="3">
        <v>6400</v>
      </c>
      <c r="B63" s="3">
        <v>290</v>
      </c>
      <c r="C63" s="3" t="s">
        <v>58</v>
      </c>
      <c r="D63" s="3">
        <v>1</v>
      </c>
      <c r="E63" s="1" t="s">
        <v>63</v>
      </c>
      <c r="F63" s="3"/>
      <c r="H63" s="4">
        <f>SUM(H56*2.412%)</f>
        <v>6043.5072</v>
      </c>
      <c r="I63" s="16">
        <f t="shared" si="0"/>
        <v>6043.5072</v>
      </c>
      <c r="J63" s="52"/>
    </row>
    <row r="64" spans="1:10" ht="52.5" customHeight="1" x14ac:dyDescent="0.2">
      <c r="A64" s="3">
        <v>5900</v>
      </c>
      <c r="B64" s="3">
        <v>122</v>
      </c>
      <c r="C64" s="3" t="s">
        <v>64</v>
      </c>
      <c r="D64" s="3">
        <v>1</v>
      </c>
      <c r="E64" s="1" t="s">
        <v>65</v>
      </c>
      <c r="F64" s="3">
        <v>3.31</v>
      </c>
      <c r="G64" s="4">
        <v>240000</v>
      </c>
      <c r="H64" s="4"/>
      <c r="I64" s="16">
        <f t="shared" si="0"/>
        <v>240000</v>
      </c>
      <c r="J64" s="52"/>
    </row>
    <row r="65" spans="1:18" ht="52.5" customHeight="1" x14ac:dyDescent="0.2">
      <c r="A65" s="3">
        <v>5900</v>
      </c>
      <c r="B65" s="3">
        <v>210</v>
      </c>
      <c r="C65" s="3" t="s">
        <v>64</v>
      </c>
      <c r="D65" s="3">
        <v>1</v>
      </c>
      <c r="E65" s="19" t="s">
        <v>59</v>
      </c>
      <c r="F65" s="3"/>
      <c r="G65" s="4">
        <f>SUM(G64*0.1082)</f>
        <v>25968</v>
      </c>
      <c r="H65" s="4"/>
      <c r="I65" s="16">
        <f t="shared" si="0"/>
        <v>25968</v>
      </c>
      <c r="J65" s="52"/>
    </row>
    <row r="66" spans="1:18" ht="52.5" customHeight="1" x14ac:dyDescent="0.2">
      <c r="A66" s="3">
        <v>5900</v>
      </c>
      <c r="B66" s="3">
        <v>220</v>
      </c>
      <c r="C66" s="3" t="s">
        <v>64</v>
      </c>
      <c r="D66" s="3">
        <v>1</v>
      </c>
      <c r="E66" s="1" t="s">
        <v>60</v>
      </c>
      <c r="F66" s="3"/>
      <c r="G66" s="4">
        <f>SUM(G64*0.0765)</f>
        <v>18360</v>
      </c>
      <c r="H66" s="4"/>
      <c r="I66" s="16">
        <f t="shared" si="0"/>
        <v>18360</v>
      </c>
      <c r="J66" s="52"/>
    </row>
    <row r="67" spans="1:18" ht="52.5" customHeight="1" x14ac:dyDescent="0.2">
      <c r="A67" s="3">
        <v>5900</v>
      </c>
      <c r="B67" s="3">
        <v>240</v>
      </c>
      <c r="C67" s="3" t="s">
        <v>64</v>
      </c>
      <c r="D67" s="3">
        <v>1</v>
      </c>
      <c r="E67" s="1" t="s">
        <v>61</v>
      </c>
      <c r="F67" s="3"/>
      <c r="G67" s="4">
        <f>SUM(G64*0.35%)</f>
        <v>839.99999999999989</v>
      </c>
      <c r="H67" s="4"/>
      <c r="I67" s="16">
        <f t="shared" si="0"/>
        <v>839.99999999999989</v>
      </c>
      <c r="J67" s="52"/>
    </row>
    <row r="68" spans="1:18" ht="52.5" customHeight="1" x14ac:dyDescent="0.2">
      <c r="A68" s="3">
        <v>5100</v>
      </c>
      <c r="B68" s="3">
        <v>515</v>
      </c>
      <c r="C68" s="3" t="s">
        <v>66</v>
      </c>
      <c r="D68" s="3">
        <v>1</v>
      </c>
      <c r="E68" s="1" t="s">
        <v>67</v>
      </c>
      <c r="F68" s="3"/>
      <c r="G68" s="4">
        <v>501000</v>
      </c>
      <c r="H68" s="4"/>
      <c r="I68" s="16">
        <f t="shared" si="0"/>
        <v>501000</v>
      </c>
      <c r="J68" s="52"/>
    </row>
    <row r="69" spans="1:18" ht="52.5" customHeight="1" x14ac:dyDescent="0.2">
      <c r="A69" s="3">
        <v>5100</v>
      </c>
      <c r="B69" s="3">
        <v>515</v>
      </c>
      <c r="C69" s="3" t="s">
        <v>68</v>
      </c>
      <c r="D69" s="3">
        <v>1</v>
      </c>
      <c r="E69" s="1" t="s">
        <v>69</v>
      </c>
      <c r="F69" s="3"/>
      <c r="G69" s="4">
        <v>280000</v>
      </c>
      <c r="H69" s="4"/>
      <c r="I69" s="16">
        <f t="shared" si="0"/>
        <v>280000</v>
      </c>
      <c r="J69" s="52"/>
    </row>
    <row r="70" spans="1:18" ht="52.5" customHeight="1" x14ac:dyDescent="0.2">
      <c r="A70" s="3">
        <v>6110</v>
      </c>
      <c r="B70" s="3">
        <v>132</v>
      </c>
      <c r="C70" s="3" t="s">
        <v>70</v>
      </c>
      <c r="D70" s="3">
        <v>1</v>
      </c>
      <c r="E70" s="1" t="s">
        <v>302</v>
      </c>
      <c r="F70" s="3">
        <v>10.36</v>
      </c>
      <c r="H70" s="4">
        <f>SUM(450000*2)</f>
        <v>900000</v>
      </c>
      <c r="I70" s="16">
        <f t="shared" si="0"/>
        <v>900000</v>
      </c>
      <c r="J70" s="52"/>
    </row>
    <row r="71" spans="1:18" ht="52.5" customHeight="1" x14ac:dyDescent="0.2">
      <c r="A71" s="3">
        <v>6110</v>
      </c>
      <c r="B71" s="3">
        <v>210</v>
      </c>
      <c r="C71" s="3" t="s">
        <v>70</v>
      </c>
      <c r="D71" s="3">
        <v>1</v>
      </c>
      <c r="E71" s="19" t="s">
        <v>59</v>
      </c>
      <c r="F71" s="3"/>
      <c r="H71" s="4">
        <f>SUM(H70*0.1082)</f>
        <v>97380</v>
      </c>
      <c r="I71" s="16">
        <f t="shared" si="0"/>
        <v>97380</v>
      </c>
      <c r="J71" s="52"/>
    </row>
    <row r="72" spans="1:18" ht="52.5" customHeight="1" x14ac:dyDescent="0.2">
      <c r="A72" s="3">
        <v>6110</v>
      </c>
      <c r="B72" s="3">
        <v>220</v>
      </c>
      <c r="C72" s="3" t="s">
        <v>70</v>
      </c>
      <c r="D72" s="3">
        <v>1</v>
      </c>
      <c r="E72" s="1" t="s">
        <v>60</v>
      </c>
      <c r="F72" s="3"/>
      <c r="H72" s="4">
        <f>SUM(H70*0.0765)</f>
        <v>68850</v>
      </c>
      <c r="I72" s="16">
        <f t="shared" si="0"/>
        <v>68850</v>
      </c>
      <c r="J72" s="52"/>
    </row>
    <row r="73" spans="1:18" ht="52.5" customHeight="1" x14ac:dyDescent="0.2">
      <c r="A73" s="3">
        <v>6110</v>
      </c>
      <c r="B73" s="3">
        <v>240</v>
      </c>
      <c r="C73" s="3" t="s">
        <v>70</v>
      </c>
      <c r="D73" s="3">
        <v>1</v>
      </c>
      <c r="E73" s="1" t="s">
        <v>61</v>
      </c>
      <c r="F73" s="3"/>
      <c r="H73" s="4">
        <f>SUM(H70*0.35%)</f>
        <v>3149.9999999999995</v>
      </c>
      <c r="I73" s="16">
        <f t="shared" si="0"/>
        <v>3149.9999999999995</v>
      </c>
      <c r="J73" s="53"/>
      <c r="K73" s="54"/>
      <c r="L73" s="54"/>
      <c r="M73" s="54"/>
      <c r="N73" s="54"/>
      <c r="O73" s="54"/>
      <c r="P73" s="54"/>
      <c r="Q73" s="54"/>
      <c r="R73" s="54"/>
    </row>
    <row r="74" spans="1:18" ht="52.5" hidden="1" customHeight="1" x14ac:dyDescent="0.2">
      <c r="A74" s="3">
        <v>5100</v>
      </c>
      <c r="B74" s="3">
        <v>515</v>
      </c>
      <c r="C74" s="3" t="s">
        <v>76</v>
      </c>
      <c r="D74" s="3" t="s">
        <v>71</v>
      </c>
      <c r="E74" s="1" t="s">
        <v>72</v>
      </c>
      <c r="F74" s="3"/>
      <c r="H74" s="11">
        <f>SUM(31000*22)</f>
        <v>682000</v>
      </c>
      <c r="I74" s="16">
        <f t="shared" si="0"/>
        <v>682000</v>
      </c>
      <c r="J74" s="47"/>
      <c r="K74" s="44"/>
      <c r="L74" s="44"/>
      <c r="M74" s="44"/>
      <c r="N74" s="44"/>
      <c r="O74" s="44"/>
      <c r="P74" s="44"/>
      <c r="Q74" s="44"/>
      <c r="R74" s="44"/>
    </row>
    <row r="75" spans="1:18" ht="52.5" hidden="1" customHeight="1" x14ac:dyDescent="0.2">
      <c r="A75" s="3">
        <v>5100</v>
      </c>
      <c r="B75" s="3">
        <v>515</v>
      </c>
      <c r="C75" s="3" t="s">
        <v>76</v>
      </c>
      <c r="D75" s="3" t="s">
        <v>71</v>
      </c>
      <c r="E75" s="1" t="s">
        <v>73</v>
      </c>
      <c r="F75" s="3"/>
      <c r="H75" s="11">
        <f>SUM(13154*39)</f>
        <v>513006</v>
      </c>
      <c r="I75" s="16">
        <f t="shared" si="0"/>
        <v>513006</v>
      </c>
      <c r="J75" s="17"/>
      <c r="K75" s="10"/>
      <c r="L75" s="10"/>
      <c r="M75" s="10"/>
      <c r="N75" s="10"/>
      <c r="O75" s="10"/>
      <c r="P75" s="10"/>
      <c r="Q75" s="10"/>
      <c r="R75" s="10"/>
    </row>
    <row r="76" spans="1:18" ht="52.5" hidden="1" customHeight="1" x14ac:dyDescent="0.2">
      <c r="A76" s="3">
        <v>5100</v>
      </c>
      <c r="B76" s="3">
        <v>515</v>
      </c>
      <c r="C76" s="3" t="s">
        <v>76</v>
      </c>
      <c r="D76" s="3" t="s">
        <v>71</v>
      </c>
      <c r="E76" s="1" t="s">
        <v>74</v>
      </c>
      <c r="F76" s="3"/>
      <c r="H76" s="11">
        <f>SUM(3365*127)</f>
        <v>427355</v>
      </c>
      <c r="I76" s="16">
        <f t="shared" ref="I76:I140" si="1">SUM(G76:H76)</f>
        <v>427355</v>
      </c>
      <c r="J76" s="17"/>
      <c r="K76" s="10"/>
      <c r="L76" s="10"/>
      <c r="M76" s="10"/>
      <c r="N76" s="10"/>
      <c r="O76" s="10"/>
      <c r="P76" s="10"/>
      <c r="Q76" s="10"/>
      <c r="R76" s="10"/>
    </row>
    <row r="77" spans="1:18" ht="52.5" hidden="1" customHeight="1" x14ac:dyDescent="0.2">
      <c r="A77" s="3">
        <v>5100</v>
      </c>
      <c r="B77" s="3">
        <v>515</v>
      </c>
      <c r="C77" s="3" t="s">
        <v>76</v>
      </c>
      <c r="D77" s="3" t="s">
        <v>71</v>
      </c>
      <c r="E77" s="1" t="s">
        <v>75</v>
      </c>
      <c r="F77" s="3"/>
      <c r="H77" s="11">
        <f>SUM(9500*9)</f>
        <v>85500</v>
      </c>
      <c r="I77" s="16">
        <f t="shared" si="1"/>
        <v>85500</v>
      </c>
      <c r="J77" s="17"/>
      <c r="K77" s="10"/>
      <c r="L77" s="10"/>
      <c r="M77" s="10"/>
      <c r="N77" s="10"/>
      <c r="O77" s="10"/>
      <c r="P77" s="10"/>
      <c r="Q77" s="10"/>
      <c r="R77" s="10"/>
    </row>
    <row r="78" spans="1:18" ht="52.5" hidden="1" customHeight="1" x14ac:dyDescent="0.2">
      <c r="A78" s="3">
        <v>5100</v>
      </c>
      <c r="B78" s="3">
        <v>515</v>
      </c>
      <c r="C78" s="3" t="s">
        <v>77</v>
      </c>
      <c r="D78" s="3" t="s">
        <v>71</v>
      </c>
      <c r="E78" s="1" t="s">
        <v>78</v>
      </c>
      <c r="F78" s="3"/>
      <c r="H78" s="11">
        <f>SUM(254*900+1270*1000)</f>
        <v>1498600</v>
      </c>
      <c r="I78" s="16">
        <f t="shared" si="1"/>
        <v>1498600</v>
      </c>
      <c r="J78" s="17"/>
      <c r="K78" s="10"/>
      <c r="L78" s="10"/>
      <c r="M78" s="10"/>
      <c r="N78" s="10"/>
      <c r="O78" s="10"/>
      <c r="P78" s="10"/>
      <c r="Q78" s="10"/>
      <c r="R78" s="10"/>
    </row>
    <row r="79" spans="1:18" ht="52.5" hidden="1" customHeight="1" x14ac:dyDescent="0.2">
      <c r="A79" s="3">
        <v>6400</v>
      </c>
      <c r="B79" s="3">
        <v>730</v>
      </c>
      <c r="C79" s="3" t="s">
        <v>79</v>
      </c>
      <c r="D79" s="3" t="s">
        <v>71</v>
      </c>
      <c r="E79" s="1" t="s">
        <v>86</v>
      </c>
      <c r="F79" s="3"/>
      <c r="H79" s="11">
        <f>SUM(60*2*625)</f>
        <v>75000</v>
      </c>
      <c r="I79" s="16">
        <f t="shared" si="1"/>
        <v>75000</v>
      </c>
      <c r="J79" s="17"/>
      <c r="K79" s="10"/>
      <c r="L79" s="10"/>
      <c r="M79" s="10"/>
      <c r="N79" s="10"/>
      <c r="O79" s="10"/>
      <c r="P79" s="10"/>
      <c r="Q79" s="10"/>
      <c r="R79" s="10"/>
    </row>
    <row r="80" spans="1:18" ht="52.5" hidden="1" customHeight="1" x14ac:dyDescent="0.2">
      <c r="A80" s="3">
        <v>6400</v>
      </c>
      <c r="B80" s="3">
        <v>730</v>
      </c>
      <c r="C80" s="3" t="s">
        <v>79</v>
      </c>
      <c r="D80" s="3" t="s">
        <v>71</v>
      </c>
      <c r="E80" s="1" t="s">
        <v>81</v>
      </c>
      <c r="F80" s="3"/>
      <c r="H80" s="11">
        <f>SUM(30*17*625)</f>
        <v>318750</v>
      </c>
      <c r="I80" s="16">
        <f t="shared" si="1"/>
        <v>318750</v>
      </c>
      <c r="J80" s="17"/>
      <c r="K80" s="10"/>
      <c r="L80" s="10"/>
      <c r="M80" s="10"/>
      <c r="N80" s="10"/>
      <c r="O80" s="10"/>
      <c r="P80" s="10"/>
      <c r="Q80" s="10"/>
      <c r="R80" s="10"/>
    </row>
    <row r="81" spans="1:10" s="10" customFormat="1" ht="52.5" hidden="1" customHeight="1" x14ac:dyDescent="0.2">
      <c r="A81" s="3">
        <v>6400</v>
      </c>
      <c r="B81" s="3">
        <v>122</v>
      </c>
      <c r="C81" s="3" t="s">
        <v>79</v>
      </c>
      <c r="D81" s="3" t="s">
        <v>71</v>
      </c>
      <c r="E81" s="1" t="s">
        <v>83</v>
      </c>
      <c r="F81" s="3">
        <v>14.09</v>
      </c>
      <c r="G81" s="4"/>
      <c r="H81" s="11">
        <f>SUM(510*40*20)</f>
        <v>408000</v>
      </c>
      <c r="I81" s="16">
        <f t="shared" si="1"/>
        <v>408000</v>
      </c>
      <c r="J81" s="17"/>
    </row>
    <row r="82" spans="1:10" s="10" customFormat="1" ht="52.5" hidden="1" customHeight="1" x14ac:dyDescent="0.2">
      <c r="A82" s="3">
        <v>6400</v>
      </c>
      <c r="B82" s="3">
        <v>220</v>
      </c>
      <c r="C82" s="3" t="s">
        <v>79</v>
      </c>
      <c r="D82" s="3" t="s">
        <v>71</v>
      </c>
      <c r="E82" s="1" t="s">
        <v>60</v>
      </c>
      <c r="F82" s="3"/>
      <c r="G82" s="4"/>
      <c r="H82" s="4">
        <f>SUM(H81*0.0765)</f>
        <v>31212</v>
      </c>
      <c r="I82" s="16">
        <f t="shared" si="1"/>
        <v>31212</v>
      </c>
      <c r="J82" s="17"/>
    </row>
    <row r="83" spans="1:10" s="10" customFormat="1" ht="52.5" hidden="1" customHeight="1" x14ac:dyDescent="0.2">
      <c r="A83" s="3">
        <v>6400</v>
      </c>
      <c r="B83" s="3">
        <v>240</v>
      </c>
      <c r="C83" s="3" t="s">
        <v>79</v>
      </c>
      <c r="D83" s="3" t="s">
        <v>71</v>
      </c>
      <c r="E83" s="1" t="s">
        <v>61</v>
      </c>
      <c r="F83" s="3"/>
      <c r="G83" s="4"/>
      <c r="H83" s="4">
        <f>SUM(H81*0.35%)</f>
        <v>1427.9999999999998</v>
      </c>
      <c r="I83" s="16">
        <f t="shared" si="1"/>
        <v>1427.9999999999998</v>
      </c>
      <c r="J83" s="17"/>
    </row>
    <row r="84" spans="1:10" s="10" customFormat="1" ht="52.5" hidden="1" customHeight="1" x14ac:dyDescent="0.2">
      <c r="A84" s="3">
        <v>6400</v>
      </c>
      <c r="B84" s="3">
        <v>730</v>
      </c>
      <c r="C84" s="3" t="s">
        <v>79</v>
      </c>
      <c r="D84" s="3" t="s">
        <v>71</v>
      </c>
      <c r="E84" s="1" t="s">
        <v>80</v>
      </c>
      <c r="F84" s="3"/>
      <c r="G84" s="4"/>
      <c r="H84" s="11">
        <f>SUM(30*2*791)</f>
        <v>47460</v>
      </c>
      <c r="I84" s="16">
        <f t="shared" si="1"/>
        <v>47460</v>
      </c>
      <c r="J84" s="17"/>
    </row>
    <row r="85" spans="1:10" s="10" customFormat="1" ht="52.5" hidden="1" customHeight="1" x14ac:dyDescent="0.2">
      <c r="A85" s="3">
        <v>6400</v>
      </c>
      <c r="B85" s="3">
        <v>122</v>
      </c>
      <c r="C85" s="3" t="s">
        <v>79</v>
      </c>
      <c r="D85" s="3" t="s">
        <v>71</v>
      </c>
      <c r="E85" s="1" t="s">
        <v>84</v>
      </c>
      <c r="F85" s="3"/>
      <c r="G85" s="4"/>
      <c r="H85" s="11">
        <f>SUM(60*25*20)</f>
        <v>30000</v>
      </c>
      <c r="I85" s="16">
        <f t="shared" si="1"/>
        <v>30000</v>
      </c>
      <c r="J85" s="17"/>
    </row>
    <row r="86" spans="1:10" s="10" customFormat="1" ht="52.5" hidden="1" customHeight="1" x14ac:dyDescent="0.2">
      <c r="A86" s="3">
        <v>6400</v>
      </c>
      <c r="B86" s="3">
        <v>220</v>
      </c>
      <c r="C86" s="3" t="s">
        <v>79</v>
      </c>
      <c r="D86" s="3" t="s">
        <v>71</v>
      </c>
      <c r="E86" s="1" t="s">
        <v>60</v>
      </c>
      <c r="F86" s="3"/>
      <c r="G86" s="4"/>
      <c r="H86" s="4">
        <f>SUM(H85*0.0765)</f>
        <v>2295</v>
      </c>
      <c r="I86" s="16">
        <f t="shared" si="1"/>
        <v>2295</v>
      </c>
      <c r="J86" s="17"/>
    </row>
    <row r="87" spans="1:10" s="10" customFormat="1" ht="52.5" hidden="1" customHeight="1" x14ac:dyDescent="0.2">
      <c r="A87" s="3">
        <v>6400</v>
      </c>
      <c r="B87" s="3">
        <v>240</v>
      </c>
      <c r="C87" s="3" t="s">
        <v>79</v>
      </c>
      <c r="D87" s="3" t="s">
        <v>71</v>
      </c>
      <c r="E87" s="1" t="s">
        <v>61</v>
      </c>
      <c r="F87" s="3"/>
      <c r="G87" s="4"/>
      <c r="H87" s="4">
        <f>SUM(H85*0.35%)</f>
        <v>104.99999999999999</v>
      </c>
      <c r="I87" s="16">
        <f t="shared" si="1"/>
        <v>104.99999999999999</v>
      </c>
      <c r="J87" s="17"/>
    </row>
    <row r="88" spans="1:10" s="10" customFormat="1" ht="52.5" hidden="1" customHeight="1" x14ac:dyDescent="0.2">
      <c r="A88" s="3">
        <v>6400</v>
      </c>
      <c r="B88" s="3">
        <v>730</v>
      </c>
      <c r="C88" s="3" t="s">
        <v>79</v>
      </c>
      <c r="D88" s="3" t="s">
        <v>71</v>
      </c>
      <c r="E88" s="1" t="s">
        <v>82</v>
      </c>
      <c r="F88" s="3"/>
      <c r="G88" s="4"/>
      <c r="H88" s="11">
        <f>SUM(500*249)</f>
        <v>124500</v>
      </c>
      <c r="I88" s="16">
        <f t="shared" si="1"/>
        <v>124500</v>
      </c>
      <c r="J88" s="17"/>
    </row>
    <row r="89" spans="1:10" s="10" customFormat="1" ht="52.5" hidden="1" customHeight="1" x14ac:dyDescent="0.2">
      <c r="A89" s="3">
        <v>6400</v>
      </c>
      <c r="B89" s="3">
        <v>122</v>
      </c>
      <c r="C89" s="3" t="s">
        <v>79</v>
      </c>
      <c r="D89" s="3" t="s">
        <v>71</v>
      </c>
      <c r="E89" s="1" t="s">
        <v>85</v>
      </c>
      <c r="F89" s="3"/>
      <c r="G89" s="4"/>
      <c r="H89" s="11">
        <f>SUM(500*20*20)</f>
        <v>200000</v>
      </c>
      <c r="I89" s="16">
        <f t="shared" si="1"/>
        <v>200000</v>
      </c>
      <c r="J89" s="17"/>
    </row>
    <row r="90" spans="1:10" s="10" customFormat="1" ht="52.5" hidden="1" customHeight="1" x14ac:dyDescent="0.2">
      <c r="A90" s="3">
        <v>6400</v>
      </c>
      <c r="B90" s="3">
        <v>220</v>
      </c>
      <c r="C90" s="3" t="s">
        <v>79</v>
      </c>
      <c r="D90" s="3" t="s">
        <v>71</v>
      </c>
      <c r="E90" s="1" t="s">
        <v>60</v>
      </c>
      <c r="F90" s="3"/>
      <c r="G90" s="4"/>
      <c r="H90" s="4">
        <f>SUM(H89*0.0765)</f>
        <v>15300</v>
      </c>
      <c r="I90" s="16">
        <f t="shared" si="1"/>
        <v>15300</v>
      </c>
      <c r="J90" s="17"/>
    </row>
    <row r="91" spans="1:10" s="10" customFormat="1" ht="52.5" hidden="1" customHeight="1" x14ac:dyDescent="0.2">
      <c r="A91" s="3">
        <v>6400</v>
      </c>
      <c r="B91" s="3">
        <v>240</v>
      </c>
      <c r="C91" s="3" t="s">
        <v>79</v>
      </c>
      <c r="D91" s="3" t="s">
        <v>71</v>
      </c>
      <c r="E91" s="1" t="s">
        <v>61</v>
      </c>
      <c r="F91" s="3"/>
      <c r="G91" s="4"/>
      <c r="H91" s="4">
        <f>SUM(H89*0.35%)</f>
        <v>699.99999999999989</v>
      </c>
      <c r="I91" s="16">
        <f t="shared" si="1"/>
        <v>699.99999999999989</v>
      </c>
      <c r="J91" s="17"/>
    </row>
    <row r="92" spans="1:10" s="10" customFormat="1" ht="52.5" hidden="1" customHeight="1" x14ac:dyDescent="0.2">
      <c r="A92" s="3">
        <v>5100</v>
      </c>
      <c r="B92" s="3">
        <v>123</v>
      </c>
      <c r="C92" s="3" t="s">
        <v>94</v>
      </c>
      <c r="D92" s="3" t="s">
        <v>71</v>
      </c>
      <c r="E92" s="1" t="s">
        <v>303</v>
      </c>
      <c r="F92" s="3">
        <v>3.31</v>
      </c>
      <c r="G92" s="4">
        <f>SUM(6*4*7*40*50*2)</f>
        <v>672000</v>
      </c>
      <c r="H92" s="11"/>
      <c r="I92" s="16">
        <f t="shared" si="1"/>
        <v>672000</v>
      </c>
      <c r="J92" s="17"/>
    </row>
    <row r="93" spans="1:10" s="10" customFormat="1" ht="52.5" hidden="1" customHeight="1" x14ac:dyDescent="0.2">
      <c r="A93" s="3">
        <v>5100</v>
      </c>
      <c r="B93" s="3">
        <v>210</v>
      </c>
      <c r="C93" s="3" t="s">
        <v>94</v>
      </c>
      <c r="D93" s="3" t="s">
        <v>71</v>
      </c>
      <c r="E93" s="19" t="s">
        <v>59</v>
      </c>
      <c r="F93" s="3"/>
      <c r="G93" s="4">
        <f>SUM(G92*0.1082)</f>
        <v>72710.400000000009</v>
      </c>
      <c r="H93" s="11"/>
      <c r="I93" s="16">
        <f t="shared" si="1"/>
        <v>72710.400000000009</v>
      </c>
      <c r="J93" s="17"/>
    </row>
    <row r="94" spans="1:10" s="10" customFormat="1" ht="52.5" hidden="1" customHeight="1" x14ac:dyDescent="0.2">
      <c r="A94" s="3">
        <v>5100</v>
      </c>
      <c r="B94" s="3">
        <v>220</v>
      </c>
      <c r="C94" s="3" t="s">
        <v>94</v>
      </c>
      <c r="D94" s="3" t="s">
        <v>71</v>
      </c>
      <c r="E94" s="1" t="s">
        <v>60</v>
      </c>
      <c r="F94" s="3"/>
      <c r="G94" s="4">
        <f>SUM(G92*0.0765)</f>
        <v>51408</v>
      </c>
      <c r="H94" s="11"/>
      <c r="I94" s="16">
        <f t="shared" si="1"/>
        <v>51408</v>
      </c>
      <c r="J94" s="17"/>
    </row>
    <row r="95" spans="1:10" s="10" customFormat="1" ht="52.5" hidden="1" customHeight="1" x14ac:dyDescent="0.2">
      <c r="A95" s="3">
        <v>5100</v>
      </c>
      <c r="B95" s="3">
        <v>240</v>
      </c>
      <c r="C95" s="3" t="s">
        <v>94</v>
      </c>
      <c r="D95" s="3" t="s">
        <v>71</v>
      </c>
      <c r="E95" s="1" t="s">
        <v>61</v>
      </c>
      <c r="F95" s="3"/>
      <c r="G95" s="4">
        <f>SUM(G92*0.35%)</f>
        <v>2351.9999999999995</v>
      </c>
      <c r="H95" s="11"/>
      <c r="I95" s="16">
        <f t="shared" si="1"/>
        <v>2351.9999999999995</v>
      </c>
      <c r="J95" s="17"/>
    </row>
    <row r="96" spans="1:10" s="10" customFormat="1" ht="52.5" hidden="1" customHeight="1" x14ac:dyDescent="0.2">
      <c r="A96" s="3">
        <v>6400</v>
      </c>
      <c r="B96" s="3">
        <v>132</v>
      </c>
      <c r="C96" s="3" t="s">
        <v>95</v>
      </c>
      <c r="D96" s="3" t="s">
        <v>71</v>
      </c>
      <c r="E96" s="1" t="s">
        <v>96</v>
      </c>
      <c r="F96" s="3">
        <v>0.16</v>
      </c>
      <c r="G96" s="4"/>
      <c r="H96" s="11">
        <v>8400</v>
      </c>
      <c r="I96" s="16">
        <f t="shared" si="1"/>
        <v>8400</v>
      </c>
      <c r="J96" s="17"/>
    </row>
    <row r="97" spans="1:10" s="10" customFormat="1" ht="52.5" hidden="1" customHeight="1" x14ac:dyDescent="0.2">
      <c r="A97" s="3">
        <v>6400</v>
      </c>
      <c r="B97" s="3">
        <v>122</v>
      </c>
      <c r="C97" s="3" t="s">
        <v>95</v>
      </c>
      <c r="D97" s="3" t="s">
        <v>71</v>
      </c>
      <c r="E97" s="1" t="s">
        <v>97</v>
      </c>
      <c r="F97" s="3">
        <v>8.2899999999999991</v>
      </c>
      <c r="G97" s="4"/>
      <c r="H97" s="11">
        <v>240000</v>
      </c>
      <c r="I97" s="16">
        <f t="shared" si="1"/>
        <v>240000</v>
      </c>
      <c r="J97" s="17"/>
    </row>
    <row r="98" spans="1:10" s="10" customFormat="1" ht="52.5" hidden="1" customHeight="1" x14ac:dyDescent="0.2">
      <c r="A98" s="3">
        <v>6400</v>
      </c>
      <c r="B98" s="3">
        <v>210</v>
      </c>
      <c r="C98" s="3" t="s">
        <v>95</v>
      </c>
      <c r="D98" s="3" t="s">
        <v>71</v>
      </c>
      <c r="E98" s="19" t="s">
        <v>98</v>
      </c>
      <c r="F98" s="3"/>
      <c r="G98" s="4"/>
      <c r="H98" s="11">
        <f>SUM(8400*0.1082)</f>
        <v>908.88</v>
      </c>
      <c r="I98" s="16">
        <f t="shared" si="1"/>
        <v>908.88</v>
      </c>
      <c r="J98" s="17"/>
    </row>
    <row r="99" spans="1:10" s="10" customFormat="1" ht="52.5" hidden="1" customHeight="1" x14ac:dyDescent="0.2">
      <c r="A99" s="3">
        <v>6400</v>
      </c>
      <c r="B99" s="3">
        <v>220</v>
      </c>
      <c r="C99" s="3" t="s">
        <v>95</v>
      </c>
      <c r="D99" s="3" t="s">
        <v>71</v>
      </c>
      <c r="E99" s="1" t="s">
        <v>60</v>
      </c>
      <c r="F99" s="3"/>
      <c r="G99" s="4"/>
      <c r="H99" s="11">
        <f>SUM(248400*0.0765)</f>
        <v>19002.599999999999</v>
      </c>
      <c r="I99" s="16">
        <f t="shared" si="1"/>
        <v>19002.599999999999</v>
      </c>
      <c r="J99" s="17"/>
    </row>
    <row r="100" spans="1:10" s="10" customFormat="1" ht="52.5" hidden="1" customHeight="1" x14ac:dyDescent="0.2">
      <c r="A100" s="3">
        <v>6400</v>
      </c>
      <c r="B100" s="3">
        <v>240</v>
      </c>
      <c r="C100" s="3" t="s">
        <v>95</v>
      </c>
      <c r="D100" s="3" t="s">
        <v>71</v>
      </c>
      <c r="E100" s="1" t="s">
        <v>61</v>
      </c>
      <c r="F100" s="3"/>
      <c r="G100" s="4"/>
      <c r="H100" s="11">
        <f>SUM(248400*0.035%)</f>
        <v>86.940000000000012</v>
      </c>
      <c r="I100" s="16">
        <f t="shared" si="1"/>
        <v>86.940000000000012</v>
      </c>
      <c r="J100" s="17"/>
    </row>
    <row r="101" spans="1:10" s="10" customFormat="1" ht="52.5" hidden="1" customHeight="1" x14ac:dyDescent="0.2">
      <c r="A101" s="3">
        <v>5100</v>
      </c>
      <c r="B101" s="3">
        <v>369</v>
      </c>
      <c r="C101" s="3" t="s">
        <v>99</v>
      </c>
      <c r="D101" s="3" t="s">
        <v>71</v>
      </c>
      <c r="E101" s="1" t="s">
        <v>100</v>
      </c>
      <c r="F101" s="3"/>
      <c r="G101" s="4"/>
      <c r="H101" s="11">
        <v>761000</v>
      </c>
      <c r="I101" s="16">
        <f t="shared" si="1"/>
        <v>761000</v>
      </c>
      <c r="J101" s="17"/>
    </row>
    <row r="102" spans="1:10" s="10" customFormat="1" ht="52.5" hidden="1" customHeight="1" x14ac:dyDescent="0.2">
      <c r="A102" s="3">
        <v>5100</v>
      </c>
      <c r="B102" s="3">
        <v>510</v>
      </c>
      <c r="C102" s="3" t="s">
        <v>101</v>
      </c>
      <c r="D102" s="3" t="s">
        <v>71</v>
      </c>
      <c r="E102" s="1" t="s">
        <v>102</v>
      </c>
      <c r="F102" s="3"/>
      <c r="G102" s="4"/>
      <c r="H102" s="11">
        <f>SUM(10*100848)</f>
        <v>1008480</v>
      </c>
      <c r="I102" s="16">
        <f t="shared" si="1"/>
        <v>1008480</v>
      </c>
      <c r="J102" s="17"/>
    </row>
    <row r="103" spans="1:10" s="10" customFormat="1" ht="52.5" hidden="1" customHeight="1" x14ac:dyDescent="0.2">
      <c r="A103" s="3">
        <v>5100</v>
      </c>
      <c r="B103" s="3">
        <v>390</v>
      </c>
      <c r="C103" s="3" t="s">
        <v>103</v>
      </c>
      <c r="D103" s="3" t="s">
        <v>71</v>
      </c>
      <c r="E103" s="1" t="s">
        <v>105</v>
      </c>
      <c r="F103" s="3"/>
      <c r="G103" s="4"/>
      <c r="H103" s="11">
        <f>SUM(230*300)</f>
        <v>69000</v>
      </c>
      <c r="I103" s="16">
        <f t="shared" si="1"/>
        <v>69000</v>
      </c>
      <c r="J103" s="17"/>
    </row>
    <row r="104" spans="1:10" s="10" customFormat="1" ht="52.5" hidden="1" customHeight="1" x14ac:dyDescent="0.2">
      <c r="A104" s="3">
        <v>5100</v>
      </c>
      <c r="B104" s="3">
        <v>520</v>
      </c>
      <c r="C104" s="3" t="s">
        <v>104</v>
      </c>
      <c r="D104" s="3" t="s">
        <v>71</v>
      </c>
      <c r="E104" s="1" t="s">
        <v>107</v>
      </c>
      <c r="F104" s="3"/>
      <c r="G104" s="4"/>
      <c r="H104" s="41">
        <v>16343360</v>
      </c>
      <c r="I104" s="42">
        <f t="shared" si="1"/>
        <v>16343360</v>
      </c>
      <c r="J104" s="17"/>
    </row>
    <row r="105" spans="1:10" s="10" customFormat="1" ht="52.5" hidden="1" customHeight="1" x14ac:dyDescent="0.2">
      <c r="A105" s="3">
        <v>5100</v>
      </c>
      <c r="B105" s="3">
        <v>369</v>
      </c>
      <c r="C105" s="3" t="s">
        <v>106</v>
      </c>
      <c r="D105" s="3" t="s">
        <v>71</v>
      </c>
      <c r="E105" s="1" t="s">
        <v>109</v>
      </c>
      <c r="F105" s="3"/>
      <c r="G105" s="4"/>
      <c r="H105" s="11">
        <f>SUM(23*13500*2)</f>
        <v>621000</v>
      </c>
      <c r="I105" s="16">
        <f t="shared" si="1"/>
        <v>621000</v>
      </c>
      <c r="J105" s="17"/>
    </row>
    <row r="106" spans="1:10" s="10" customFormat="1" ht="52.5" hidden="1" customHeight="1" x14ac:dyDescent="0.2">
      <c r="A106" s="3">
        <v>5100</v>
      </c>
      <c r="B106" s="3">
        <v>369</v>
      </c>
      <c r="C106" s="3" t="s">
        <v>106</v>
      </c>
      <c r="D106" s="3" t="s">
        <v>71</v>
      </c>
      <c r="E106" s="1" t="s">
        <v>109</v>
      </c>
      <c r="F106" s="3"/>
      <c r="G106" s="4"/>
      <c r="H106" s="11">
        <f>SUM(23*13500*2)</f>
        <v>621000</v>
      </c>
      <c r="I106" s="16">
        <f t="shared" si="1"/>
        <v>621000</v>
      </c>
      <c r="J106" s="17"/>
    </row>
    <row r="107" spans="1:10" s="10" customFormat="1" ht="52.5" hidden="1" customHeight="1" x14ac:dyDescent="0.2">
      <c r="A107" s="3">
        <v>6400</v>
      </c>
      <c r="B107" s="3">
        <v>390</v>
      </c>
      <c r="C107" s="3" t="s">
        <v>108</v>
      </c>
      <c r="D107" s="3" t="s">
        <v>71</v>
      </c>
      <c r="E107" s="1" t="s">
        <v>111</v>
      </c>
      <c r="F107" s="3"/>
      <c r="G107" s="4"/>
      <c r="H107" s="11">
        <v>420000</v>
      </c>
      <c r="I107" s="16">
        <f t="shared" si="1"/>
        <v>420000</v>
      </c>
      <c r="J107" s="17"/>
    </row>
    <row r="108" spans="1:10" s="10" customFormat="1" ht="52.5" hidden="1" customHeight="1" x14ac:dyDescent="0.2">
      <c r="A108" s="3">
        <v>6400</v>
      </c>
      <c r="B108" s="3">
        <v>390</v>
      </c>
      <c r="C108" s="3" t="s">
        <v>110</v>
      </c>
      <c r="D108" s="3" t="s">
        <v>71</v>
      </c>
      <c r="E108" s="1" t="s">
        <v>113</v>
      </c>
      <c r="F108" s="3"/>
      <c r="G108" s="4"/>
      <c r="H108" s="11">
        <f>SUM(40*6700*2)</f>
        <v>536000</v>
      </c>
      <c r="I108" s="16">
        <f t="shared" si="1"/>
        <v>536000</v>
      </c>
      <c r="J108" s="17"/>
    </row>
    <row r="109" spans="1:10" s="10" customFormat="1" ht="52.5" hidden="1" customHeight="1" x14ac:dyDescent="0.2">
      <c r="A109" s="3">
        <v>6400</v>
      </c>
      <c r="B109" s="3">
        <v>390</v>
      </c>
      <c r="C109" s="3" t="s">
        <v>112</v>
      </c>
      <c r="D109" s="3" t="s">
        <v>71</v>
      </c>
      <c r="E109" s="1" t="s">
        <v>115</v>
      </c>
      <c r="F109" s="3"/>
      <c r="G109" s="4"/>
      <c r="H109" s="11">
        <v>100000</v>
      </c>
      <c r="I109" s="16">
        <f t="shared" si="1"/>
        <v>100000</v>
      </c>
      <c r="J109" s="17"/>
    </row>
    <row r="110" spans="1:10" s="10" customFormat="1" ht="52.5" hidden="1" customHeight="1" x14ac:dyDescent="0.2">
      <c r="A110" s="3">
        <v>5130</v>
      </c>
      <c r="B110" s="3">
        <v>160</v>
      </c>
      <c r="C110" s="3" t="s">
        <v>114</v>
      </c>
      <c r="D110" s="3" t="s">
        <v>71</v>
      </c>
      <c r="E110" s="1" t="s">
        <v>315</v>
      </c>
      <c r="F110" s="3" t="s">
        <v>56</v>
      </c>
      <c r="G110" s="4" t="s">
        <v>56</v>
      </c>
      <c r="H110" s="11">
        <f>SUM(17358*50*2)</f>
        <v>1735800</v>
      </c>
      <c r="I110" s="16">
        <f t="shared" si="1"/>
        <v>1735800</v>
      </c>
      <c r="J110" s="17"/>
    </row>
    <row r="111" spans="1:10" s="10" customFormat="1" ht="52.5" hidden="1" customHeight="1" x14ac:dyDescent="0.2">
      <c r="A111" s="3">
        <v>5130</v>
      </c>
      <c r="B111" s="3">
        <v>210</v>
      </c>
      <c r="C111" s="3" t="s">
        <v>114</v>
      </c>
      <c r="D111" s="3" t="s">
        <v>71</v>
      </c>
      <c r="E111" s="1" t="s">
        <v>120</v>
      </c>
      <c r="F111" s="3"/>
      <c r="G111" s="4"/>
      <c r="H111" s="4">
        <f>SUM(H110*0.1082)</f>
        <v>187813.56</v>
      </c>
      <c r="I111" s="16">
        <f t="shared" si="1"/>
        <v>187813.56</v>
      </c>
      <c r="J111" s="17"/>
    </row>
    <row r="112" spans="1:10" s="10" customFormat="1" ht="52.5" hidden="1" customHeight="1" x14ac:dyDescent="0.2">
      <c r="A112" s="3">
        <v>5130</v>
      </c>
      <c r="B112" s="3">
        <v>220</v>
      </c>
      <c r="C112" s="3" t="s">
        <v>114</v>
      </c>
      <c r="D112" s="3" t="s">
        <v>71</v>
      </c>
      <c r="E112" s="1" t="s">
        <v>119</v>
      </c>
      <c r="F112" s="3"/>
      <c r="G112" s="4"/>
      <c r="H112" s="4">
        <f>SUM(H110*0.0765)</f>
        <v>132788.70000000001</v>
      </c>
      <c r="I112" s="16">
        <f t="shared" si="1"/>
        <v>132788.70000000001</v>
      </c>
      <c r="J112" s="17"/>
    </row>
    <row r="113" spans="1:10" s="10" customFormat="1" ht="52.5" hidden="1" customHeight="1" x14ac:dyDescent="0.2">
      <c r="A113" s="3">
        <v>5130</v>
      </c>
      <c r="B113" s="3">
        <v>230</v>
      </c>
      <c r="C113" s="3" t="s">
        <v>114</v>
      </c>
      <c r="D113" s="3" t="s">
        <v>71</v>
      </c>
      <c r="E113" s="1" t="s">
        <v>117</v>
      </c>
      <c r="F113" s="3"/>
      <c r="G113" s="4"/>
      <c r="H113" s="4">
        <f>SUM(9289*50*2)</f>
        <v>928900</v>
      </c>
      <c r="I113" s="16">
        <f t="shared" si="1"/>
        <v>928900</v>
      </c>
      <c r="J113" s="17"/>
    </row>
    <row r="114" spans="1:10" s="10" customFormat="1" ht="52.5" hidden="1" customHeight="1" x14ac:dyDescent="0.2">
      <c r="A114" s="3">
        <v>5130</v>
      </c>
      <c r="B114" s="3">
        <v>231</v>
      </c>
      <c r="C114" s="3" t="s">
        <v>114</v>
      </c>
      <c r="D114" s="3" t="s">
        <v>71</v>
      </c>
      <c r="E114" s="1" t="s">
        <v>25</v>
      </c>
      <c r="F114" s="3"/>
      <c r="G114" s="4"/>
      <c r="H114" s="4">
        <f>SUM(H110*0.0706%)</f>
        <v>1225.4748</v>
      </c>
      <c r="I114" s="16">
        <f t="shared" si="1"/>
        <v>1225.4748</v>
      </c>
      <c r="J114" s="17"/>
    </row>
    <row r="115" spans="1:10" s="10" customFormat="1" ht="52.5" hidden="1" customHeight="1" x14ac:dyDescent="0.2">
      <c r="A115" s="3">
        <v>5130</v>
      </c>
      <c r="B115" s="3">
        <v>240</v>
      </c>
      <c r="C115" s="3" t="s">
        <v>114</v>
      </c>
      <c r="D115" s="3" t="s">
        <v>71</v>
      </c>
      <c r="E115" s="1" t="s">
        <v>118</v>
      </c>
      <c r="F115" s="3"/>
      <c r="G115" s="4"/>
      <c r="H115" s="4">
        <f>SUM(H110*0.35%)</f>
        <v>6075.2999999999993</v>
      </c>
      <c r="I115" s="16">
        <f t="shared" si="1"/>
        <v>6075.2999999999993</v>
      </c>
      <c r="J115" s="17"/>
    </row>
    <row r="116" spans="1:10" s="10" customFormat="1" ht="52.5" hidden="1" customHeight="1" x14ac:dyDescent="0.2">
      <c r="A116" s="3">
        <v>5130</v>
      </c>
      <c r="B116" s="3">
        <v>250</v>
      </c>
      <c r="C116" s="3" t="s">
        <v>114</v>
      </c>
      <c r="D116" s="3" t="s">
        <v>71</v>
      </c>
      <c r="E116" s="1" t="s">
        <v>62</v>
      </c>
      <c r="F116" s="3"/>
      <c r="G116" s="4"/>
      <c r="H116" s="4">
        <f>SUM(H110*0.013%)</f>
        <v>225.65399999999997</v>
      </c>
      <c r="I116" s="16">
        <f t="shared" si="1"/>
        <v>225.65399999999997</v>
      </c>
      <c r="J116" s="17"/>
    </row>
    <row r="117" spans="1:10" s="10" customFormat="1" ht="52.5" hidden="1" customHeight="1" x14ac:dyDescent="0.2">
      <c r="A117" s="3">
        <v>5130</v>
      </c>
      <c r="B117" s="3">
        <v>290</v>
      </c>
      <c r="C117" s="3" t="s">
        <v>114</v>
      </c>
      <c r="D117" s="3" t="s">
        <v>71</v>
      </c>
      <c r="E117" s="1" t="s">
        <v>63</v>
      </c>
      <c r="F117" s="3"/>
      <c r="G117" s="4"/>
      <c r="H117" s="4">
        <f>SUM(H110*2.412%)</f>
        <v>41867.495999999999</v>
      </c>
      <c r="I117" s="16">
        <f t="shared" si="1"/>
        <v>41867.495999999999</v>
      </c>
      <c r="J117" s="17"/>
    </row>
    <row r="118" spans="1:10" s="10" customFormat="1" ht="52.5" hidden="1" customHeight="1" x14ac:dyDescent="0.2">
      <c r="A118" s="3">
        <v>7800</v>
      </c>
      <c r="B118" s="3">
        <v>790</v>
      </c>
      <c r="C118" s="3" t="s">
        <v>116</v>
      </c>
      <c r="D118" s="3" t="s">
        <v>71</v>
      </c>
      <c r="E118" s="1" t="s">
        <v>123</v>
      </c>
      <c r="F118" s="3"/>
      <c r="G118" s="4"/>
      <c r="H118" s="4">
        <f>SUM(200*600)</f>
        <v>120000</v>
      </c>
      <c r="I118" s="16">
        <f t="shared" si="1"/>
        <v>120000</v>
      </c>
      <c r="J118" s="17"/>
    </row>
    <row r="119" spans="1:10" s="10" customFormat="1" ht="52.5" hidden="1" customHeight="1" x14ac:dyDescent="0.2">
      <c r="A119" s="3">
        <v>5100</v>
      </c>
      <c r="B119" s="3">
        <v>369</v>
      </c>
      <c r="C119" s="3" t="s">
        <v>122</v>
      </c>
      <c r="D119" s="3" t="s">
        <v>71</v>
      </c>
      <c r="E119" s="1" t="s">
        <v>125</v>
      </c>
      <c r="F119" s="3"/>
      <c r="G119" s="4"/>
      <c r="H119" s="4">
        <v>192000</v>
      </c>
      <c r="I119" s="16">
        <f t="shared" si="1"/>
        <v>192000</v>
      </c>
      <c r="J119" s="17"/>
    </row>
    <row r="120" spans="1:10" s="10" customFormat="1" ht="52.5" hidden="1" customHeight="1" x14ac:dyDescent="0.2">
      <c r="A120" s="3">
        <v>6400</v>
      </c>
      <c r="B120" s="3">
        <v>730</v>
      </c>
      <c r="C120" s="3" t="s">
        <v>124</v>
      </c>
      <c r="D120" s="3" t="s">
        <v>71</v>
      </c>
      <c r="E120" s="1" t="s">
        <v>127</v>
      </c>
      <c r="F120" s="3"/>
      <c r="G120" s="4"/>
      <c r="H120" s="11">
        <v>150000</v>
      </c>
      <c r="I120" s="16">
        <f t="shared" si="1"/>
        <v>150000</v>
      </c>
      <c r="J120" s="17"/>
    </row>
    <row r="121" spans="1:10" s="10" customFormat="1" ht="52.5" hidden="1" customHeight="1" x14ac:dyDescent="0.2">
      <c r="A121" s="3">
        <v>6400</v>
      </c>
      <c r="B121" s="3">
        <v>122</v>
      </c>
      <c r="C121" s="3" t="s">
        <v>124</v>
      </c>
      <c r="D121" s="3" t="s">
        <v>71</v>
      </c>
      <c r="E121" s="1" t="s">
        <v>128</v>
      </c>
      <c r="F121" s="3">
        <v>6.04</v>
      </c>
      <c r="G121" s="4"/>
      <c r="H121" s="11">
        <f>SUM(7*5*20*125*4)</f>
        <v>350000</v>
      </c>
      <c r="I121" s="16">
        <f t="shared" si="1"/>
        <v>350000</v>
      </c>
      <c r="J121" s="17"/>
    </row>
    <row r="122" spans="1:10" s="10" customFormat="1" ht="52.5" hidden="1" customHeight="1" x14ac:dyDescent="0.2">
      <c r="A122" s="3">
        <v>6400</v>
      </c>
      <c r="B122" s="3">
        <v>220</v>
      </c>
      <c r="C122" s="3" t="s">
        <v>124</v>
      </c>
      <c r="D122" s="3" t="s">
        <v>71</v>
      </c>
      <c r="E122" s="1" t="s">
        <v>60</v>
      </c>
      <c r="F122" s="3"/>
      <c r="G122" s="4"/>
      <c r="H122" s="11">
        <f>SUM(H121*0.0765)</f>
        <v>26775</v>
      </c>
      <c r="I122" s="16">
        <f t="shared" si="1"/>
        <v>26775</v>
      </c>
      <c r="J122" s="17"/>
    </row>
    <row r="123" spans="1:10" s="10" customFormat="1" ht="52.5" hidden="1" customHeight="1" x14ac:dyDescent="0.2">
      <c r="A123" s="3">
        <v>6400</v>
      </c>
      <c r="B123" s="3">
        <v>240</v>
      </c>
      <c r="C123" s="3" t="s">
        <v>124</v>
      </c>
      <c r="D123" s="3" t="s">
        <v>71</v>
      </c>
      <c r="E123" s="1" t="s">
        <v>61</v>
      </c>
      <c r="F123" s="3"/>
      <c r="G123" s="4"/>
      <c r="H123" s="11">
        <f>SUM(H121*0.35%)</f>
        <v>1224.9999999999998</v>
      </c>
      <c r="I123" s="16">
        <f t="shared" si="1"/>
        <v>1224.9999999999998</v>
      </c>
      <c r="J123" s="17"/>
    </row>
    <row r="124" spans="1:10" s="10" customFormat="1" ht="52.5" hidden="1" customHeight="1" x14ac:dyDescent="0.2">
      <c r="A124" s="3">
        <v>5100</v>
      </c>
      <c r="B124" s="3">
        <v>369</v>
      </c>
      <c r="C124" s="3" t="s">
        <v>126</v>
      </c>
      <c r="D124" s="3" t="s">
        <v>71</v>
      </c>
      <c r="E124" s="1" t="s">
        <v>166</v>
      </c>
      <c r="F124" s="3"/>
      <c r="G124" s="4"/>
      <c r="H124" s="11">
        <v>4167450</v>
      </c>
      <c r="I124" s="16">
        <f t="shared" si="1"/>
        <v>4167450</v>
      </c>
      <c r="J124" s="17"/>
    </row>
    <row r="125" spans="1:10" s="10" customFormat="1" ht="52.5" hidden="1" customHeight="1" x14ac:dyDescent="0.2">
      <c r="A125" s="3">
        <v>6400</v>
      </c>
      <c r="B125" s="3">
        <v>310</v>
      </c>
      <c r="C125" s="3" t="s">
        <v>126</v>
      </c>
      <c r="D125" s="3" t="s">
        <v>71</v>
      </c>
      <c r="E125" s="1" t="s">
        <v>167</v>
      </c>
      <c r="F125" s="3"/>
      <c r="G125" s="4"/>
      <c r="H125" s="11">
        <v>600000</v>
      </c>
      <c r="I125" s="16">
        <f t="shared" si="1"/>
        <v>600000</v>
      </c>
      <c r="J125" s="17"/>
    </row>
    <row r="126" spans="1:10" s="10" customFormat="1" ht="52.5" hidden="1" customHeight="1" x14ac:dyDescent="0.2">
      <c r="A126" s="3">
        <v>6400</v>
      </c>
      <c r="B126" s="3">
        <v>391</v>
      </c>
      <c r="C126" s="3" t="s">
        <v>126</v>
      </c>
      <c r="D126" s="3" t="s">
        <v>71</v>
      </c>
      <c r="E126" s="1" t="s">
        <v>168</v>
      </c>
      <c r="F126" s="3"/>
      <c r="G126" s="4"/>
      <c r="H126" s="11">
        <v>1597500</v>
      </c>
      <c r="I126" s="16">
        <f t="shared" si="1"/>
        <v>1597500</v>
      </c>
      <c r="J126" s="17"/>
    </row>
    <row r="127" spans="1:10" s="10" customFormat="1" ht="52.5" hidden="1" customHeight="1" x14ac:dyDescent="0.2">
      <c r="A127" s="3">
        <v>6400</v>
      </c>
      <c r="B127" s="3">
        <v>110</v>
      </c>
      <c r="C127" s="3" t="s">
        <v>126</v>
      </c>
      <c r="D127" s="3" t="s">
        <v>71</v>
      </c>
      <c r="E127" s="1" t="s">
        <v>178</v>
      </c>
      <c r="F127" s="3">
        <v>1</v>
      </c>
      <c r="G127" s="4"/>
      <c r="H127" s="11">
        <v>130000</v>
      </c>
      <c r="I127" s="16">
        <f t="shared" si="1"/>
        <v>130000</v>
      </c>
      <c r="J127" s="17"/>
    </row>
    <row r="128" spans="1:10" s="10" customFormat="1" ht="52.5" hidden="1" customHeight="1" x14ac:dyDescent="0.2">
      <c r="A128" s="3">
        <v>6400</v>
      </c>
      <c r="B128" s="3">
        <v>210</v>
      </c>
      <c r="C128" s="3" t="s">
        <v>126</v>
      </c>
      <c r="D128" s="3" t="s">
        <v>71</v>
      </c>
      <c r="E128" s="19" t="s">
        <v>59</v>
      </c>
      <c r="F128" s="3"/>
      <c r="G128" s="4"/>
      <c r="H128" s="4">
        <f>SUM(H127*0.1082)</f>
        <v>14066</v>
      </c>
      <c r="I128" s="16">
        <f t="shared" si="1"/>
        <v>14066</v>
      </c>
      <c r="J128" s="17"/>
    </row>
    <row r="129" spans="1:10" s="10" customFormat="1" ht="52.5" hidden="1" customHeight="1" x14ac:dyDescent="0.2">
      <c r="A129" s="3">
        <v>6400</v>
      </c>
      <c r="B129" s="3">
        <v>220</v>
      </c>
      <c r="C129" s="3" t="s">
        <v>126</v>
      </c>
      <c r="D129" s="3" t="s">
        <v>71</v>
      </c>
      <c r="E129" s="1" t="s">
        <v>60</v>
      </c>
      <c r="F129" s="3"/>
      <c r="G129" s="4"/>
      <c r="H129" s="4">
        <f>SUM(H127*0.0765)</f>
        <v>9945</v>
      </c>
      <c r="I129" s="16">
        <f t="shared" si="1"/>
        <v>9945</v>
      </c>
      <c r="J129" s="17"/>
    </row>
    <row r="130" spans="1:10" s="10" customFormat="1" ht="52.5" hidden="1" customHeight="1" x14ac:dyDescent="0.2">
      <c r="A130" s="3">
        <v>6400</v>
      </c>
      <c r="B130" s="3">
        <v>230</v>
      </c>
      <c r="C130" s="3" t="s">
        <v>126</v>
      </c>
      <c r="D130" s="3" t="s">
        <v>71</v>
      </c>
      <c r="E130" s="1" t="s">
        <v>121</v>
      </c>
      <c r="F130" s="3"/>
      <c r="G130" s="4"/>
      <c r="H130" s="4">
        <v>18578</v>
      </c>
      <c r="I130" s="16">
        <f t="shared" si="1"/>
        <v>18578</v>
      </c>
      <c r="J130" s="17"/>
    </row>
    <row r="131" spans="1:10" s="10" customFormat="1" ht="52.5" hidden="1" customHeight="1" x14ac:dyDescent="0.2">
      <c r="A131" s="3">
        <v>6400</v>
      </c>
      <c r="B131" s="3">
        <v>231</v>
      </c>
      <c r="C131" s="3" t="s">
        <v>126</v>
      </c>
      <c r="D131" s="3" t="s">
        <v>71</v>
      </c>
      <c r="E131" s="1" t="s">
        <v>25</v>
      </c>
      <c r="F131" s="3"/>
      <c r="G131" s="4"/>
      <c r="H131" s="4">
        <f>SUM(H127*0.0706%)</f>
        <v>91.779999999999987</v>
      </c>
      <c r="I131" s="16">
        <f t="shared" si="1"/>
        <v>91.779999999999987</v>
      </c>
      <c r="J131" s="17"/>
    </row>
    <row r="132" spans="1:10" s="10" customFormat="1" ht="52.5" hidden="1" customHeight="1" x14ac:dyDescent="0.2">
      <c r="A132" s="3">
        <v>6400</v>
      </c>
      <c r="B132" s="3">
        <v>240</v>
      </c>
      <c r="C132" s="3" t="s">
        <v>126</v>
      </c>
      <c r="D132" s="3" t="s">
        <v>71</v>
      </c>
      <c r="E132" s="1" t="s">
        <v>61</v>
      </c>
      <c r="F132" s="3"/>
      <c r="G132" s="4"/>
      <c r="H132" s="4">
        <f>SUM(H127*0.35%)</f>
        <v>454.99999999999994</v>
      </c>
      <c r="I132" s="16">
        <f t="shared" si="1"/>
        <v>454.99999999999994</v>
      </c>
      <c r="J132" s="17"/>
    </row>
    <row r="133" spans="1:10" s="10" customFormat="1" ht="52.5" hidden="1" customHeight="1" x14ac:dyDescent="0.2">
      <c r="A133" s="3">
        <v>6400</v>
      </c>
      <c r="B133" s="3">
        <v>250</v>
      </c>
      <c r="C133" s="3" t="s">
        <v>126</v>
      </c>
      <c r="D133" s="3" t="s">
        <v>71</v>
      </c>
      <c r="E133" s="1" t="s">
        <v>62</v>
      </c>
      <c r="F133" s="3"/>
      <c r="G133" s="4"/>
      <c r="H133" s="4">
        <f>SUM(H127*0.013%)</f>
        <v>16.899999999999999</v>
      </c>
      <c r="I133" s="16">
        <f t="shared" si="1"/>
        <v>16.899999999999999</v>
      </c>
      <c r="J133" s="17"/>
    </row>
    <row r="134" spans="1:10" s="10" customFormat="1" ht="52.5" hidden="1" customHeight="1" x14ac:dyDescent="0.2">
      <c r="A134" s="3">
        <v>6400</v>
      </c>
      <c r="B134" s="3">
        <v>290</v>
      </c>
      <c r="C134" s="3" t="s">
        <v>126</v>
      </c>
      <c r="D134" s="3" t="s">
        <v>71</v>
      </c>
      <c r="E134" s="1" t="s">
        <v>63</v>
      </c>
      <c r="F134" s="3"/>
      <c r="G134" s="4"/>
      <c r="H134" s="4">
        <f>SUM(H127*2.412%)</f>
        <v>3135.6</v>
      </c>
      <c r="I134" s="16">
        <f t="shared" si="1"/>
        <v>3135.6</v>
      </c>
      <c r="J134" s="17"/>
    </row>
    <row r="135" spans="1:10" s="10" customFormat="1" ht="52.5" hidden="1" customHeight="1" x14ac:dyDescent="0.2">
      <c r="A135" s="3">
        <v>5100</v>
      </c>
      <c r="B135" s="3">
        <v>150</v>
      </c>
      <c r="C135" s="3" t="s">
        <v>184</v>
      </c>
      <c r="D135" s="3" t="s">
        <v>71</v>
      </c>
      <c r="E135" s="1" t="s">
        <v>316</v>
      </c>
      <c r="F135" s="3">
        <v>125</v>
      </c>
      <c r="G135" s="4"/>
      <c r="H135" s="11">
        <f>SUM(125*9800*2)</f>
        <v>2450000</v>
      </c>
      <c r="I135" s="16">
        <f t="shared" si="1"/>
        <v>2450000</v>
      </c>
      <c r="J135" s="17"/>
    </row>
    <row r="136" spans="1:10" s="10" customFormat="1" ht="52.5" hidden="1" customHeight="1" x14ac:dyDescent="0.2">
      <c r="A136" s="3">
        <v>5100</v>
      </c>
      <c r="B136" s="3">
        <v>150</v>
      </c>
      <c r="C136" s="3" t="s">
        <v>184</v>
      </c>
      <c r="D136" s="3" t="s">
        <v>71</v>
      </c>
      <c r="E136" s="1" t="s">
        <v>328</v>
      </c>
      <c r="F136" s="3">
        <v>125</v>
      </c>
      <c r="G136" s="4"/>
      <c r="H136" s="11">
        <f>SUM(60*9800*2)</f>
        <v>1176000</v>
      </c>
      <c r="I136" s="16">
        <f>SUM(G136:H136)</f>
        <v>1176000</v>
      </c>
      <c r="J136" s="17"/>
    </row>
    <row r="137" spans="1:10" s="10" customFormat="1" ht="52.5" hidden="1" customHeight="1" x14ac:dyDescent="0.2">
      <c r="A137" s="3">
        <v>5100</v>
      </c>
      <c r="B137" s="3">
        <v>210</v>
      </c>
      <c r="C137" s="3" t="s">
        <v>184</v>
      </c>
      <c r="D137" s="3" t="s">
        <v>71</v>
      </c>
      <c r="E137" s="19" t="s">
        <v>59</v>
      </c>
      <c r="F137" s="3"/>
      <c r="G137" s="4"/>
      <c r="H137" s="4">
        <f>SUM(H135*0.1082)</f>
        <v>265090</v>
      </c>
      <c r="I137" s="16">
        <f t="shared" si="1"/>
        <v>265090</v>
      </c>
      <c r="J137" s="17"/>
    </row>
    <row r="138" spans="1:10" s="10" customFormat="1" ht="52.5" hidden="1" customHeight="1" x14ac:dyDescent="0.2">
      <c r="A138" s="3">
        <v>5100</v>
      </c>
      <c r="B138" s="3">
        <v>220</v>
      </c>
      <c r="C138" s="3" t="s">
        <v>184</v>
      </c>
      <c r="D138" s="3" t="s">
        <v>71</v>
      </c>
      <c r="E138" s="1" t="s">
        <v>60</v>
      </c>
      <c r="F138" s="3"/>
      <c r="G138" s="4"/>
      <c r="H138" s="4">
        <f>SUM(H135*0.0765)</f>
        <v>187425</v>
      </c>
      <c r="I138" s="16">
        <f t="shared" si="1"/>
        <v>187425</v>
      </c>
      <c r="J138" s="17"/>
    </row>
    <row r="139" spans="1:10" s="10" customFormat="1" ht="52.5" hidden="1" customHeight="1" x14ac:dyDescent="0.2">
      <c r="A139" s="3">
        <v>5100</v>
      </c>
      <c r="B139" s="3">
        <v>230</v>
      </c>
      <c r="C139" s="3" t="s">
        <v>184</v>
      </c>
      <c r="D139" s="3" t="s">
        <v>71</v>
      </c>
      <c r="E139" s="1" t="s">
        <v>121</v>
      </c>
      <c r="F139" s="3"/>
      <c r="G139" s="4"/>
      <c r="H139" s="4">
        <f>SUM(185*9289*2)</f>
        <v>3436930</v>
      </c>
      <c r="I139" s="16">
        <f t="shared" si="1"/>
        <v>3436930</v>
      </c>
      <c r="J139" s="17"/>
    </row>
    <row r="140" spans="1:10" s="10" customFormat="1" ht="52.5" hidden="1" customHeight="1" x14ac:dyDescent="0.2">
      <c r="A140" s="3">
        <v>5100</v>
      </c>
      <c r="B140" s="3">
        <v>231</v>
      </c>
      <c r="C140" s="3" t="s">
        <v>184</v>
      </c>
      <c r="D140" s="3" t="s">
        <v>71</v>
      </c>
      <c r="E140" s="1" t="s">
        <v>25</v>
      </c>
      <c r="F140" s="3"/>
      <c r="G140" s="4"/>
      <c r="H140" s="4">
        <f>SUM(H135*0.0706%)</f>
        <v>1729.6999999999998</v>
      </c>
      <c r="I140" s="16">
        <f t="shared" si="1"/>
        <v>1729.6999999999998</v>
      </c>
      <c r="J140" s="17"/>
    </row>
    <row r="141" spans="1:10" s="10" customFormat="1" ht="52.5" hidden="1" customHeight="1" x14ac:dyDescent="0.2">
      <c r="A141" s="3">
        <v>5100</v>
      </c>
      <c r="B141" s="3">
        <v>240</v>
      </c>
      <c r="C141" s="3" t="s">
        <v>184</v>
      </c>
      <c r="D141" s="3" t="s">
        <v>71</v>
      </c>
      <c r="E141" s="1" t="s">
        <v>61</v>
      </c>
      <c r="F141" s="3"/>
      <c r="G141" s="4"/>
      <c r="H141" s="4">
        <f>SUM(H135*0.35%)</f>
        <v>8575</v>
      </c>
      <c r="I141" s="16">
        <f t="shared" ref="I141:I184" si="2">SUM(G141:H141)</f>
        <v>8575</v>
      </c>
      <c r="J141" s="17"/>
    </row>
    <row r="142" spans="1:10" s="10" customFormat="1" ht="52.5" hidden="1" customHeight="1" x14ac:dyDescent="0.2">
      <c r="A142" s="3">
        <v>5100</v>
      </c>
      <c r="B142" s="3">
        <v>250</v>
      </c>
      <c r="C142" s="3" t="s">
        <v>184</v>
      </c>
      <c r="D142" s="3" t="s">
        <v>71</v>
      </c>
      <c r="E142" s="1" t="s">
        <v>62</v>
      </c>
      <c r="F142" s="3"/>
      <c r="G142" s="4"/>
      <c r="H142" s="4">
        <f>SUM(H135*0.013%)</f>
        <v>318.5</v>
      </c>
      <c r="I142" s="16">
        <f t="shared" si="2"/>
        <v>318.5</v>
      </c>
      <c r="J142" s="17"/>
    </row>
    <row r="143" spans="1:10" s="10" customFormat="1" ht="52.5" hidden="1" customHeight="1" x14ac:dyDescent="0.2">
      <c r="A143" s="3">
        <v>5100</v>
      </c>
      <c r="B143" s="3">
        <v>290</v>
      </c>
      <c r="C143" s="3" t="s">
        <v>184</v>
      </c>
      <c r="D143" s="3" t="s">
        <v>71</v>
      </c>
      <c r="E143" s="1" t="s">
        <v>63</v>
      </c>
      <c r="F143" s="3"/>
      <c r="G143" s="4"/>
      <c r="H143" s="4">
        <f>SUM(H135*2.412%)</f>
        <v>59094</v>
      </c>
      <c r="I143" s="16">
        <f t="shared" si="2"/>
        <v>59094</v>
      </c>
      <c r="J143" s="17"/>
    </row>
    <row r="144" spans="1:10" s="10" customFormat="1" ht="52.5" hidden="1" customHeight="1" x14ac:dyDescent="0.2">
      <c r="A144" s="3">
        <v>6400</v>
      </c>
      <c r="B144" s="3">
        <v>150</v>
      </c>
      <c r="C144" s="3" t="s">
        <v>184</v>
      </c>
      <c r="D144" s="3" t="s">
        <v>71</v>
      </c>
      <c r="E144" s="1" t="s">
        <v>299</v>
      </c>
      <c r="F144" s="3"/>
      <c r="G144" s="4"/>
      <c r="H144" s="4">
        <f>SUM(3*4*100*1*25)</f>
        <v>30000</v>
      </c>
      <c r="I144" s="16">
        <f t="shared" si="2"/>
        <v>30000</v>
      </c>
      <c r="J144" s="17"/>
    </row>
    <row r="145" spans="1:10" s="10" customFormat="1" ht="52.5" hidden="1" customHeight="1" x14ac:dyDescent="0.2">
      <c r="A145" s="3">
        <v>6400</v>
      </c>
      <c r="B145" s="3">
        <v>220</v>
      </c>
      <c r="C145" s="3" t="s">
        <v>184</v>
      </c>
      <c r="D145" s="3" t="s">
        <v>71</v>
      </c>
      <c r="E145" s="1" t="s">
        <v>40</v>
      </c>
      <c r="F145" s="3"/>
      <c r="G145" s="4"/>
      <c r="H145" s="4">
        <f>SUM(H144*0.0765)</f>
        <v>2295</v>
      </c>
      <c r="I145" s="16">
        <f t="shared" si="2"/>
        <v>2295</v>
      </c>
      <c r="J145" s="17"/>
    </row>
    <row r="146" spans="1:10" s="10" customFormat="1" ht="52.5" hidden="1" customHeight="1" x14ac:dyDescent="0.2">
      <c r="A146" s="3">
        <v>6400</v>
      </c>
      <c r="B146" s="3">
        <v>240</v>
      </c>
      <c r="C146" s="3" t="s">
        <v>184</v>
      </c>
      <c r="D146" s="3" t="s">
        <v>71</v>
      </c>
      <c r="E146" s="1" t="s">
        <v>61</v>
      </c>
      <c r="F146" s="3"/>
      <c r="G146" s="4"/>
      <c r="H146" s="4">
        <f>SUM(H144*0.35%)</f>
        <v>104.99999999999999</v>
      </c>
      <c r="I146" s="16">
        <f t="shared" si="2"/>
        <v>104.99999999999999</v>
      </c>
      <c r="J146" s="17"/>
    </row>
    <row r="147" spans="1:10" s="10" customFormat="1" ht="52.5" hidden="1" customHeight="1" x14ac:dyDescent="0.2">
      <c r="A147" s="3">
        <v>6100</v>
      </c>
      <c r="B147" s="3">
        <v>130</v>
      </c>
      <c r="C147" s="3" t="s">
        <v>76</v>
      </c>
      <c r="D147" s="3" t="s">
        <v>129</v>
      </c>
      <c r="E147" s="1" t="s">
        <v>130</v>
      </c>
      <c r="F147" s="3">
        <v>42</v>
      </c>
      <c r="G147" s="4"/>
      <c r="H147" s="11">
        <f>SUM(42*52500*2)</f>
        <v>4410000</v>
      </c>
      <c r="I147" s="16">
        <f t="shared" si="2"/>
        <v>4410000</v>
      </c>
      <c r="J147" s="17"/>
    </row>
    <row r="148" spans="1:10" s="10" customFormat="1" ht="52.5" hidden="1" customHeight="1" x14ac:dyDescent="0.2">
      <c r="A148" s="3">
        <v>6100</v>
      </c>
      <c r="B148" s="3">
        <v>210</v>
      </c>
      <c r="C148" s="3" t="s">
        <v>76</v>
      </c>
      <c r="D148" s="3" t="s">
        <v>129</v>
      </c>
      <c r="E148" s="19" t="s">
        <v>59</v>
      </c>
      <c r="F148" s="3"/>
      <c r="G148" s="4"/>
      <c r="H148" s="4">
        <f>SUM(H147*0.1082)</f>
        <v>477162</v>
      </c>
      <c r="I148" s="16">
        <f t="shared" si="2"/>
        <v>477162</v>
      </c>
      <c r="J148" s="17"/>
    </row>
    <row r="149" spans="1:10" s="10" customFormat="1" ht="52.5" hidden="1" customHeight="1" x14ac:dyDescent="0.2">
      <c r="A149" s="3">
        <v>6100</v>
      </c>
      <c r="B149" s="3">
        <v>220</v>
      </c>
      <c r="C149" s="3" t="s">
        <v>76</v>
      </c>
      <c r="D149" s="3" t="s">
        <v>129</v>
      </c>
      <c r="E149" s="1" t="s">
        <v>60</v>
      </c>
      <c r="F149" s="3"/>
      <c r="G149" s="4"/>
      <c r="H149" s="4">
        <f>SUM(H147*0.0765)</f>
        <v>337365</v>
      </c>
      <c r="I149" s="16">
        <f t="shared" si="2"/>
        <v>337365</v>
      </c>
      <c r="J149" s="17"/>
    </row>
    <row r="150" spans="1:10" s="10" customFormat="1" ht="52.5" hidden="1" customHeight="1" x14ac:dyDescent="0.2">
      <c r="A150" s="3">
        <v>6100</v>
      </c>
      <c r="B150" s="3">
        <v>230</v>
      </c>
      <c r="C150" s="3" t="s">
        <v>76</v>
      </c>
      <c r="D150" s="3" t="s">
        <v>129</v>
      </c>
      <c r="E150" s="1" t="s">
        <v>121</v>
      </c>
      <c r="F150" s="3"/>
      <c r="G150" s="4"/>
      <c r="H150" s="4">
        <f>SUM(42*9289)</f>
        <v>390138</v>
      </c>
      <c r="I150" s="16">
        <f t="shared" si="2"/>
        <v>390138</v>
      </c>
      <c r="J150" s="17"/>
    </row>
    <row r="151" spans="1:10" s="10" customFormat="1" ht="52.5" hidden="1" customHeight="1" x14ac:dyDescent="0.2">
      <c r="A151" s="3">
        <v>6100</v>
      </c>
      <c r="B151" s="3">
        <v>231</v>
      </c>
      <c r="C151" s="3" t="s">
        <v>76</v>
      </c>
      <c r="D151" s="3" t="s">
        <v>129</v>
      </c>
      <c r="E151" s="1" t="s">
        <v>25</v>
      </c>
      <c r="F151" s="3"/>
      <c r="G151" s="4"/>
      <c r="H151" s="4">
        <f>SUM(H147*0.0706%)</f>
        <v>3113.4599999999996</v>
      </c>
      <c r="I151" s="16">
        <f t="shared" si="2"/>
        <v>3113.4599999999996</v>
      </c>
      <c r="J151" s="17"/>
    </row>
    <row r="152" spans="1:10" s="10" customFormat="1" ht="52.5" hidden="1" customHeight="1" x14ac:dyDescent="0.2">
      <c r="A152" s="3">
        <v>6100</v>
      </c>
      <c r="B152" s="3">
        <v>240</v>
      </c>
      <c r="C152" s="3" t="s">
        <v>76</v>
      </c>
      <c r="D152" s="3" t="s">
        <v>129</v>
      </c>
      <c r="E152" s="1" t="s">
        <v>61</v>
      </c>
      <c r="F152" s="3"/>
      <c r="G152" s="4"/>
      <c r="H152" s="4">
        <f>SUM(H147*0.35%)</f>
        <v>15434.999999999998</v>
      </c>
      <c r="I152" s="16">
        <f t="shared" si="2"/>
        <v>15434.999999999998</v>
      </c>
      <c r="J152" s="17"/>
    </row>
    <row r="153" spans="1:10" s="10" customFormat="1" ht="52.5" hidden="1" customHeight="1" x14ac:dyDescent="0.2">
      <c r="A153" s="3">
        <v>6100</v>
      </c>
      <c r="B153" s="3">
        <v>250</v>
      </c>
      <c r="C153" s="3" t="s">
        <v>76</v>
      </c>
      <c r="D153" s="3" t="s">
        <v>129</v>
      </c>
      <c r="E153" s="1" t="s">
        <v>62</v>
      </c>
      <c r="F153" s="3"/>
      <c r="G153" s="4"/>
      <c r="H153" s="4">
        <f>SUM(H147*0.013%)</f>
        <v>573.29999999999995</v>
      </c>
      <c r="I153" s="16">
        <f t="shared" si="2"/>
        <v>573.29999999999995</v>
      </c>
      <c r="J153" s="17"/>
    </row>
    <row r="154" spans="1:10" s="10" customFormat="1" ht="52.5" hidden="1" customHeight="1" x14ac:dyDescent="0.2">
      <c r="A154" s="3">
        <v>6100</v>
      </c>
      <c r="B154" s="3">
        <v>290</v>
      </c>
      <c r="C154" s="3" t="s">
        <v>76</v>
      </c>
      <c r="D154" s="3" t="s">
        <v>129</v>
      </c>
      <c r="E154" s="1" t="s">
        <v>63</v>
      </c>
      <c r="F154" s="3"/>
      <c r="G154" s="4"/>
      <c r="H154" s="4">
        <f>SUM(H147*2.412%)</f>
        <v>106369.2</v>
      </c>
      <c r="I154" s="16">
        <f t="shared" si="2"/>
        <v>106369.2</v>
      </c>
      <c r="J154" s="17"/>
    </row>
    <row r="155" spans="1:10" s="10" customFormat="1" ht="52.5" hidden="1" customHeight="1" x14ac:dyDescent="0.2">
      <c r="A155" s="3">
        <v>5300</v>
      </c>
      <c r="B155" s="3">
        <v>643</v>
      </c>
      <c r="C155" s="3" t="s">
        <v>76</v>
      </c>
      <c r="D155" s="3" t="s">
        <v>131</v>
      </c>
      <c r="E155" s="1" t="s">
        <v>147</v>
      </c>
      <c r="F155" s="3"/>
      <c r="G155" s="4"/>
      <c r="H155" s="4">
        <v>151646</v>
      </c>
      <c r="I155" s="16">
        <f t="shared" si="2"/>
        <v>151646</v>
      </c>
      <c r="J155" s="17"/>
    </row>
    <row r="156" spans="1:10" s="10" customFormat="1" ht="52.5" hidden="1" customHeight="1" x14ac:dyDescent="0.2">
      <c r="A156" s="3">
        <v>5300</v>
      </c>
      <c r="B156" s="3">
        <v>515</v>
      </c>
      <c r="C156" s="3" t="s">
        <v>77</v>
      </c>
      <c r="D156" s="3" t="s">
        <v>131</v>
      </c>
      <c r="E156" s="1" t="s">
        <v>145</v>
      </c>
      <c r="F156" s="3"/>
      <c r="G156" s="4"/>
      <c r="H156" s="4">
        <v>411597</v>
      </c>
      <c r="I156" s="16">
        <f t="shared" si="2"/>
        <v>411597</v>
      </c>
      <c r="J156" s="17"/>
    </row>
    <row r="157" spans="1:10" s="10" customFormat="1" ht="52.5" hidden="1" customHeight="1" x14ac:dyDescent="0.2">
      <c r="A157" s="3">
        <v>5300</v>
      </c>
      <c r="B157" s="3">
        <v>360</v>
      </c>
      <c r="C157" s="3" t="s">
        <v>79</v>
      </c>
      <c r="D157" s="3" t="s">
        <v>131</v>
      </c>
      <c r="E157" s="1" t="s">
        <v>291</v>
      </c>
      <c r="F157" s="3"/>
      <c r="G157" s="4"/>
      <c r="H157" s="4">
        <v>10000</v>
      </c>
      <c r="I157" s="16">
        <f t="shared" si="2"/>
        <v>10000</v>
      </c>
      <c r="J157" s="17"/>
    </row>
    <row r="158" spans="1:10" s="10" customFormat="1" ht="52.5" hidden="1" customHeight="1" x14ac:dyDescent="0.2">
      <c r="A158" s="5">
        <v>6300</v>
      </c>
      <c r="B158" s="5">
        <v>122</v>
      </c>
      <c r="C158" s="3" t="s">
        <v>79</v>
      </c>
      <c r="D158" s="3" t="s">
        <v>131</v>
      </c>
      <c r="E158" s="9" t="s">
        <v>292</v>
      </c>
      <c r="F158" s="3"/>
      <c r="G158" s="4"/>
      <c r="H158" s="4">
        <v>114240</v>
      </c>
      <c r="I158" s="16">
        <f t="shared" si="2"/>
        <v>114240</v>
      </c>
      <c r="J158" s="17"/>
    </row>
    <row r="159" spans="1:10" s="10" customFormat="1" ht="52.5" hidden="1" customHeight="1" x14ac:dyDescent="0.2">
      <c r="A159" s="20">
        <v>6300</v>
      </c>
      <c r="B159" s="20">
        <v>210</v>
      </c>
      <c r="C159" s="3" t="s">
        <v>79</v>
      </c>
      <c r="D159" s="3" t="s">
        <v>131</v>
      </c>
      <c r="E159" s="21" t="s">
        <v>293</v>
      </c>
      <c r="F159" s="3"/>
      <c r="G159" s="4"/>
      <c r="H159" s="4">
        <v>12361</v>
      </c>
      <c r="I159" s="16">
        <f t="shared" si="2"/>
        <v>12361</v>
      </c>
      <c r="J159" s="17"/>
    </row>
    <row r="160" spans="1:10" s="10" customFormat="1" ht="52.5" hidden="1" customHeight="1" x14ac:dyDescent="0.2">
      <c r="A160" s="20">
        <v>6300</v>
      </c>
      <c r="B160" s="20">
        <v>220</v>
      </c>
      <c r="C160" s="3" t="s">
        <v>79</v>
      </c>
      <c r="D160" s="3" t="s">
        <v>131</v>
      </c>
      <c r="E160" s="21" t="s">
        <v>294</v>
      </c>
      <c r="F160" s="3"/>
      <c r="G160" s="4"/>
      <c r="H160" s="4">
        <v>8739</v>
      </c>
      <c r="I160" s="16">
        <f t="shared" si="2"/>
        <v>8739</v>
      </c>
      <c r="J160" s="17"/>
    </row>
    <row r="161" spans="1:10" s="10" customFormat="1" ht="52.5" hidden="1" customHeight="1" x14ac:dyDescent="0.2">
      <c r="A161" s="20">
        <v>6300</v>
      </c>
      <c r="B161" s="20">
        <v>240</v>
      </c>
      <c r="C161" s="3" t="s">
        <v>79</v>
      </c>
      <c r="D161" s="3" t="s">
        <v>131</v>
      </c>
      <c r="E161" s="22" t="s">
        <v>295</v>
      </c>
      <c r="F161" s="3"/>
      <c r="G161" s="4"/>
      <c r="H161" s="4">
        <v>400</v>
      </c>
      <c r="I161" s="16">
        <f t="shared" si="2"/>
        <v>400</v>
      </c>
      <c r="J161" s="17"/>
    </row>
    <row r="162" spans="1:10" s="10" customFormat="1" ht="52.5" hidden="1" customHeight="1" x14ac:dyDescent="0.2">
      <c r="A162" s="3">
        <v>5300</v>
      </c>
      <c r="B162" s="3">
        <v>369</v>
      </c>
      <c r="C162" s="3" t="s">
        <v>94</v>
      </c>
      <c r="D162" s="3" t="s">
        <v>131</v>
      </c>
      <c r="E162" s="1" t="s">
        <v>307</v>
      </c>
      <c r="F162" s="3"/>
      <c r="G162" s="4"/>
      <c r="H162" s="4">
        <v>10000</v>
      </c>
      <c r="I162" s="16">
        <f t="shared" si="2"/>
        <v>10000</v>
      </c>
      <c r="J162" s="17"/>
    </row>
    <row r="163" spans="1:10" s="10" customFormat="1" ht="52.5" hidden="1" customHeight="1" x14ac:dyDescent="0.2">
      <c r="A163" s="3">
        <v>5300</v>
      </c>
      <c r="B163" s="3">
        <v>390</v>
      </c>
      <c r="C163" s="3" t="s">
        <v>94</v>
      </c>
      <c r="D163" s="3" t="s">
        <v>131</v>
      </c>
      <c r="E163" s="22" t="s">
        <v>296</v>
      </c>
      <c r="F163" s="3"/>
      <c r="G163" s="4"/>
      <c r="H163" s="4">
        <v>70000</v>
      </c>
      <c r="I163" s="16">
        <f t="shared" si="2"/>
        <v>70000</v>
      </c>
      <c r="J163" s="17"/>
    </row>
    <row r="164" spans="1:10" s="10" customFormat="1" ht="52.5" hidden="1" customHeight="1" x14ac:dyDescent="0.2">
      <c r="A164" s="3">
        <v>5300</v>
      </c>
      <c r="B164" s="3">
        <v>643</v>
      </c>
      <c r="C164" s="3" t="s">
        <v>94</v>
      </c>
      <c r="D164" s="3" t="s">
        <v>131</v>
      </c>
      <c r="E164" s="6" t="s">
        <v>308</v>
      </c>
      <c r="F164" s="3"/>
      <c r="G164" s="4"/>
      <c r="H164" s="4">
        <v>150000</v>
      </c>
      <c r="I164" s="16">
        <f t="shared" si="2"/>
        <v>150000</v>
      </c>
      <c r="J164" s="17"/>
    </row>
    <row r="165" spans="1:10" s="10" customFormat="1" ht="52.5" hidden="1" customHeight="1" x14ac:dyDescent="0.2">
      <c r="A165" s="3">
        <v>5300</v>
      </c>
      <c r="B165" s="3">
        <v>644</v>
      </c>
      <c r="C165" s="3" t="s">
        <v>94</v>
      </c>
      <c r="D165" s="3" t="s">
        <v>131</v>
      </c>
      <c r="E165" s="6" t="s">
        <v>297</v>
      </c>
      <c r="F165" s="3"/>
      <c r="G165" s="4"/>
      <c r="H165" s="4">
        <v>18000</v>
      </c>
      <c r="I165" s="16">
        <f t="shared" si="2"/>
        <v>18000</v>
      </c>
      <c r="J165" s="17"/>
    </row>
    <row r="166" spans="1:10" s="10" customFormat="1" ht="52.5" hidden="1" customHeight="1" x14ac:dyDescent="0.2">
      <c r="A166" s="3">
        <v>5300</v>
      </c>
      <c r="B166" s="3">
        <v>124</v>
      </c>
      <c r="C166" s="3" t="s">
        <v>94</v>
      </c>
      <c r="D166" s="3" t="s">
        <v>131</v>
      </c>
      <c r="E166" s="9" t="s">
        <v>317</v>
      </c>
      <c r="F166" s="3"/>
      <c r="G166" s="4"/>
      <c r="H166" s="4">
        <v>23920</v>
      </c>
      <c r="I166" s="16">
        <f t="shared" si="2"/>
        <v>23920</v>
      </c>
      <c r="J166" s="17"/>
    </row>
    <row r="167" spans="1:10" s="10" customFormat="1" ht="52.5" hidden="1" customHeight="1" x14ac:dyDescent="0.2">
      <c r="A167" s="3">
        <v>5300</v>
      </c>
      <c r="B167" s="3">
        <v>210</v>
      </c>
      <c r="C167" s="3" t="s">
        <v>94</v>
      </c>
      <c r="D167" s="3" t="s">
        <v>131</v>
      </c>
      <c r="E167" s="21" t="s">
        <v>318</v>
      </c>
      <c r="F167" s="3"/>
      <c r="G167" s="4"/>
      <c r="H167" s="4">
        <v>2588</v>
      </c>
      <c r="I167" s="16">
        <f t="shared" si="2"/>
        <v>2588</v>
      </c>
      <c r="J167" s="17"/>
    </row>
    <row r="168" spans="1:10" s="10" customFormat="1" ht="52.5" hidden="1" customHeight="1" x14ac:dyDescent="0.2">
      <c r="A168" s="3">
        <v>5300</v>
      </c>
      <c r="B168" s="3">
        <v>220</v>
      </c>
      <c r="C168" s="3" t="s">
        <v>94</v>
      </c>
      <c r="D168" s="3" t="s">
        <v>131</v>
      </c>
      <c r="E168" s="21" t="s">
        <v>319</v>
      </c>
      <c r="F168" s="3"/>
      <c r="G168" s="4"/>
      <c r="H168" s="4">
        <v>1830</v>
      </c>
      <c r="I168" s="16">
        <f t="shared" si="2"/>
        <v>1830</v>
      </c>
      <c r="J168" s="17"/>
    </row>
    <row r="169" spans="1:10" s="10" customFormat="1" ht="52.5" hidden="1" customHeight="1" x14ac:dyDescent="0.2">
      <c r="A169" s="3">
        <v>5300</v>
      </c>
      <c r="B169" s="3">
        <v>240</v>
      </c>
      <c r="C169" s="3" t="s">
        <v>94</v>
      </c>
      <c r="D169" s="3" t="s">
        <v>131</v>
      </c>
      <c r="E169" s="22" t="s">
        <v>320</v>
      </c>
      <c r="F169" s="3"/>
      <c r="G169" s="4"/>
      <c r="H169" s="4">
        <v>84</v>
      </c>
      <c r="I169" s="16">
        <f t="shared" si="2"/>
        <v>84</v>
      </c>
      <c r="J169" s="17"/>
    </row>
    <row r="170" spans="1:10" s="10" customFormat="1" ht="52.5" hidden="1" customHeight="1" x14ac:dyDescent="0.2">
      <c r="A170" s="3">
        <v>7600</v>
      </c>
      <c r="B170" s="3">
        <v>641</v>
      </c>
      <c r="C170" s="3" t="s">
        <v>76</v>
      </c>
      <c r="D170" s="3" t="s">
        <v>49</v>
      </c>
      <c r="E170" s="1" t="s">
        <v>148</v>
      </c>
      <c r="F170" s="3"/>
      <c r="G170" s="4"/>
      <c r="H170" s="4">
        <v>140000</v>
      </c>
      <c r="I170" s="16">
        <f t="shared" si="2"/>
        <v>140000</v>
      </c>
      <c r="J170" s="17"/>
    </row>
    <row r="171" spans="1:10" s="10" customFormat="1" ht="52.5" hidden="1" customHeight="1" x14ac:dyDescent="0.2">
      <c r="A171" s="3">
        <v>5100</v>
      </c>
      <c r="B171" s="3">
        <v>120</v>
      </c>
      <c r="C171" s="3" t="s">
        <v>76</v>
      </c>
      <c r="D171" s="3" t="s">
        <v>132</v>
      </c>
      <c r="E171" s="1" t="s">
        <v>133</v>
      </c>
      <c r="F171" s="3">
        <v>10</v>
      </c>
      <c r="G171" s="4">
        <f>SUM(52500*10*2)</f>
        <v>1050000</v>
      </c>
      <c r="H171" s="11"/>
      <c r="I171" s="16">
        <f t="shared" si="2"/>
        <v>1050000</v>
      </c>
      <c r="J171" s="17"/>
    </row>
    <row r="172" spans="1:10" s="10" customFormat="1" ht="52.5" hidden="1" customHeight="1" x14ac:dyDescent="0.2">
      <c r="A172" s="3">
        <v>5100</v>
      </c>
      <c r="B172" s="3">
        <v>210</v>
      </c>
      <c r="C172" s="3" t="s">
        <v>76</v>
      </c>
      <c r="D172" s="3" t="s">
        <v>132</v>
      </c>
      <c r="E172" s="19" t="s">
        <v>59</v>
      </c>
      <c r="F172" s="3"/>
      <c r="G172" s="4">
        <f>SUM(G171*0.1082)</f>
        <v>113610</v>
      </c>
      <c r="H172" s="4"/>
      <c r="I172" s="16">
        <f t="shared" si="2"/>
        <v>113610</v>
      </c>
      <c r="J172" s="17"/>
    </row>
    <row r="173" spans="1:10" s="10" customFormat="1" ht="52.5" hidden="1" customHeight="1" x14ac:dyDescent="0.2">
      <c r="A173" s="3">
        <v>5100</v>
      </c>
      <c r="B173" s="3">
        <v>220</v>
      </c>
      <c r="C173" s="3" t="s">
        <v>76</v>
      </c>
      <c r="D173" s="3" t="s">
        <v>132</v>
      </c>
      <c r="E173" s="1" t="s">
        <v>60</v>
      </c>
      <c r="F173" s="3"/>
      <c r="G173" s="4">
        <f>SUM(G171*0.0765)</f>
        <v>80325</v>
      </c>
      <c r="H173" s="4"/>
      <c r="I173" s="16">
        <f t="shared" si="2"/>
        <v>80325</v>
      </c>
      <c r="J173" s="17"/>
    </row>
    <row r="174" spans="1:10" s="10" customFormat="1" ht="52.5" hidden="1" customHeight="1" x14ac:dyDescent="0.2">
      <c r="A174" s="3">
        <v>5100</v>
      </c>
      <c r="B174" s="3">
        <v>230</v>
      </c>
      <c r="C174" s="3" t="s">
        <v>76</v>
      </c>
      <c r="D174" s="3" t="s">
        <v>132</v>
      </c>
      <c r="E174" s="1" t="s">
        <v>121</v>
      </c>
      <c r="F174" s="3"/>
      <c r="G174" s="4">
        <f>SUM(10*2*9289)</f>
        <v>185780</v>
      </c>
      <c r="H174" s="4"/>
      <c r="I174" s="16">
        <f t="shared" si="2"/>
        <v>185780</v>
      </c>
      <c r="J174" s="17"/>
    </row>
    <row r="175" spans="1:10" s="10" customFormat="1" ht="52.5" hidden="1" customHeight="1" x14ac:dyDescent="0.2">
      <c r="A175" s="3">
        <v>5100</v>
      </c>
      <c r="B175" s="3">
        <v>231</v>
      </c>
      <c r="C175" s="3" t="s">
        <v>76</v>
      </c>
      <c r="D175" s="3" t="s">
        <v>132</v>
      </c>
      <c r="E175" s="1" t="s">
        <v>25</v>
      </c>
      <c r="F175" s="3"/>
      <c r="G175" s="4">
        <f>SUM(G171*0.0706%)</f>
        <v>741.3</v>
      </c>
      <c r="H175" s="4"/>
      <c r="I175" s="16">
        <f t="shared" si="2"/>
        <v>741.3</v>
      </c>
      <c r="J175" s="17"/>
    </row>
    <row r="176" spans="1:10" s="10" customFormat="1" ht="52.5" hidden="1" customHeight="1" x14ac:dyDescent="0.2">
      <c r="A176" s="3">
        <v>5100</v>
      </c>
      <c r="B176" s="3">
        <v>240</v>
      </c>
      <c r="C176" s="3" t="s">
        <v>76</v>
      </c>
      <c r="D176" s="3" t="s">
        <v>132</v>
      </c>
      <c r="E176" s="1" t="s">
        <v>61</v>
      </c>
      <c r="F176" s="3"/>
      <c r="G176" s="4">
        <f>SUM(G171*0.35%)</f>
        <v>3674.9999999999995</v>
      </c>
      <c r="H176" s="4"/>
      <c r="I176" s="16">
        <f t="shared" si="2"/>
        <v>3674.9999999999995</v>
      </c>
      <c r="J176" s="17"/>
    </row>
    <row r="177" spans="1:10" s="10" customFormat="1" ht="52.5" hidden="1" customHeight="1" x14ac:dyDescent="0.2">
      <c r="A177" s="3">
        <v>5100</v>
      </c>
      <c r="B177" s="3">
        <v>250</v>
      </c>
      <c r="C177" s="3" t="s">
        <v>76</v>
      </c>
      <c r="D177" s="3" t="s">
        <v>132</v>
      </c>
      <c r="E177" s="1" t="s">
        <v>62</v>
      </c>
      <c r="F177" s="3"/>
      <c r="G177" s="4">
        <f>SUM(G171*0.013%)</f>
        <v>136.5</v>
      </c>
      <c r="H177" s="4"/>
      <c r="I177" s="16">
        <f t="shared" si="2"/>
        <v>136.5</v>
      </c>
      <c r="J177" s="17"/>
    </row>
    <row r="178" spans="1:10" s="10" customFormat="1" ht="52.5" hidden="1" customHeight="1" x14ac:dyDescent="0.2">
      <c r="A178" s="3">
        <v>5100</v>
      </c>
      <c r="B178" s="3">
        <v>290</v>
      </c>
      <c r="C178" s="3" t="s">
        <v>76</v>
      </c>
      <c r="D178" s="3" t="s">
        <v>132</v>
      </c>
      <c r="E178" s="1" t="s">
        <v>63</v>
      </c>
      <c r="F178" s="3"/>
      <c r="G178" s="4">
        <f>SUM(G171*2.412%)</f>
        <v>25326</v>
      </c>
      <c r="H178" s="4"/>
      <c r="I178" s="16">
        <f t="shared" si="2"/>
        <v>25326</v>
      </c>
      <c r="J178" s="17"/>
    </row>
    <row r="179" spans="1:10" s="10" customFormat="1" ht="52.5" hidden="1" customHeight="1" x14ac:dyDescent="0.2">
      <c r="A179" s="3">
        <v>5100</v>
      </c>
      <c r="B179" s="3">
        <v>120</v>
      </c>
      <c r="C179" s="3" t="s">
        <v>77</v>
      </c>
      <c r="D179" s="3" t="s">
        <v>132</v>
      </c>
      <c r="E179" s="1" t="s">
        <v>134</v>
      </c>
      <c r="F179" s="3">
        <v>20</v>
      </c>
      <c r="G179" s="4">
        <f>SUM(52500*20*2)</f>
        <v>2100000</v>
      </c>
      <c r="H179" s="11"/>
      <c r="I179" s="16">
        <f t="shared" si="2"/>
        <v>2100000</v>
      </c>
      <c r="J179" s="17"/>
    </row>
    <row r="180" spans="1:10" s="10" customFormat="1" ht="52.5" hidden="1" customHeight="1" x14ac:dyDescent="0.2">
      <c r="A180" s="3">
        <v>5100</v>
      </c>
      <c r="B180" s="3">
        <v>210</v>
      </c>
      <c r="C180" s="3" t="s">
        <v>77</v>
      </c>
      <c r="D180" s="3" t="s">
        <v>132</v>
      </c>
      <c r="E180" s="19" t="s">
        <v>59</v>
      </c>
      <c r="F180" s="3"/>
      <c r="G180" s="4">
        <f>SUM(G179*0.1082)</f>
        <v>227220</v>
      </c>
      <c r="H180" s="4"/>
      <c r="I180" s="16">
        <f t="shared" si="2"/>
        <v>227220</v>
      </c>
      <c r="J180" s="17"/>
    </row>
    <row r="181" spans="1:10" s="10" customFormat="1" ht="52.5" hidden="1" customHeight="1" x14ac:dyDescent="0.2">
      <c r="A181" s="3">
        <v>5100</v>
      </c>
      <c r="B181" s="3">
        <v>220</v>
      </c>
      <c r="C181" s="3" t="s">
        <v>77</v>
      </c>
      <c r="D181" s="3" t="s">
        <v>132</v>
      </c>
      <c r="E181" s="1" t="s">
        <v>60</v>
      </c>
      <c r="F181" s="3"/>
      <c r="G181" s="4">
        <f>SUM(G179*0.0765)</f>
        <v>160650</v>
      </c>
      <c r="H181" s="4"/>
      <c r="I181" s="16">
        <f t="shared" si="2"/>
        <v>160650</v>
      </c>
      <c r="J181" s="17"/>
    </row>
    <row r="182" spans="1:10" s="10" customFormat="1" ht="52.5" hidden="1" customHeight="1" x14ac:dyDescent="0.2">
      <c r="A182" s="3">
        <v>5100</v>
      </c>
      <c r="B182" s="3">
        <v>230</v>
      </c>
      <c r="C182" s="3" t="s">
        <v>77</v>
      </c>
      <c r="D182" s="3" t="s">
        <v>132</v>
      </c>
      <c r="E182" s="1" t="s">
        <v>121</v>
      </c>
      <c r="F182" s="3"/>
      <c r="G182" s="4">
        <f>SUM(20*2*9289)</f>
        <v>371560</v>
      </c>
      <c r="H182" s="4"/>
      <c r="I182" s="16">
        <f t="shared" si="2"/>
        <v>371560</v>
      </c>
      <c r="J182" s="17"/>
    </row>
    <row r="183" spans="1:10" s="10" customFormat="1" ht="52.5" hidden="1" customHeight="1" x14ac:dyDescent="0.2">
      <c r="A183" s="3">
        <v>5100</v>
      </c>
      <c r="B183" s="3">
        <v>231</v>
      </c>
      <c r="C183" s="3" t="s">
        <v>77</v>
      </c>
      <c r="D183" s="3" t="s">
        <v>132</v>
      </c>
      <c r="E183" s="1" t="s">
        <v>25</v>
      </c>
      <c r="F183" s="3"/>
      <c r="G183" s="4">
        <f>SUM(G179*0.0706%)</f>
        <v>1482.6</v>
      </c>
      <c r="H183" s="4"/>
      <c r="I183" s="16">
        <f t="shared" si="2"/>
        <v>1482.6</v>
      </c>
      <c r="J183" s="17"/>
    </row>
    <row r="184" spans="1:10" s="10" customFormat="1" ht="52.5" hidden="1" customHeight="1" x14ac:dyDescent="0.2">
      <c r="A184" s="3">
        <v>5100</v>
      </c>
      <c r="B184" s="3">
        <v>240</v>
      </c>
      <c r="C184" s="3" t="s">
        <v>77</v>
      </c>
      <c r="D184" s="3" t="s">
        <v>132</v>
      </c>
      <c r="E184" s="1" t="s">
        <v>61</v>
      </c>
      <c r="F184" s="3"/>
      <c r="G184" s="4">
        <f>SUM(G179*0.35%)</f>
        <v>7349.9999999999991</v>
      </c>
      <c r="H184" s="4"/>
      <c r="I184" s="16">
        <f t="shared" si="2"/>
        <v>7349.9999999999991</v>
      </c>
      <c r="J184" s="17"/>
    </row>
    <row r="185" spans="1:10" s="10" customFormat="1" ht="52.5" hidden="1" customHeight="1" x14ac:dyDescent="0.2">
      <c r="A185" s="3">
        <v>5100</v>
      </c>
      <c r="B185" s="3">
        <v>250</v>
      </c>
      <c r="C185" s="3" t="s">
        <v>77</v>
      </c>
      <c r="D185" s="3" t="s">
        <v>132</v>
      </c>
      <c r="E185" s="1" t="s">
        <v>62</v>
      </c>
      <c r="F185" s="3"/>
      <c r="G185" s="4">
        <f>SUM(G179*0.013%)</f>
        <v>273</v>
      </c>
      <c r="H185" s="4"/>
      <c r="I185" s="16">
        <f>SUM(G185:H185)</f>
        <v>273</v>
      </c>
      <c r="J185" s="17"/>
    </row>
    <row r="186" spans="1:10" s="10" customFormat="1" ht="52.5" hidden="1" customHeight="1" x14ac:dyDescent="0.2">
      <c r="A186" s="3">
        <v>5100</v>
      </c>
      <c r="B186" s="3">
        <v>290</v>
      </c>
      <c r="C186" s="3" t="s">
        <v>77</v>
      </c>
      <c r="D186" s="3" t="s">
        <v>132</v>
      </c>
      <c r="E186" s="1" t="s">
        <v>63</v>
      </c>
      <c r="F186" s="3"/>
      <c r="G186" s="4">
        <f>SUM(G179*2.412%)</f>
        <v>50652</v>
      </c>
      <c r="H186" s="4"/>
      <c r="I186" s="16">
        <f t="shared" ref="I186:I249" si="3">SUM(G186:H186)</f>
        <v>50652</v>
      </c>
      <c r="J186" s="17"/>
    </row>
    <row r="187" spans="1:10" s="10" customFormat="1" ht="52.5" hidden="1" customHeight="1" x14ac:dyDescent="0.2">
      <c r="A187" s="3">
        <v>7900</v>
      </c>
      <c r="B187" s="3">
        <v>110</v>
      </c>
      <c r="C187" s="3" t="s">
        <v>79</v>
      </c>
      <c r="D187" s="3" t="s">
        <v>132</v>
      </c>
      <c r="E187" s="1" t="s">
        <v>149</v>
      </c>
      <c r="F187" s="3">
        <v>3</v>
      </c>
      <c r="G187" s="4"/>
      <c r="H187" s="11">
        <f>SUM(63898*3*2)</f>
        <v>383388</v>
      </c>
      <c r="I187" s="16">
        <f t="shared" si="3"/>
        <v>383388</v>
      </c>
      <c r="J187" s="17"/>
    </row>
    <row r="188" spans="1:10" s="10" customFormat="1" ht="52.5" hidden="1" customHeight="1" x14ac:dyDescent="0.2">
      <c r="A188" s="3">
        <v>7900</v>
      </c>
      <c r="B188" s="3">
        <v>210</v>
      </c>
      <c r="C188" s="3" t="s">
        <v>79</v>
      </c>
      <c r="D188" s="3" t="s">
        <v>132</v>
      </c>
      <c r="E188" s="19" t="s">
        <v>59</v>
      </c>
      <c r="F188" s="3"/>
      <c r="G188" s="4"/>
      <c r="H188" s="4">
        <f>SUM(H187*0.1082)</f>
        <v>41482.581600000005</v>
      </c>
      <c r="I188" s="16">
        <f t="shared" si="3"/>
        <v>41482.581600000005</v>
      </c>
      <c r="J188" s="17"/>
    </row>
    <row r="189" spans="1:10" s="10" customFormat="1" ht="52.5" hidden="1" customHeight="1" x14ac:dyDescent="0.2">
      <c r="A189" s="3">
        <v>7900</v>
      </c>
      <c r="B189" s="3">
        <v>220</v>
      </c>
      <c r="C189" s="3" t="s">
        <v>79</v>
      </c>
      <c r="D189" s="3" t="s">
        <v>132</v>
      </c>
      <c r="E189" s="1" t="s">
        <v>60</v>
      </c>
      <c r="F189" s="3"/>
      <c r="G189" s="4"/>
      <c r="H189" s="4">
        <f>SUM(H187*0.0765)</f>
        <v>29329.182000000001</v>
      </c>
      <c r="I189" s="16">
        <f t="shared" si="3"/>
        <v>29329.182000000001</v>
      </c>
      <c r="J189" s="17"/>
    </row>
    <row r="190" spans="1:10" s="10" customFormat="1" ht="52.5" hidden="1" customHeight="1" x14ac:dyDescent="0.2">
      <c r="A190" s="3">
        <v>7900</v>
      </c>
      <c r="B190" s="3">
        <v>230</v>
      </c>
      <c r="C190" s="3" t="s">
        <v>79</v>
      </c>
      <c r="D190" s="3" t="s">
        <v>132</v>
      </c>
      <c r="E190" s="1" t="s">
        <v>121</v>
      </c>
      <c r="F190" s="3"/>
      <c r="G190" s="4"/>
      <c r="H190" s="4">
        <f>SUM(3*2*9289)</f>
        <v>55734</v>
      </c>
      <c r="I190" s="16">
        <f t="shared" si="3"/>
        <v>55734</v>
      </c>
      <c r="J190" s="17"/>
    </row>
    <row r="191" spans="1:10" s="10" customFormat="1" ht="52.5" hidden="1" customHeight="1" x14ac:dyDescent="0.2">
      <c r="A191" s="3">
        <v>7900</v>
      </c>
      <c r="B191" s="3">
        <v>231</v>
      </c>
      <c r="C191" s="3" t="s">
        <v>79</v>
      </c>
      <c r="D191" s="3" t="s">
        <v>132</v>
      </c>
      <c r="E191" s="1" t="s">
        <v>25</v>
      </c>
      <c r="F191" s="3"/>
      <c r="G191" s="4"/>
      <c r="H191" s="4">
        <f>SUM(H187*0.0706%)</f>
        <v>270.67192799999998</v>
      </c>
      <c r="I191" s="16">
        <f t="shared" si="3"/>
        <v>270.67192799999998</v>
      </c>
      <c r="J191" s="17"/>
    </row>
    <row r="192" spans="1:10" s="10" customFormat="1" ht="52.5" hidden="1" customHeight="1" x14ac:dyDescent="0.2">
      <c r="A192" s="3">
        <v>7900</v>
      </c>
      <c r="B192" s="3">
        <v>240</v>
      </c>
      <c r="C192" s="3" t="s">
        <v>79</v>
      </c>
      <c r="D192" s="3" t="s">
        <v>132</v>
      </c>
      <c r="E192" s="1" t="s">
        <v>61</v>
      </c>
      <c r="F192" s="3"/>
      <c r="G192" s="4"/>
      <c r="H192" s="4">
        <f>SUM(H187*0.35%)</f>
        <v>1341.8579999999999</v>
      </c>
      <c r="I192" s="16">
        <f t="shared" si="3"/>
        <v>1341.8579999999999</v>
      </c>
      <c r="J192" s="17"/>
    </row>
    <row r="193" spans="1:10" s="10" customFormat="1" ht="52.5" hidden="1" customHeight="1" x14ac:dyDescent="0.2">
      <c r="A193" s="3">
        <v>7900</v>
      </c>
      <c r="B193" s="3">
        <v>250</v>
      </c>
      <c r="C193" s="3" t="s">
        <v>79</v>
      </c>
      <c r="D193" s="3" t="s">
        <v>132</v>
      </c>
      <c r="E193" s="1" t="s">
        <v>62</v>
      </c>
      <c r="F193" s="3"/>
      <c r="G193" s="4"/>
      <c r="H193" s="4">
        <f>SUM(H187*0.013%)</f>
        <v>49.840439999999994</v>
      </c>
      <c r="I193" s="16">
        <f t="shared" si="3"/>
        <v>49.840439999999994</v>
      </c>
      <c r="J193" s="17"/>
    </row>
    <row r="194" spans="1:10" s="10" customFormat="1" ht="52.5" hidden="1" customHeight="1" x14ac:dyDescent="0.2">
      <c r="A194" s="3">
        <v>7900</v>
      </c>
      <c r="B194" s="3">
        <v>290</v>
      </c>
      <c r="C194" s="3" t="s">
        <v>79</v>
      </c>
      <c r="D194" s="3" t="s">
        <v>132</v>
      </c>
      <c r="E194" s="1" t="s">
        <v>63</v>
      </c>
      <c r="F194" s="3"/>
      <c r="G194" s="4"/>
      <c r="H194" s="4">
        <f>SUM(H187*2.412%)</f>
        <v>9247.3185599999997</v>
      </c>
      <c r="I194" s="16">
        <f t="shared" si="3"/>
        <v>9247.3185599999997</v>
      </c>
      <c r="J194" s="17"/>
    </row>
    <row r="195" spans="1:10" s="10" customFormat="1" ht="52.5" hidden="1" customHeight="1" x14ac:dyDescent="0.2">
      <c r="A195" s="3">
        <v>7900</v>
      </c>
      <c r="B195" s="3">
        <v>390</v>
      </c>
      <c r="C195" s="3" t="s">
        <v>94</v>
      </c>
      <c r="D195" s="3" t="s">
        <v>132</v>
      </c>
      <c r="E195" s="1" t="s">
        <v>150</v>
      </c>
      <c r="F195" s="3"/>
      <c r="G195" s="4"/>
      <c r="H195" s="4">
        <v>158000</v>
      </c>
      <c r="I195" s="16">
        <f t="shared" si="3"/>
        <v>158000</v>
      </c>
      <c r="J195" s="17"/>
    </row>
    <row r="196" spans="1:10" s="10" customFormat="1" ht="52.5" hidden="1" customHeight="1" x14ac:dyDescent="0.2">
      <c r="A196" s="3">
        <v>6200</v>
      </c>
      <c r="B196" s="3">
        <v>510</v>
      </c>
      <c r="C196" s="3" t="s">
        <v>95</v>
      </c>
      <c r="D196" s="3" t="s">
        <v>132</v>
      </c>
      <c r="E196" s="1" t="s">
        <v>135</v>
      </c>
      <c r="F196" s="3"/>
      <c r="G196" s="4"/>
      <c r="H196" s="4">
        <f>SUM(211*2500*2)</f>
        <v>1055000</v>
      </c>
      <c r="I196" s="16">
        <f t="shared" si="3"/>
        <v>1055000</v>
      </c>
      <c r="J196" s="17"/>
    </row>
    <row r="197" spans="1:10" s="10" customFormat="1" ht="52.5" hidden="1" customHeight="1" x14ac:dyDescent="0.2">
      <c r="A197" s="3">
        <v>6200</v>
      </c>
      <c r="B197" s="3">
        <v>530</v>
      </c>
      <c r="C197" s="3" t="s">
        <v>95</v>
      </c>
      <c r="D197" s="3" t="s">
        <v>132</v>
      </c>
      <c r="E197" s="1" t="s">
        <v>136</v>
      </c>
      <c r="F197" s="3"/>
      <c r="G197" s="4"/>
      <c r="H197" s="4">
        <v>21060</v>
      </c>
      <c r="I197" s="16">
        <f t="shared" si="3"/>
        <v>21060</v>
      </c>
      <c r="J197" s="17"/>
    </row>
    <row r="198" spans="1:10" s="10" customFormat="1" ht="52.5" hidden="1" customHeight="1" x14ac:dyDescent="0.2">
      <c r="A198" s="3">
        <v>6400</v>
      </c>
      <c r="B198" s="3">
        <v>132</v>
      </c>
      <c r="C198" s="3" t="s">
        <v>95</v>
      </c>
      <c r="D198" s="3" t="s">
        <v>132</v>
      </c>
      <c r="E198" s="1" t="s">
        <v>137</v>
      </c>
      <c r="F198" s="3"/>
      <c r="G198" s="4"/>
      <c r="H198" s="4">
        <f>SUM(200*18*20*2)</f>
        <v>144000</v>
      </c>
      <c r="I198" s="16">
        <f t="shared" si="3"/>
        <v>144000</v>
      </c>
      <c r="J198" s="17"/>
    </row>
    <row r="199" spans="1:10" s="10" customFormat="1" ht="52.5" hidden="1" customHeight="1" x14ac:dyDescent="0.2">
      <c r="A199" s="3">
        <v>6400</v>
      </c>
      <c r="B199" s="3">
        <v>220</v>
      </c>
      <c r="C199" s="3" t="s">
        <v>95</v>
      </c>
      <c r="D199" s="3" t="s">
        <v>132</v>
      </c>
      <c r="E199" s="1" t="s">
        <v>60</v>
      </c>
      <c r="F199" s="3"/>
      <c r="G199" s="4"/>
      <c r="H199" s="4">
        <f>SUM(H198*0.0765)</f>
        <v>11016</v>
      </c>
      <c r="I199" s="16">
        <f t="shared" si="3"/>
        <v>11016</v>
      </c>
      <c r="J199" s="17"/>
    </row>
    <row r="200" spans="1:10" s="10" customFormat="1" ht="52.5" hidden="1" customHeight="1" x14ac:dyDescent="0.2">
      <c r="A200" s="3">
        <v>6400</v>
      </c>
      <c r="B200" s="3">
        <v>240</v>
      </c>
      <c r="C200" s="3" t="s">
        <v>95</v>
      </c>
      <c r="D200" s="3" t="s">
        <v>132</v>
      </c>
      <c r="E200" s="1" t="s">
        <v>61</v>
      </c>
      <c r="F200" s="3"/>
      <c r="G200" s="4"/>
      <c r="H200" s="4">
        <f>SUM(H198*0.35%)</f>
        <v>503.99999999999994</v>
      </c>
      <c r="I200" s="16">
        <f t="shared" si="3"/>
        <v>503.99999999999994</v>
      </c>
      <c r="J200" s="17"/>
    </row>
    <row r="201" spans="1:10" s="10" customFormat="1" ht="52.5" hidden="1" customHeight="1" x14ac:dyDescent="0.2">
      <c r="A201" s="3">
        <v>5100</v>
      </c>
      <c r="B201" s="3">
        <v>369</v>
      </c>
      <c r="C201" s="3" t="s">
        <v>99</v>
      </c>
      <c r="D201" s="3" t="s">
        <v>132</v>
      </c>
      <c r="E201" s="1" t="s">
        <v>144</v>
      </c>
      <c r="F201" s="3"/>
      <c r="G201" s="4"/>
      <c r="H201" s="4">
        <v>1326430</v>
      </c>
      <c r="I201" s="16">
        <f t="shared" si="3"/>
        <v>1326430</v>
      </c>
      <c r="J201" s="17"/>
    </row>
    <row r="202" spans="1:10" s="10" customFormat="1" ht="52.5" hidden="1" customHeight="1" x14ac:dyDescent="0.2">
      <c r="A202" s="3">
        <v>6400</v>
      </c>
      <c r="B202" s="3">
        <v>110</v>
      </c>
      <c r="C202" s="3" t="s">
        <v>101</v>
      </c>
      <c r="D202" s="3" t="s">
        <v>132</v>
      </c>
      <c r="E202" s="1" t="s">
        <v>138</v>
      </c>
      <c r="F202" s="3">
        <v>0.75</v>
      </c>
      <c r="G202" s="4"/>
      <c r="H202" s="11">
        <v>48750</v>
      </c>
      <c r="I202" s="16">
        <f t="shared" si="3"/>
        <v>48750</v>
      </c>
      <c r="J202" s="17"/>
    </row>
    <row r="203" spans="1:10" s="10" customFormat="1" ht="52.5" hidden="1" customHeight="1" x14ac:dyDescent="0.2">
      <c r="A203" s="3">
        <v>6400</v>
      </c>
      <c r="B203" s="3">
        <v>210</v>
      </c>
      <c r="C203" s="3" t="s">
        <v>101</v>
      </c>
      <c r="D203" s="3" t="s">
        <v>132</v>
      </c>
      <c r="E203" s="19" t="s">
        <v>59</v>
      </c>
      <c r="F203" s="3"/>
      <c r="G203" s="4"/>
      <c r="H203" s="4">
        <f>SUM(H202*0.1082)</f>
        <v>5274.75</v>
      </c>
      <c r="I203" s="16">
        <f t="shared" si="3"/>
        <v>5274.75</v>
      </c>
      <c r="J203" s="17"/>
    </row>
    <row r="204" spans="1:10" s="10" customFormat="1" ht="52.5" hidden="1" customHeight="1" x14ac:dyDescent="0.2">
      <c r="A204" s="3">
        <v>6400</v>
      </c>
      <c r="B204" s="3">
        <v>220</v>
      </c>
      <c r="C204" s="3" t="s">
        <v>101</v>
      </c>
      <c r="D204" s="3" t="s">
        <v>132</v>
      </c>
      <c r="E204" s="1" t="s">
        <v>60</v>
      </c>
      <c r="F204" s="3"/>
      <c r="G204" s="4"/>
      <c r="H204" s="4">
        <f>SUM(H202*0.0765)</f>
        <v>3729.375</v>
      </c>
      <c r="I204" s="16">
        <f t="shared" si="3"/>
        <v>3729.375</v>
      </c>
      <c r="J204" s="17"/>
    </row>
    <row r="205" spans="1:10" s="10" customFormat="1" ht="52.5" hidden="1" customHeight="1" x14ac:dyDescent="0.2">
      <c r="A205" s="3">
        <v>6400</v>
      </c>
      <c r="B205" s="3">
        <v>230</v>
      </c>
      <c r="C205" s="3" t="s">
        <v>101</v>
      </c>
      <c r="D205" s="3" t="s">
        <v>132</v>
      </c>
      <c r="E205" s="1" t="s">
        <v>121</v>
      </c>
      <c r="F205" s="3"/>
      <c r="G205" s="4"/>
      <c r="H205" s="4">
        <v>6967</v>
      </c>
      <c r="I205" s="16">
        <f t="shared" si="3"/>
        <v>6967</v>
      </c>
      <c r="J205" s="17"/>
    </row>
    <row r="206" spans="1:10" s="10" customFormat="1" ht="52.5" hidden="1" customHeight="1" x14ac:dyDescent="0.2">
      <c r="A206" s="3">
        <v>6400</v>
      </c>
      <c r="B206" s="3">
        <v>231</v>
      </c>
      <c r="C206" s="3" t="s">
        <v>101</v>
      </c>
      <c r="D206" s="3" t="s">
        <v>132</v>
      </c>
      <c r="E206" s="1" t="s">
        <v>25</v>
      </c>
      <c r="F206" s="3"/>
      <c r="G206" s="4"/>
      <c r="H206" s="4">
        <f>SUM(H202*0.0706%)</f>
        <v>34.417499999999997</v>
      </c>
      <c r="I206" s="16">
        <f t="shared" si="3"/>
        <v>34.417499999999997</v>
      </c>
      <c r="J206" s="17"/>
    </row>
    <row r="207" spans="1:10" s="10" customFormat="1" ht="52.5" hidden="1" customHeight="1" x14ac:dyDescent="0.2">
      <c r="A207" s="3">
        <v>6400</v>
      </c>
      <c r="B207" s="3">
        <v>240</v>
      </c>
      <c r="C207" s="3" t="s">
        <v>101</v>
      </c>
      <c r="D207" s="3" t="s">
        <v>132</v>
      </c>
      <c r="E207" s="1" t="s">
        <v>61</v>
      </c>
      <c r="F207" s="3"/>
      <c r="G207" s="4"/>
      <c r="H207" s="4">
        <f>SUM(H202*0.35%)</f>
        <v>170.62499999999997</v>
      </c>
      <c r="I207" s="16">
        <f t="shared" si="3"/>
        <v>170.62499999999997</v>
      </c>
      <c r="J207" s="17"/>
    </row>
    <row r="208" spans="1:10" s="10" customFormat="1" ht="52.5" hidden="1" customHeight="1" x14ac:dyDescent="0.2">
      <c r="A208" s="3">
        <v>6400</v>
      </c>
      <c r="B208" s="3">
        <v>250</v>
      </c>
      <c r="C208" s="3" t="s">
        <v>101</v>
      </c>
      <c r="D208" s="3" t="s">
        <v>132</v>
      </c>
      <c r="E208" s="1" t="s">
        <v>62</v>
      </c>
      <c r="F208" s="3"/>
      <c r="G208" s="4"/>
      <c r="H208" s="4">
        <f>SUM(H202*0.013%)</f>
        <v>6.3374999999999995</v>
      </c>
      <c r="I208" s="16">
        <f t="shared" si="3"/>
        <v>6.3374999999999995</v>
      </c>
      <c r="J208" s="17"/>
    </row>
    <row r="209" spans="1:10" s="10" customFormat="1" ht="52.5" hidden="1" customHeight="1" x14ac:dyDescent="0.2">
      <c r="A209" s="3">
        <v>6400</v>
      </c>
      <c r="B209" s="3">
        <v>290</v>
      </c>
      <c r="C209" s="3" t="s">
        <v>101</v>
      </c>
      <c r="D209" s="3" t="s">
        <v>132</v>
      </c>
      <c r="E209" s="1" t="s">
        <v>63</v>
      </c>
      <c r="F209" s="3"/>
      <c r="G209" s="4"/>
      <c r="H209" s="4">
        <f>SUM(H202*2.412%)</f>
        <v>1175.8499999999999</v>
      </c>
      <c r="I209" s="16">
        <f t="shared" si="3"/>
        <v>1175.8499999999999</v>
      </c>
      <c r="J209" s="17"/>
    </row>
    <row r="210" spans="1:10" s="10" customFormat="1" ht="52.5" hidden="1" customHeight="1" x14ac:dyDescent="0.2">
      <c r="A210" s="3">
        <v>6300</v>
      </c>
      <c r="B210" s="3">
        <v>110</v>
      </c>
      <c r="C210" s="3" t="s">
        <v>103</v>
      </c>
      <c r="D210" s="3" t="s">
        <v>132</v>
      </c>
      <c r="E210" s="1" t="s">
        <v>139</v>
      </c>
      <c r="F210" s="3">
        <v>1</v>
      </c>
      <c r="G210" s="4"/>
      <c r="H210" s="11">
        <v>65000</v>
      </c>
      <c r="I210" s="16">
        <f t="shared" si="3"/>
        <v>65000</v>
      </c>
      <c r="J210" s="17"/>
    </row>
    <row r="211" spans="1:10" s="10" customFormat="1" ht="52.5" hidden="1" customHeight="1" x14ac:dyDescent="0.2">
      <c r="A211" s="3">
        <v>6300</v>
      </c>
      <c r="B211" s="3">
        <v>210</v>
      </c>
      <c r="C211" s="3" t="s">
        <v>103</v>
      </c>
      <c r="D211" s="3" t="s">
        <v>132</v>
      </c>
      <c r="E211" s="19" t="s">
        <v>59</v>
      </c>
      <c r="F211" s="3"/>
      <c r="G211" s="4"/>
      <c r="H211" s="4">
        <f>SUM(H210*0.1082)</f>
        <v>7033</v>
      </c>
      <c r="I211" s="16">
        <f t="shared" si="3"/>
        <v>7033</v>
      </c>
      <c r="J211" s="17"/>
    </row>
    <row r="212" spans="1:10" s="10" customFormat="1" ht="52.5" hidden="1" customHeight="1" x14ac:dyDescent="0.2">
      <c r="A212" s="3">
        <v>6300</v>
      </c>
      <c r="B212" s="3">
        <v>220</v>
      </c>
      <c r="C212" s="3" t="s">
        <v>103</v>
      </c>
      <c r="D212" s="3" t="s">
        <v>132</v>
      </c>
      <c r="E212" s="1" t="s">
        <v>60</v>
      </c>
      <c r="F212" s="3"/>
      <c r="G212" s="4"/>
      <c r="H212" s="4">
        <f>SUM(H210*0.0765)</f>
        <v>4972.5</v>
      </c>
      <c r="I212" s="16">
        <f t="shared" si="3"/>
        <v>4972.5</v>
      </c>
      <c r="J212" s="17"/>
    </row>
    <row r="213" spans="1:10" s="10" customFormat="1" ht="52.5" hidden="1" customHeight="1" x14ac:dyDescent="0.2">
      <c r="A213" s="3">
        <v>6300</v>
      </c>
      <c r="B213" s="3">
        <v>230</v>
      </c>
      <c r="C213" s="3" t="s">
        <v>103</v>
      </c>
      <c r="D213" s="3" t="s">
        <v>132</v>
      </c>
      <c r="E213" s="1" t="s">
        <v>121</v>
      </c>
      <c r="F213" s="3"/>
      <c r="G213" s="4"/>
      <c r="H213" s="4">
        <v>9289</v>
      </c>
      <c r="I213" s="16">
        <f t="shared" si="3"/>
        <v>9289</v>
      </c>
      <c r="J213" s="17"/>
    </row>
    <row r="214" spans="1:10" s="10" customFormat="1" ht="52.5" hidden="1" customHeight="1" x14ac:dyDescent="0.2">
      <c r="A214" s="3">
        <v>6300</v>
      </c>
      <c r="B214" s="3">
        <v>231</v>
      </c>
      <c r="C214" s="3" t="s">
        <v>103</v>
      </c>
      <c r="D214" s="3" t="s">
        <v>132</v>
      </c>
      <c r="E214" s="1" t="s">
        <v>25</v>
      </c>
      <c r="F214" s="3"/>
      <c r="G214" s="4"/>
      <c r="H214" s="4">
        <f>SUM(H210*0.0706%)</f>
        <v>45.889999999999993</v>
      </c>
      <c r="I214" s="16">
        <f t="shared" si="3"/>
        <v>45.889999999999993</v>
      </c>
      <c r="J214" s="17"/>
    </row>
    <row r="215" spans="1:10" s="10" customFormat="1" ht="52.5" hidden="1" customHeight="1" x14ac:dyDescent="0.2">
      <c r="A215" s="3">
        <v>6300</v>
      </c>
      <c r="B215" s="3">
        <v>240</v>
      </c>
      <c r="C215" s="3" t="s">
        <v>103</v>
      </c>
      <c r="D215" s="3" t="s">
        <v>132</v>
      </c>
      <c r="E215" s="1" t="s">
        <v>61</v>
      </c>
      <c r="F215" s="3"/>
      <c r="G215" s="4"/>
      <c r="H215" s="4">
        <f>SUM(H210*0.35%)</f>
        <v>227.49999999999997</v>
      </c>
      <c r="I215" s="16">
        <f t="shared" si="3"/>
        <v>227.49999999999997</v>
      </c>
      <c r="J215" s="17"/>
    </row>
    <row r="216" spans="1:10" s="10" customFormat="1" ht="52.5" hidden="1" customHeight="1" x14ac:dyDescent="0.2">
      <c r="A216" s="3">
        <v>6300</v>
      </c>
      <c r="B216" s="3">
        <v>250</v>
      </c>
      <c r="C216" s="3" t="s">
        <v>103</v>
      </c>
      <c r="D216" s="3" t="s">
        <v>132</v>
      </c>
      <c r="E216" s="1" t="s">
        <v>62</v>
      </c>
      <c r="F216" s="3"/>
      <c r="G216" s="4"/>
      <c r="H216" s="4">
        <f>SUM(H210*0.013%)</f>
        <v>8.4499999999999993</v>
      </c>
      <c r="I216" s="16">
        <f t="shared" si="3"/>
        <v>8.4499999999999993</v>
      </c>
      <c r="J216" s="17"/>
    </row>
    <row r="217" spans="1:10" s="10" customFormat="1" ht="52.5" hidden="1" customHeight="1" x14ac:dyDescent="0.2">
      <c r="A217" s="3">
        <v>6300</v>
      </c>
      <c r="B217" s="3">
        <v>290</v>
      </c>
      <c r="C217" s="3" t="s">
        <v>103</v>
      </c>
      <c r="D217" s="3" t="s">
        <v>132</v>
      </c>
      <c r="E217" s="1" t="s">
        <v>63</v>
      </c>
      <c r="F217" s="3"/>
      <c r="G217" s="4"/>
      <c r="H217" s="4">
        <f>SUM(H210*2.412%)</f>
        <v>1567.8</v>
      </c>
      <c r="I217" s="16">
        <f t="shared" si="3"/>
        <v>1567.8</v>
      </c>
      <c r="J217" s="17"/>
    </row>
    <row r="218" spans="1:10" s="10" customFormat="1" ht="52.5" hidden="1" customHeight="1" x14ac:dyDescent="0.2">
      <c r="A218" s="3">
        <v>6300</v>
      </c>
      <c r="B218" s="3">
        <v>130</v>
      </c>
      <c r="C218" s="3" t="s">
        <v>104</v>
      </c>
      <c r="D218" s="3" t="s">
        <v>132</v>
      </c>
      <c r="E218" s="1" t="s">
        <v>140</v>
      </c>
      <c r="F218" s="3">
        <v>49</v>
      </c>
      <c r="G218" s="4"/>
      <c r="H218" s="11">
        <f>SUM(59500*49*2)</f>
        <v>5831000</v>
      </c>
      <c r="I218" s="16">
        <f t="shared" si="3"/>
        <v>5831000</v>
      </c>
      <c r="J218" s="17"/>
    </row>
    <row r="219" spans="1:10" s="10" customFormat="1" ht="52.5" hidden="1" customHeight="1" x14ac:dyDescent="0.2">
      <c r="A219" s="3">
        <v>6300</v>
      </c>
      <c r="B219" s="3">
        <v>210</v>
      </c>
      <c r="C219" s="3" t="s">
        <v>104</v>
      </c>
      <c r="D219" s="3" t="s">
        <v>132</v>
      </c>
      <c r="E219" s="19" t="s">
        <v>59</v>
      </c>
      <c r="F219" s="3"/>
      <c r="G219" s="4"/>
      <c r="H219" s="4">
        <f>SUM(H218*0.1082)</f>
        <v>630914.20000000007</v>
      </c>
      <c r="I219" s="16">
        <f t="shared" si="3"/>
        <v>630914.20000000007</v>
      </c>
      <c r="J219" s="17"/>
    </row>
    <row r="220" spans="1:10" s="10" customFormat="1" ht="52.5" hidden="1" customHeight="1" x14ac:dyDescent="0.2">
      <c r="A220" s="3">
        <v>6300</v>
      </c>
      <c r="B220" s="3">
        <v>220</v>
      </c>
      <c r="C220" s="3" t="s">
        <v>104</v>
      </c>
      <c r="D220" s="3" t="s">
        <v>132</v>
      </c>
      <c r="E220" s="1" t="s">
        <v>60</v>
      </c>
      <c r="F220" s="3"/>
      <c r="G220" s="4"/>
      <c r="H220" s="4">
        <f>SUM(H218*0.0765)</f>
        <v>446071.5</v>
      </c>
      <c r="I220" s="16">
        <f t="shared" si="3"/>
        <v>446071.5</v>
      </c>
      <c r="J220" s="17"/>
    </row>
    <row r="221" spans="1:10" s="10" customFormat="1" ht="52.5" hidden="1" customHeight="1" x14ac:dyDescent="0.2">
      <c r="A221" s="3">
        <v>6300</v>
      </c>
      <c r="B221" s="3">
        <v>230</v>
      </c>
      <c r="C221" s="3" t="s">
        <v>104</v>
      </c>
      <c r="D221" s="3" t="s">
        <v>132</v>
      </c>
      <c r="E221" s="1" t="s">
        <v>121</v>
      </c>
      <c r="F221" s="3"/>
      <c r="G221" s="4"/>
      <c r="H221" s="4">
        <f>SUM(9289*49*2)</f>
        <v>910322</v>
      </c>
      <c r="I221" s="16">
        <f t="shared" si="3"/>
        <v>910322</v>
      </c>
      <c r="J221" s="17"/>
    </row>
    <row r="222" spans="1:10" s="10" customFormat="1" ht="52.5" hidden="1" customHeight="1" x14ac:dyDescent="0.2">
      <c r="A222" s="3">
        <v>6300</v>
      </c>
      <c r="B222" s="3">
        <v>231</v>
      </c>
      <c r="C222" s="3" t="s">
        <v>104</v>
      </c>
      <c r="D222" s="3" t="s">
        <v>132</v>
      </c>
      <c r="E222" s="1" t="s">
        <v>25</v>
      </c>
      <c r="F222" s="3"/>
      <c r="G222" s="4"/>
      <c r="H222" s="4">
        <f>SUM(H218*0.0706%)</f>
        <v>4116.6859999999997</v>
      </c>
      <c r="I222" s="16">
        <f t="shared" si="3"/>
        <v>4116.6859999999997</v>
      </c>
      <c r="J222" s="17"/>
    </row>
    <row r="223" spans="1:10" s="10" customFormat="1" ht="52.5" hidden="1" customHeight="1" x14ac:dyDescent="0.2">
      <c r="A223" s="3">
        <v>6300</v>
      </c>
      <c r="B223" s="3">
        <v>240</v>
      </c>
      <c r="C223" s="3" t="s">
        <v>104</v>
      </c>
      <c r="D223" s="3" t="s">
        <v>132</v>
      </c>
      <c r="E223" s="1" t="s">
        <v>61</v>
      </c>
      <c r="F223" s="3"/>
      <c r="G223" s="4"/>
      <c r="H223" s="4">
        <f>SUM(H218*0.35%)</f>
        <v>20408.499999999996</v>
      </c>
      <c r="I223" s="16">
        <f t="shared" si="3"/>
        <v>20408.499999999996</v>
      </c>
      <c r="J223" s="17"/>
    </row>
    <row r="224" spans="1:10" s="10" customFormat="1" ht="52.5" hidden="1" customHeight="1" x14ac:dyDescent="0.2">
      <c r="A224" s="3">
        <v>6300</v>
      </c>
      <c r="B224" s="3">
        <v>250</v>
      </c>
      <c r="C224" s="3" t="s">
        <v>104</v>
      </c>
      <c r="D224" s="3" t="s">
        <v>132</v>
      </c>
      <c r="E224" s="1" t="s">
        <v>62</v>
      </c>
      <c r="F224" s="3"/>
      <c r="G224" s="4"/>
      <c r="H224" s="4">
        <f>SUM(H218*0.013%)</f>
        <v>758.03</v>
      </c>
      <c r="I224" s="16">
        <f t="shared" si="3"/>
        <v>758.03</v>
      </c>
      <c r="J224" s="17"/>
    </row>
    <row r="225" spans="1:10" s="10" customFormat="1" ht="52.5" hidden="1" customHeight="1" x14ac:dyDescent="0.2">
      <c r="A225" s="3">
        <v>6300</v>
      </c>
      <c r="B225" s="3">
        <v>290</v>
      </c>
      <c r="C225" s="3" t="s">
        <v>104</v>
      </c>
      <c r="D225" s="3" t="s">
        <v>132</v>
      </c>
      <c r="E225" s="1" t="s">
        <v>63</v>
      </c>
      <c r="F225" s="3"/>
      <c r="G225" s="4"/>
      <c r="H225" s="4">
        <f>SUM(H218*2.412%)</f>
        <v>140643.72</v>
      </c>
      <c r="I225" s="16">
        <f t="shared" si="3"/>
        <v>140643.72</v>
      </c>
      <c r="J225" s="17"/>
    </row>
    <row r="226" spans="1:10" s="10" customFormat="1" ht="52.5" hidden="1" customHeight="1" x14ac:dyDescent="0.2">
      <c r="A226" s="3">
        <v>6300</v>
      </c>
      <c r="B226" s="3">
        <v>160</v>
      </c>
      <c r="C226" s="3" t="s">
        <v>106</v>
      </c>
      <c r="D226" s="3" t="s">
        <v>132</v>
      </c>
      <c r="E226" s="6" t="s">
        <v>141</v>
      </c>
      <c r="F226" s="3">
        <v>49</v>
      </c>
      <c r="G226" s="4"/>
      <c r="H226" s="11">
        <f>SUM(9860*96*1.5)</f>
        <v>1419840</v>
      </c>
      <c r="I226" s="16">
        <f t="shared" si="3"/>
        <v>1419840</v>
      </c>
      <c r="J226" s="17"/>
    </row>
    <row r="227" spans="1:10" s="10" customFormat="1" ht="52.5" hidden="1" customHeight="1" x14ac:dyDescent="0.2">
      <c r="A227" s="3">
        <v>6300</v>
      </c>
      <c r="B227" s="3">
        <v>210</v>
      </c>
      <c r="C227" s="3" t="s">
        <v>106</v>
      </c>
      <c r="D227" s="3" t="s">
        <v>132</v>
      </c>
      <c r="E227" s="19" t="s">
        <v>59</v>
      </c>
      <c r="F227" s="3"/>
      <c r="G227" s="4"/>
      <c r="H227" s="4">
        <f>SUM(H226*0.1082)</f>
        <v>153626.68799999999</v>
      </c>
      <c r="I227" s="16">
        <f t="shared" si="3"/>
        <v>153626.68799999999</v>
      </c>
      <c r="J227" s="17"/>
    </row>
    <row r="228" spans="1:10" s="10" customFormat="1" ht="52.5" hidden="1" customHeight="1" x14ac:dyDescent="0.2">
      <c r="A228" s="3">
        <v>6300</v>
      </c>
      <c r="B228" s="3">
        <v>220</v>
      </c>
      <c r="C228" s="3" t="s">
        <v>106</v>
      </c>
      <c r="D228" s="3" t="s">
        <v>132</v>
      </c>
      <c r="E228" s="1" t="s">
        <v>60</v>
      </c>
      <c r="F228" s="3"/>
      <c r="G228" s="4"/>
      <c r="H228" s="4">
        <f>SUM(H226*0.0765)</f>
        <v>108617.76</v>
      </c>
      <c r="I228" s="16">
        <f t="shared" si="3"/>
        <v>108617.76</v>
      </c>
      <c r="J228" s="17"/>
    </row>
    <row r="229" spans="1:10" s="10" customFormat="1" ht="52.5" hidden="1" customHeight="1" x14ac:dyDescent="0.2">
      <c r="A229" s="3">
        <v>6300</v>
      </c>
      <c r="B229" s="3">
        <v>230</v>
      </c>
      <c r="C229" s="3" t="s">
        <v>106</v>
      </c>
      <c r="D229" s="3" t="s">
        <v>132</v>
      </c>
      <c r="E229" s="1" t="s">
        <v>121</v>
      </c>
      <c r="F229" s="3"/>
      <c r="G229" s="4"/>
      <c r="H229" s="4">
        <f>SUM(9289*96*1.5)</f>
        <v>1337616</v>
      </c>
      <c r="I229" s="16">
        <f t="shared" si="3"/>
        <v>1337616</v>
      </c>
      <c r="J229" s="17"/>
    </row>
    <row r="230" spans="1:10" s="10" customFormat="1" ht="52.5" hidden="1" customHeight="1" x14ac:dyDescent="0.2">
      <c r="A230" s="3">
        <v>6300</v>
      </c>
      <c r="B230" s="3">
        <v>231</v>
      </c>
      <c r="C230" s="3" t="s">
        <v>106</v>
      </c>
      <c r="D230" s="3" t="s">
        <v>132</v>
      </c>
      <c r="E230" s="1" t="s">
        <v>25</v>
      </c>
      <c r="F230" s="3"/>
      <c r="G230" s="4"/>
      <c r="H230" s="4">
        <f>SUM(H226*0.0706%)</f>
        <v>1002.4070399999999</v>
      </c>
      <c r="I230" s="16">
        <f t="shared" si="3"/>
        <v>1002.4070399999999</v>
      </c>
      <c r="J230" s="17"/>
    </row>
    <row r="231" spans="1:10" s="10" customFormat="1" ht="52.5" hidden="1" customHeight="1" x14ac:dyDescent="0.2">
      <c r="A231" s="3">
        <v>6300</v>
      </c>
      <c r="B231" s="3">
        <v>240</v>
      </c>
      <c r="C231" s="3" t="s">
        <v>106</v>
      </c>
      <c r="D231" s="3" t="s">
        <v>132</v>
      </c>
      <c r="E231" s="1" t="s">
        <v>61</v>
      </c>
      <c r="F231" s="3"/>
      <c r="G231" s="4"/>
      <c r="H231" s="4">
        <f>SUM(H226*0.35%)</f>
        <v>4969.4399999999996</v>
      </c>
      <c r="I231" s="16">
        <f t="shared" si="3"/>
        <v>4969.4399999999996</v>
      </c>
      <c r="J231" s="17"/>
    </row>
    <row r="232" spans="1:10" s="10" customFormat="1" ht="52.5" hidden="1" customHeight="1" x14ac:dyDescent="0.2">
      <c r="A232" s="3">
        <v>6300</v>
      </c>
      <c r="B232" s="3">
        <v>250</v>
      </c>
      <c r="C232" s="3" t="s">
        <v>106</v>
      </c>
      <c r="D232" s="3" t="s">
        <v>132</v>
      </c>
      <c r="E232" s="1" t="s">
        <v>62</v>
      </c>
      <c r="F232" s="3"/>
      <c r="G232" s="4"/>
      <c r="H232" s="4">
        <f>SUM(H226*0.013%)</f>
        <v>184.57919999999999</v>
      </c>
      <c r="I232" s="16">
        <f t="shared" si="3"/>
        <v>184.57919999999999</v>
      </c>
      <c r="J232" s="17"/>
    </row>
    <row r="233" spans="1:10" s="10" customFormat="1" ht="52.5" hidden="1" customHeight="1" x14ac:dyDescent="0.2">
      <c r="A233" s="3">
        <v>6300</v>
      </c>
      <c r="B233" s="3">
        <v>290</v>
      </c>
      <c r="C233" s="3" t="s">
        <v>106</v>
      </c>
      <c r="D233" s="3" t="s">
        <v>132</v>
      </c>
      <c r="E233" s="1" t="s">
        <v>63</v>
      </c>
      <c r="F233" s="3"/>
      <c r="G233" s="4"/>
      <c r="H233" s="4">
        <f>SUM(H226*2.412%)</f>
        <v>34246.540799999995</v>
      </c>
      <c r="I233" s="16">
        <f t="shared" si="3"/>
        <v>34246.540799999995</v>
      </c>
      <c r="J233" s="17"/>
    </row>
    <row r="234" spans="1:10" s="10" customFormat="1" ht="52.5" hidden="1" customHeight="1" x14ac:dyDescent="0.2">
      <c r="A234" s="3">
        <v>6400</v>
      </c>
      <c r="B234" s="3">
        <v>110</v>
      </c>
      <c r="C234" s="3" t="s">
        <v>108</v>
      </c>
      <c r="D234" s="3" t="s">
        <v>132</v>
      </c>
      <c r="E234" s="1" t="s">
        <v>142</v>
      </c>
      <c r="F234" s="3">
        <v>1</v>
      </c>
      <c r="G234" s="4"/>
      <c r="H234" s="11">
        <v>103000</v>
      </c>
      <c r="I234" s="16">
        <f t="shared" si="3"/>
        <v>103000</v>
      </c>
      <c r="J234" s="17"/>
    </row>
    <row r="235" spans="1:10" s="10" customFormat="1" ht="52.5" hidden="1" customHeight="1" x14ac:dyDescent="0.2">
      <c r="A235" s="3">
        <v>6400</v>
      </c>
      <c r="B235" s="3">
        <v>210</v>
      </c>
      <c r="C235" s="3" t="s">
        <v>108</v>
      </c>
      <c r="D235" s="3" t="s">
        <v>132</v>
      </c>
      <c r="E235" s="19" t="s">
        <v>59</v>
      </c>
      <c r="F235" s="3"/>
      <c r="G235" s="4"/>
      <c r="H235" s="4">
        <f>SUM(H234*0.1082)</f>
        <v>11144.6</v>
      </c>
      <c r="I235" s="16">
        <f t="shared" si="3"/>
        <v>11144.6</v>
      </c>
      <c r="J235" s="17"/>
    </row>
    <row r="236" spans="1:10" s="10" customFormat="1" ht="52.5" hidden="1" customHeight="1" x14ac:dyDescent="0.2">
      <c r="A236" s="3">
        <v>6400</v>
      </c>
      <c r="B236" s="3">
        <v>220</v>
      </c>
      <c r="C236" s="3" t="s">
        <v>108</v>
      </c>
      <c r="D236" s="3" t="s">
        <v>132</v>
      </c>
      <c r="E236" s="1" t="s">
        <v>60</v>
      </c>
      <c r="F236" s="3"/>
      <c r="G236" s="4"/>
      <c r="H236" s="4">
        <f>SUM(H234*0.0765)</f>
        <v>7879.5</v>
      </c>
      <c r="I236" s="16">
        <f t="shared" si="3"/>
        <v>7879.5</v>
      </c>
      <c r="J236" s="17"/>
    </row>
    <row r="237" spans="1:10" s="10" customFormat="1" ht="52.5" hidden="1" customHeight="1" x14ac:dyDescent="0.2">
      <c r="A237" s="3">
        <v>6400</v>
      </c>
      <c r="B237" s="3">
        <v>230</v>
      </c>
      <c r="C237" s="3" t="s">
        <v>108</v>
      </c>
      <c r="D237" s="3" t="s">
        <v>132</v>
      </c>
      <c r="E237" s="1" t="s">
        <v>121</v>
      </c>
      <c r="F237" s="3"/>
      <c r="G237" s="4"/>
      <c r="H237" s="4">
        <v>9289</v>
      </c>
      <c r="I237" s="16">
        <f t="shared" si="3"/>
        <v>9289</v>
      </c>
      <c r="J237" s="17"/>
    </row>
    <row r="238" spans="1:10" s="10" customFormat="1" ht="52.5" hidden="1" customHeight="1" x14ac:dyDescent="0.2">
      <c r="A238" s="3">
        <v>6400</v>
      </c>
      <c r="B238" s="3">
        <v>231</v>
      </c>
      <c r="C238" s="3" t="s">
        <v>108</v>
      </c>
      <c r="D238" s="3" t="s">
        <v>132</v>
      </c>
      <c r="E238" s="1" t="s">
        <v>25</v>
      </c>
      <c r="F238" s="3"/>
      <c r="G238" s="4"/>
      <c r="H238" s="4">
        <f>SUM(H234*0.0706%)</f>
        <v>72.717999999999989</v>
      </c>
      <c r="I238" s="16">
        <f t="shared" si="3"/>
        <v>72.717999999999989</v>
      </c>
      <c r="J238" s="17"/>
    </row>
    <row r="239" spans="1:10" s="10" customFormat="1" ht="52.5" hidden="1" customHeight="1" x14ac:dyDescent="0.2">
      <c r="A239" s="3">
        <v>6400</v>
      </c>
      <c r="B239" s="3">
        <v>240</v>
      </c>
      <c r="C239" s="3" t="s">
        <v>108</v>
      </c>
      <c r="D239" s="3" t="s">
        <v>132</v>
      </c>
      <c r="E239" s="1" t="s">
        <v>61</v>
      </c>
      <c r="F239" s="3"/>
      <c r="G239" s="4"/>
      <c r="H239" s="4">
        <f>SUM(H234*0.35%)</f>
        <v>360.49999999999994</v>
      </c>
      <c r="I239" s="16">
        <f t="shared" si="3"/>
        <v>360.49999999999994</v>
      </c>
      <c r="J239" s="17"/>
    </row>
    <row r="240" spans="1:10" s="10" customFormat="1" ht="52.5" hidden="1" customHeight="1" x14ac:dyDescent="0.2">
      <c r="A240" s="3">
        <v>6400</v>
      </c>
      <c r="B240" s="3">
        <v>250</v>
      </c>
      <c r="C240" s="3" t="s">
        <v>108</v>
      </c>
      <c r="D240" s="3" t="s">
        <v>132</v>
      </c>
      <c r="E240" s="1" t="s">
        <v>62</v>
      </c>
      <c r="F240" s="3"/>
      <c r="G240" s="4"/>
      <c r="H240" s="4">
        <f>SUM(H234*0.013%)</f>
        <v>13.389999999999999</v>
      </c>
      <c r="I240" s="16">
        <f t="shared" si="3"/>
        <v>13.389999999999999</v>
      </c>
      <c r="J240" s="17"/>
    </row>
    <row r="241" spans="1:10" s="10" customFormat="1" ht="52.5" hidden="1" customHeight="1" x14ac:dyDescent="0.2">
      <c r="A241" s="3">
        <v>6400</v>
      </c>
      <c r="B241" s="3">
        <v>290</v>
      </c>
      <c r="C241" s="3" t="s">
        <v>108</v>
      </c>
      <c r="D241" s="3" t="s">
        <v>132</v>
      </c>
      <c r="E241" s="1" t="s">
        <v>63</v>
      </c>
      <c r="F241" s="3"/>
      <c r="G241" s="4"/>
      <c r="H241" s="4">
        <f>SUM(H234*2.412%)</f>
        <v>2484.36</v>
      </c>
      <c r="I241" s="16">
        <f t="shared" si="3"/>
        <v>2484.36</v>
      </c>
      <c r="J241" s="17"/>
    </row>
    <row r="242" spans="1:10" s="10" customFormat="1" ht="52.5" hidden="1" customHeight="1" x14ac:dyDescent="0.2">
      <c r="A242" s="3">
        <v>6300</v>
      </c>
      <c r="B242" s="3">
        <v>130</v>
      </c>
      <c r="C242" s="3" t="s">
        <v>110</v>
      </c>
      <c r="D242" s="3" t="s">
        <v>132</v>
      </c>
      <c r="E242" s="1" t="s">
        <v>143</v>
      </c>
      <c r="F242" s="3">
        <v>2</v>
      </c>
      <c r="G242" s="4"/>
      <c r="H242" s="11">
        <f>SUM(52500*2)</f>
        <v>105000</v>
      </c>
      <c r="I242" s="16">
        <f t="shared" si="3"/>
        <v>105000</v>
      </c>
      <c r="J242" s="17"/>
    </row>
    <row r="243" spans="1:10" s="10" customFormat="1" ht="52.5" hidden="1" customHeight="1" x14ac:dyDescent="0.2">
      <c r="A243" s="3">
        <v>6300</v>
      </c>
      <c r="B243" s="3">
        <v>210</v>
      </c>
      <c r="C243" s="3" t="s">
        <v>110</v>
      </c>
      <c r="D243" s="3" t="s">
        <v>132</v>
      </c>
      <c r="E243" s="19" t="s">
        <v>59</v>
      </c>
      <c r="F243" s="3"/>
      <c r="G243" s="4"/>
      <c r="H243" s="4">
        <f>SUM(H242*0.1082)</f>
        <v>11361</v>
      </c>
      <c r="I243" s="16">
        <f t="shared" si="3"/>
        <v>11361</v>
      </c>
      <c r="J243" s="17"/>
    </row>
    <row r="244" spans="1:10" s="10" customFormat="1" ht="52.5" hidden="1" customHeight="1" x14ac:dyDescent="0.2">
      <c r="A244" s="3">
        <v>6300</v>
      </c>
      <c r="B244" s="3">
        <v>220</v>
      </c>
      <c r="C244" s="3" t="s">
        <v>110</v>
      </c>
      <c r="D244" s="3" t="s">
        <v>132</v>
      </c>
      <c r="E244" s="1" t="s">
        <v>60</v>
      </c>
      <c r="F244" s="3"/>
      <c r="G244" s="4"/>
      <c r="H244" s="4">
        <f>SUM(H242*0.0765)</f>
        <v>8032.5</v>
      </c>
      <c r="I244" s="16">
        <f t="shared" si="3"/>
        <v>8032.5</v>
      </c>
      <c r="J244" s="17"/>
    </row>
    <row r="245" spans="1:10" s="10" customFormat="1" ht="52.5" hidden="1" customHeight="1" x14ac:dyDescent="0.2">
      <c r="A245" s="3">
        <v>6300</v>
      </c>
      <c r="B245" s="3">
        <v>230</v>
      </c>
      <c r="C245" s="3" t="s">
        <v>110</v>
      </c>
      <c r="D245" s="3" t="s">
        <v>132</v>
      </c>
      <c r="E245" s="1" t="s">
        <v>121</v>
      </c>
      <c r="F245" s="3"/>
      <c r="G245" s="4"/>
      <c r="H245" s="4">
        <f>SUM(9289*2)</f>
        <v>18578</v>
      </c>
      <c r="I245" s="16">
        <f t="shared" si="3"/>
        <v>18578</v>
      </c>
      <c r="J245" s="17"/>
    </row>
    <row r="246" spans="1:10" s="10" customFormat="1" ht="52.5" hidden="1" customHeight="1" x14ac:dyDescent="0.2">
      <c r="A246" s="3">
        <v>6300</v>
      </c>
      <c r="B246" s="3">
        <v>231</v>
      </c>
      <c r="C246" s="3" t="s">
        <v>110</v>
      </c>
      <c r="D246" s="3" t="s">
        <v>132</v>
      </c>
      <c r="E246" s="1" t="s">
        <v>25</v>
      </c>
      <c r="F246" s="3"/>
      <c r="G246" s="4"/>
      <c r="H246" s="4">
        <f>SUM(H242*0.0706%)</f>
        <v>74.13</v>
      </c>
      <c r="I246" s="16">
        <f t="shared" si="3"/>
        <v>74.13</v>
      </c>
      <c r="J246" s="17"/>
    </row>
    <row r="247" spans="1:10" s="10" customFormat="1" ht="52.5" hidden="1" customHeight="1" x14ac:dyDescent="0.2">
      <c r="A247" s="3">
        <v>6300</v>
      </c>
      <c r="B247" s="3">
        <v>240</v>
      </c>
      <c r="C247" s="3" t="s">
        <v>110</v>
      </c>
      <c r="D247" s="3" t="s">
        <v>132</v>
      </c>
      <c r="E247" s="1" t="s">
        <v>61</v>
      </c>
      <c r="F247" s="3"/>
      <c r="G247" s="4"/>
      <c r="H247" s="4">
        <f>SUM(H242*0.35%)</f>
        <v>367.49999999999994</v>
      </c>
      <c r="I247" s="16">
        <f t="shared" si="3"/>
        <v>367.49999999999994</v>
      </c>
      <c r="J247" s="17"/>
    </row>
    <row r="248" spans="1:10" s="10" customFormat="1" ht="52.5" hidden="1" customHeight="1" x14ac:dyDescent="0.2">
      <c r="A248" s="3">
        <v>6300</v>
      </c>
      <c r="B248" s="3">
        <v>250</v>
      </c>
      <c r="C248" s="3" t="s">
        <v>110</v>
      </c>
      <c r="D248" s="3" t="s">
        <v>132</v>
      </c>
      <c r="E248" s="1" t="s">
        <v>62</v>
      </c>
      <c r="F248" s="3"/>
      <c r="G248" s="4"/>
      <c r="H248" s="4">
        <f>SUM(H242*0.013%)</f>
        <v>13.649999999999999</v>
      </c>
      <c r="I248" s="16">
        <f t="shared" si="3"/>
        <v>13.649999999999999</v>
      </c>
      <c r="J248" s="17"/>
    </row>
    <row r="249" spans="1:10" s="10" customFormat="1" ht="52.5" hidden="1" customHeight="1" x14ac:dyDescent="0.2">
      <c r="A249" s="3">
        <v>6300</v>
      </c>
      <c r="B249" s="3">
        <v>290</v>
      </c>
      <c r="C249" s="3" t="s">
        <v>110</v>
      </c>
      <c r="D249" s="3" t="s">
        <v>132</v>
      </c>
      <c r="E249" s="1" t="s">
        <v>63</v>
      </c>
      <c r="F249" s="3"/>
      <c r="G249" s="4"/>
      <c r="H249" s="4">
        <f>SUM(H242*2.412%)</f>
        <v>2532.6</v>
      </c>
      <c r="I249" s="16">
        <f t="shared" si="3"/>
        <v>2532.6</v>
      </c>
      <c r="J249" s="17"/>
    </row>
    <row r="250" spans="1:10" s="10" customFormat="1" ht="52.5" hidden="1" customHeight="1" x14ac:dyDescent="0.2">
      <c r="A250" s="3">
        <v>6300</v>
      </c>
      <c r="B250" s="3">
        <v>130</v>
      </c>
      <c r="C250" s="3" t="s">
        <v>146</v>
      </c>
      <c r="D250" s="3" t="s">
        <v>132</v>
      </c>
      <c r="E250" s="1" t="s">
        <v>321</v>
      </c>
      <c r="F250" s="3">
        <v>0.21</v>
      </c>
      <c r="G250" s="4"/>
      <c r="H250" s="11">
        <v>1008000</v>
      </c>
      <c r="I250" s="16">
        <f t="shared" ref="I250:I313" si="4">SUM(G250:H250)</f>
        <v>1008000</v>
      </c>
      <c r="J250" s="17"/>
    </row>
    <row r="251" spans="1:10" s="10" customFormat="1" ht="52.5" hidden="1" customHeight="1" x14ac:dyDescent="0.2">
      <c r="A251" s="3">
        <v>6300</v>
      </c>
      <c r="B251" s="3">
        <v>130</v>
      </c>
      <c r="C251" s="3" t="s">
        <v>146</v>
      </c>
      <c r="D251" s="3" t="s">
        <v>132</v>
      </c>
      <c r="E251" s="1" t="s">
        <v>322</v>
      </c>
      <c r="F251" s="3">
        <v>0.21</v>
      </c>
      <c r="G251" s="4"/>
      <c r="H251" s="11">
        <v>735000</v>
      </c>
      <c r="I251" s="16">
        <f t="shared" si="4"/>
        <v>735000</v>
      </c>
      <c r="J251" s="17"/>
    </row>
    <row r="252" spans="1:10" s="10" customFormat="1" ht="52.5" hidden="1" customHeight="1" x14ac:dyDescent="0.2">
      <c r="A252" s="3">
        <v>6300</v>
      </c>
      <c r="B252" s="3">
        <v>210</v>
      </c>
      <c r="C252" s="3" t="s">
        <v>146</v>
      </c>
      <c r="D252" s="3" t="s">
        <v>132</v>
      </c>
      <c r="E252" s="19" t="s">
        <v>59</v>
      </c>
      <c r="F252" s="3"/>
      <c r="G252" s="4"/>
      <c r="H252" s="4">
        <f>SUM(1743000*0.1082)</f>
        <v>188592.6</v>
      </c>
      <c r="I252" s="16">
        <f t="shared" si="4"/>
        <v>188592.6</v>
      </c>
      <c r="J252" s="17"/>
    </row>
    <row r="253" spans="1:10" s="10" customFormat="1" ht="52.5" hidden="1" customHeight="1" x14ac:dyDescent="0.2">
      <c r="A253" s="3">
        <v>6300</v>
      </c>
      <c r="B253" s="3">
        <v>220</v>
      </c>
      <c r="C253" s="3" t="s">
        <v>146</v>
      </c>
      <c r="D253" s="3" t="s">
        <v>132</v>
      </c>
      <c r="E253" s="1" t="s">
        <v>60</v>
      </c>
      <c r="F253" s="3"/>
      <c r="G253" s="4"/>
      <c r="H253" s="4">
        <f>SUM(1743000*0.0765)</f>
        <v>133339.5</v>
      </c>
      <c r="I253" s="16">
        <f t="shared" si="4"/>
        <v>133339.5</v>
      </c>
      <c r="J253" s="17"/>
    </row>
    <row r="254" spans="1:10" s="10" customFormat="1" ht="52.5" hidden="1" customHeight="1" x14ac:dyDescent="0.2">
      <c r="A254" s="3">
        <v>6300</v>
      </c>
      <c r="B254" s="3">
        <v>240</v>
      </c>
      <c r="C254" s="3" t="s">
        <v>146</v>
      </c>
      <c r="D254" s="3" t="s">
        <v>132</v>
      </c>
      <c r="E254" s="1" t="s">
        <v>61</v>
      </c>
      <c r="F254" s="3"/>
      <c r="G254" s="4"/>
      <c r="H254" s="4">
        <f>SUM(1743000*0.35%)</f>
        <v>6100.4999999999991</v>
      </c>
      <c r="I254" s="16">
        <f t="shared" si="4"/>
        <v>6100.4999999999991</v>
      </c>
      <c r="J254" s="17"/>
    </row>
    <row r="255" spans="1:10" s="10" customFormat="1" ht="52.5" hidden="1" customHeight="1" x14ac:dyDescent="0.2">
      <c r="A255" s="3">
        <v>5200</v>
      </c>
      <c r="B255" s="3">
        <v>160</v>
      </c>
      <c r="C255" s="3" t="s">
        <v>116</v>
      </c>
      <c r="D255" s="3" t="s">
        <v>132</v>
      </c>
      <c r="E255" s="6" t="s">
        <v>151</v>
      </c>
      <c r="F255" s="3">
        <v>11</v>
      </c>
      <c r="G255" s="4"/>
      <c r="H255" s="11">
        <f>SUM(36000*11*2)</f>
        <v>792000</v>
      </c>
      <c r="I255" s="16">
        <f t="shared" si="4"/>
        <v>792000</v>
      </c>
      <c r="J255" s="17"/>
    </row>
    <row r="256" spans="1:10" s="10" customFormat="1" ht="52.5" hidden="1" customHeight="1" x14ac:dyDescent="0.2">
      <c r="A256" s="3">
        <v>5200</v>
      </c>
      <c r="B256" s="3">
        <v>210</v>
      </c>
      <c r="C256" s="3" t="s">
        <v>116</v>
      </c>
      <c r="D256" s="3" t="s">
        <v>132</v>
      </c>
      <c r="E256" s="19" t="s">
        <v>59</v>
      </c>
      <c r="F256" s="3"/>
      <c r="G256" s="4"/>
      <c r="H256" s="4">
        <f>SUM(H255*0.1082)</f>
        <v>85694.400000000009</v>
      </c>
      <c r="I256" s="16">
        <f t="shared" si="4"/>
        <v>85694.400000000009</v>
      </c>
      <c r="J256" s="17"/>
    </row>
    <row r="257" spans="1:10" s="10" customFormat="1" ht="52.5" hidden="1" customHeight="1" x14ac:dyDescent="0.2">
      <c r="A257" s="3">
        <v>5200</v>
      </c>
      <c r="B257" s="3">
        <v>220</v>
      </c>
      <c r="C257" s="3" t="s">
        <v>116</v>
      </c>
      <c r="D257" s="3" t="s">
        <v>132</v>
      </c>
      <c r="E257" s="1" t="s">
        <v>60</v>
      </c>
      <c r="F257" s="3"/>
      <c r="G257" s="4"/>
      <c r="H257" s="4">
        <f>SUM(H255*0.0765)</f>
        <v>60588</v>
      </c>
      <c r="I257" s="16">
        <f t="shared" si="4"/>
        <v>60588</v>
      </c>
      <c r="J257" s="17"/>
    </row>
    <row r="258" spans="1:10" s="10" customFormat="1" ht="52.5" hidden="1" customHeight="1" x14ac:dyDescent="0.2">
      <c r="A258" s="3">
        <v>5200</v>
      </c>
      <c r="B258" s="3">
        <v>230</v>
      </c>
      <c r="C258" s="3" t="s">
        <v>116</v>
      </c>
      <c r="D258" s="3" t="s">
        <v>132</v>
      </c>
      <c r="E258" s="1" t="s">
        <v>121</v>
      </c>
      <c r="F258" s="3"/>
      <c r="G258" s="4"/>
      <c r="H258" s="4">
        <f>SUM(9289*11*2)</f>
        <v>204358</v>
      </c>
      <c r="I258" s="16">
        <f t="shared" si="4"/>
        <v>204358</v>
      </c>
      <c r="J258" s="17"/>
    </row>
    <row r="259" spans="1:10" s="10" customFormat="1" ht="52.5" hidden="1" customHeight="1" x14ac:dyDescent="0.2">
      <c r="A259" s="3">
        <v>5200</v>
      </c>
      <c r="B259" s="3">
        <v>231</v>
      </c>
      <c r="C259" s="3" t="s">
        <v>116</v>
      </c>
      <c r="D259" s="3" t="s">
        <v>132</v>
      </c>
      <c r="E259" s="1" t="s">
        <v>25</v>
      </c>
      <c r="F259" s="3"/>
      <c r="G259" s="4"/>
      <c r="H259" s="4">
        <f>SUM(H255*0.0706%)</f>
        <v>559.15199999999993</v>
      </c>
      <c r="I259" s="16">
        <f t="shared" si="4"/>
        <v>559.15199999999993</v>
      </c>
      <c r="J259" s="17"/>
    </row>
    <row r="260" spans="1:10" s="10" customFormat="1" ht="52.5" hidden="1" customHeight="1" x14ac:dyDescent="0.2">
      <c r="A260" s="3">
        <v>5200</v>
      </c>
      <c r="B260" s="3">
        <v>240</v>
      </c>
      <c r="C260" s="3" t="s">
        <v>116</v>
      </c>
      <c r="D260" s="3" t="s">
        <v>132</v>
      </c>
      <c r="E260" s="1" t="s">
        <v>61</v>
      </c>
      <c r="F260" s="3"/>
      <c r="G260" s="4"/>
      <c r="H260" s="4">
        <f>SUM(H255*0.35%)</f>
        <v>2771.9999999999995</v>
      </c>
      <c r="I260" s="16">
        <f t="shared" si="4"/>
        <v>2771.9999999999995</v>
      </c>
      <c r="J260" s="17"/>
    </row>
    <row r="261" spans="1:10" s="10" customFormat="1" ht="52.5" hidden="1" customHeight="1" x14ac:dyDescent="0.2">
      <c r="A261" s="3">
        <v>5200</v>
      </c>
      <c r="B261" s="3">
        <v>250</v>
      </c>
      <c r="C261" s="3" t="s">
        <v>116</v>
      </c>
      <c r="D261" s="3" t="s">
        <v>132</v>
      </c>
      <c r="E261" s="1" t="s">
        <v>62</v>
      </c>
      <c r="F261" s="3"/>
      <c r="G261" s="4"/>
      <c r="H261" s="4">
        <f>SUM(H255*0.013%)</f>
        <v>102.96</v>
      </c>
      <c r="I261" s="16">
        <f t="shared" si="4"/>
        <v>102.96</v>
      </c>
      <c r="J261" s="17"/>
    </row>
    <row r="262" spans="1:10" s="10" customFormat="1" ht="52.5" hidden="1" customHeight="1" x14ac:dyDescent="0.2">
      <c r="A262" s="3">
        <v>5200</v>
      </c>
      <c r="B262" s="3">
        <v>290</v>
      </c>
      <c r="C262" s="3" t="s">
        <v>116</v>
      </c>
      <c r="D262" s="3" t="s">
        <v>132</v>
      </c>
      <c r="E262" s="1" t="s">
        <v>63</v>
      </c>
      <c r="F262" s="3"/>
      <c r="G262" s="4"/>
      <c r="H262" s="4">
        <f>SUM(H255*2.412%)</f>
        <v>19103.04</v>
      </c>
      <c r="I262" s="16">
        <f t="shared" si="4"/>
        <v>19103.04</v>
      </c>
      <c r="J262" s="17"/>
    </row>
    <row r="263" spans="1:10" s="10" customFormat="1" ht="52.5" hidden="1" customHeight="1" x14ac:dyDescent="0.2">
      <c r="A263" s="3">
        <v>6300</v>
      </c>
      <c r="B263" s="3">
        <v>369</v>
      </c>
      <c r="C263" s="3" t="s">
        <v>76</v>
      </c>
      <c r="D263" s="3" t="s">
        <v>152</v>
      </c>
      <c r="E263" s="1" t="s">
        <v>153</v>
      </c>
      <c r="F263" s="3"/>
      <c r="G263" s="4"/>
      <c r="H263" s="4">
        <v>500000</v>
      </c>
      <c r="I263" s="16">
        <f t="shared" si="4"/>
        <v>500000</v>
      </c>
      <c r="J263" s="17"/>
    </row>
    <row r="264" spans="1:10" s="10" customFormat="1" ht="52.5" hidden="1" customHeight="1" x14ac:dyDescent="0.2">
      <c r="A264" s="3">
        <v>7800</v>
      </c>
      <c r="B264" s="3">
        <v>652</v>
      </c>
      <c r="C264" s="3" t="s">
        <v>77</v>
      </c>
      <c r="D264" s="3" t="s">
        <v>152</v>
      </c>
      <c r="E264" s="1" t="s">
        <v>154</v>
      </c>
      <c r="F264" s="3"/>
      <c r="G264" s="4"/>
      <c r="H264" s="4">
        <f>SUM(96585*12)</f>
        <v>1159020</v>
      </c>
      <c r="I264" s="16">
        <f t="shared" si="4"/>
        <v>1159020</v>
      </c>
      <c r="J264" s="17"/>
    </row>
    <row r="265" spans="1:10" s="10" customFormat="1" ht="52.5" hidden="1" customHeight="1" x14ac:dyDescent="0.2">
      <c r="A265" s="3">
        <v>7800</v>
      </c>
      <c r="B265" s="40">
        <v>643</v>
      </c>
      <c r="C265" s="3" t="s">
        <v>79</v>
      </c>
      <c r="D265" s="3" t="s">
        <v>152</v>
      </c>
      <c r="E265" s="1" t="s">
        <v>155</v>
      </c>
      <c r="F265" s="3"/>
      <c r="G265" s="4"/>
      <c r="H265" s="4">
        <v>2300000</v>
      </c>
      <c r="I265" s="16">
        <f t="shared" si="4"/>
        <v>2300000</v>
      </c>
      <c r="J265" s="17"/>
    </row>
    <row r="266" spans="1:10" s="10" customFormat="1" ht="52.5" hidden="1" customHeight="1" x14ac:dyDescent="0.2">
      <c r="A266" s="3">
        <v>7800</v>
      </c>
      <c r="B266" s="3">
        <v>164</v>
      </c>
      <c r="C266" s="3" t="s">
        <v>76</v>
      </c>
      <c r="D266" s="3" t="s">
        <v>156</v>
      </c>
      <c r="E266" s="23" t="s">
        <v>169</v>
      </c>
      <c r="F266" s="3"/>
      <c r="G266" s="4"/>
      <c r="H266" s="4">
        <v>1800000</v>
      </c>
      <c r="I266" s="16">
        <f t="shared" si="4"/>
        <v>1800000</v>
      </c>
      <c r="J266" s="17"/>
    </row>
    <row r="267" spans="1:10" s="10" customFormat="1" ht="52.5" hidden="1" customHeight="1" x14ac:dyDescent="0.2">
      <c r="A267" s="3">
        <v>7800</v>
      </c>
      <c r="B267" s="3">
        <v>210</v>
      </c>
      <c r="C267" s="3" t="s">
        <v>76</v>
      </c>
      <c r="D267" s="3" t="s">
        <v>156</v>
      </c>
      <c r="E267" s="24" t="s">
        <v>59</v>
      </c>
      <c r="F267" s="3"/>
      <c r="G267" s="4"/>
      <c r="H267" s="4">
        <f>SUM(H266*0.1082)</f>
        <v>194760</v>
      </c>
      <c r="I267" s="16">
        <f t="shared" si="4"/>
        <v>194760</v>
      </c>
      <c r="J267" s="17"/>
    </row>
    <row r="268" spans="1:10" s="10" customFormat="1" ht="52.5" hidden="1" customHeight="1" x14ac:dyDescent="0.2">
      <c r="A268" s="3">
        <v>7800</v>
      </c>
      <c r="B268" s="3">
        <v>220</v>
      </c>
      <c r="C268" s="3" t="s">
        <v>76</v>
      </c>
      <c r="D268" s="3" t="s">
        <v>156</v>
      </c>
      <c r="E268" s="25" t="s">
        <v>60</v>
      </c>
      <c r="F268" s="3"/>
      <c r="G268" s="4"/>
      <c r="H268" s="4">
        <f>SUM(H266*0.0765)</f>
        <v>137700</v>
      </c>
      <c r="I268" s="16">
        <f t="shared" si="4"/>
        <v>137700</v>
      </c>
      <c r="J268" s="17"/>
    </row>
    <row r="269" spans="1:10" s="10" customFormat="1" ht="52.5" hidden="1" customHeight="1" x14ac:dyDescent="0.2">
      <c r="A269" s="3">
        <v>5200</v>
      </c>
      <c r="B269" s="3">
        <v>240</v>
      </c>
      <c r="C269" s="3" t="s">
        <v>76</v>
      </c>
      <c r="D269" s="3" t="s">
        <v>156</v>
      </c>
      <c r="E269" s="25" t="s">
        <v>61</v>
      </c>
      <c r="F269" s="3"/>
      <c r="G269" s="4"/>
      <c r="H269" s="4">
        <f>SUM(H266*0.35%)</f>
        <v>6299.9999999999991</v>
      </c>
      <c r="I269" s="16">
        <f t="shared" si="4"/>
        <v>6299.9999999999991</v>
      </c>
      <c r="J269" s="17"/>
    </row>
    <row r="270" spans="1:10" s="10" customFormat="1" ht="52.5" hidden="1" customHeight="1" x14ac:dyDescent="0.2">
      <c r="A270" s="3">
        <v>6300</v>
      </c>
      <c r="B270" s="3">
        <v>369</v>
      </c>
      <c r="C270" s="3" t="s">
        <v>76</v>
      </c>
      <c r="D270" s="3" t="s">
        <v>157</v>
      </c>
      <c r="E270" s="26" t="s">
        <v>158</v>
      </c>
      <c r="F270" s="3"/>
      <c r="G270" s="4"/>
      <c r="H270" s="4">
        <v>200000</v>
      </c>
      <c r="I270" s="16">
        <f t="shared" si="4"/>
        <v>200000</v>
      </c>
      <c r="J270" s="17"/>
    </row>
    <row r="271" spans="1:10" s="10" customFormat="1" ht="52.5" hidden="1" customHeight="1" x14ac:dyDescent="0.2">
      <c r="A271" s="3">
        <v>6500</v>
      </c>
      <c r="B271" s="3">
        <v>369</v>
      </c>
      <c r="C271" s="3" t="s">
        <v>77</v>
      </c>
      <c r="D271" s="3" t="s">
        <v>157</v>
      </c>
      <c r="E271" s="1" t="s">
        <v>170</v>
      </c>
      <c r="F271" s="3"/>
      <c r="G271" s="4"/>
      <c r="H271" s="2">
        <v>466566</v>
      </c>
      <c r="I271" s="16">
        <f t="shared" si="4"/>
        <v>466566</v>
      </c>
      <c r="J271" s="17"/>
    </row>
    <row r="272" spans="1:10" s="10" customFormat="1" ht="52.5" hidden="1" customHeight="1" x14ac:dyDescent="0.2">
      <c r="A272" s="3">
        <v>6400</v>
      </c>
      <c r="B272" s="3">
        <v>390</v>
      </c>
      <c r="C272" s="3" t="s">
        <v>79</v>
      </c>
      <c r="D272" s="3" t="s">
        <v>157</v>
      </c>
      <c r="E272" s="1" t="s">
        <v>159</v>
      </c>
      <c r="F272" s="3"/>
      <c r="G272" s="4"/>
      <c r="H272" s="4">
        <f>SUM(1000*125)</f>
        <v>125000</v>
      </c>
      <c r="I272" s="16">
        <f t="shared" si="4"/>
        <v>125000</v>
      </c>
      <c r="J272" s="17"/>
    </row>
    <row r="273" spans="1:10" s="10" customFormat="1" ht="52.5" hidden="1" customHeight="1" x14ac:dyDescent="0.2">
      <c r="A273" s="3">
        <v>8200</v>
      </c>
      <c r="B273" s="3">
        <v>310</v>
      </c>
      <c r="C273" s="3" t="s">
        <v>76</v>
      </c>
      <c r="D273" s="3" t="s">
        <v>160</v>
      </c>
      <c r="E273" s="1" t="s">
        <v>161</v>
      </c>
      <c r="F273" s="3"/>
      <c r="G273" s="4"/>
      <c r="H273" s="4">
        <v>1600000</v>
      </c>
      <c r="I273" s="16">
        <f t="shared" si="4"/>
        <v>1600000</v>
      </c>
      <c r="J273" s="17"/>
    </row>
    <row r="274" spans="1:10" s="10" customFormat="1" ht="52.5" hidden="1" customHeight="1" x14ac:dyDescent="0.2">
      <c r="A274" s="3">
        <v>8200</v>
      </c>
      <c r="B274" s="3">
        <v>310</v>
      </c>
      <c r="C274" s="3" t="s">
        <v>77</v>
      </c>
      <c r="D274" s="3" t="s">
        <v>160</v>
      </c>
      <c r="E274" s="1" t="s">
        <v>171</v>
      </c>
      <c r="F274" s="3"/>
      <c r="G274" s="4"/>
      <c r="H274" s="4">
        <v>200000</v>
      </c>
      <c r="I274" s="16">
        <f t="shared" si="4"/>
        <v>200000</v>
      </c>
      <c r="J274" s="17"/>
    </row>
    <row r="275" spans="1:10" s="10" customFormat="1" ht="52.5" hidden="1" customHeight="1" x14ac:dyDescent="0.2">
      <c r="A275" s="3">
        <v>8200</v>
      </c>
      <c r="B275" s="3">
        <v>643</v>
      </c>
      <c r="C275" s="3" t="s">
        <v>79</v>
      </c>
      <c r="D275" s="3" t="s">
        <v>160</v>
      </c>
      <c r="E275" s="1" t="s">
        <v>162</v>
      </c>
      <c r="F275" s="3"/>
      <c r="G275" s="4"/>
      <c r="H275" s="4">
        <v>57804</v>
      </c>
      <c r="I275" s="16">
        <f t="shared" si="4"/>
        <v>57804</v>
      </c>
      <c r="J275" s="17"/>
    </row>
    <row r="276" spans="1:10" s="10" customFormat="1" ht="52.5" hidden="1" customHeight="1" x14ac:dyDescent="0.2">
      <c r="A276" s="3">
        <v>8200</v>
      </c>
      <c r="B276" s="3">
        <v>643</v>
      </c>
      <c r="C276" s="3" t="s">
        <v>94</v>
      </c>
      <c r="D276" s="3" t="s">
        <v>160</v>
      </c>
      <c r="E276" s="1" t="s">
        <v>163</v>
      </c>
      <c r="F276" s="3"/>
      <c r="G276" s="4"/>
      <c r="H276" s="4">
        <v>100000</v>
      </c>
      <c r="I276" s="16">
        <f t="shared" si="4"/>
        <v>100000</v>
      </c>
      <c r="J276" s="17"/>
    </row>
    <row r="277" spans="1:10" s="10" customFormat="1" ht="52.5" hidden="1" customHeight="1" x14ac:dyDescent="0.2">
      <c r="A277" s="3">
        <v>8200</v>
      </c>
      <c r="B277" s="3">
        <v>369</v>
      </c>
      <c r="C277" s="3" t="s">
        <v>95</v>
      </c>
      <c r="D277" s="3" t="s">
        <v>160</v>
      </c>
      <c r="E277" s="1" t="s">
        <v>172</v>
      </c>
      <c r="F277" s="3"/>
      <c r="G277" s="4"/>
      <c r="H277" s="4">
        <v>66000</v>
      </c>
      <c r="I277" s="16">
        <f t="shared" si="4"/>
        <v>66000</v>
      </c>
      <c r="J277" s="17"/>
    </row>
    <row r="278" spans="1:10" s="10" customFormat="1" ht="52.5" hidden="1" customHeight="1" x14ac:dyDescent="0.2">
      <c r="A278" s="3">
        <v>5100</v>
      </c>
      <c r="B278" s="3">
        <v>369</v>
      </c>
      <c r="C278" s="3" t="s">
        <v>99</v>
      </c>
      <c r="D278" s="3" t="s">
        <v>160</v>
      </c>
      <c r="E278" s="1" t="s">
        <v>173</v>
      </c>
      <c r="F278" s="3"/>
      <c r="G278" s="4"/>
      <c r="H278" s="4">
        <v>360000</v>
      </c>
      <c r="I278" s="16">
        <f t="shared" si="4"/>
        <v>360000</v>
      </c>
      <c r="J278" s="17"/>
    </row>
    <row r="279" spans="1:10" s="10" customFormat="1" ht="52.5" hidden="1" customHeight="1" x14ac:dyDescent="0.2">
      <c r="A279" s="3">
        <v>5100</v>
      </c>
      <c r="B279" s="3">
        <v>369</v>
      </c>
      <c r="C279" s="3" t="s">
        <v>101</v>
      </c>
      <c r="D279" s="3" t="s">
        <v>160</v>
      </c>
      <c r="E279" s="1" t="s">
        <v>164</v>
      </c>
      <c r="F279" s="3"/>
      <c r="G279" s="4"/>
      <c r="H279" s="4">
        <v>1000560</v>
      </c>
      <c r="I279" s="16">
        <f t="shared" si="4"/>
        <v>1000560</v>
      </c>
      <c r="J279" s="17"/>
    </row>
    <row r="280" spans="1:10" s="10" customFormat="1" ht="52.5" hidden="1" customHeight="1" x14ac:dyDescent="0.2">
      <c r="A280" s="3">
        <v>5100</v>
      </c>
      <c r="B280" s="3">
        <v>369</v>
      </c>
      <c r="C280" s="3" t="s">
        <v>103</v>
      </c>
      <c r="D280" s="3" t="s">
        <v>160</v>
      </c>
      <c r="E280" s="1" t="s">
        <v>174</v>
      </c>
      <c r="F280" s="3"/>
      <c r="G280" s="4"/>
      <c r="H280" s="4">
        <v>510000</v>
      </c>
      <c r="I280" s="16">
        <f t="shared" si="4"/>
        <v>510000</v>
      </c>
      <c r="J280" s="17"/>
    </row>
    <row r="281" spans="1:10" s="10" customFormat="1" ht="52.5" hidden="1" customHeight="1" x14ac:dyDescent="0.2">
      <c r="A281" s="3">
        <v>5500</v>
      </c>
      <c r="B281" s="3">
        <v>369</v>
      </c>
      <c r="C281" s="3" t="s">
        <v>104</v>
      </c>
      <c r="D281" s="3" t="s">
        <v>160</v>
      </c>
      <c r="E281" s="1" t="s">
        <v>175</v>
      </c>
      <c r="F281" s="3"/>
      <c r="G281" s="4"/>
      <c r="H281" s="4">
        <v>237500</v>
      </c>
      <c r="I281" s="16">
        <f t="shared" si="4"/>
        <v>237500</v>
      </c>
      <c r="J281" s="17"/>
    </row>
    <row r="282" spans="1:10" s="10" customFormat="1" ht="52.5" hidden="1" customHeight="1" x14ac:dyDescent="0.2">
      <c r="A282" s="3">
        <v>5500</v>
      </c>
      <c r="B282" s="3">
        <v>643</v>
      </c>
      <c r="C282" s="3" t="s">
        <v>106</v>
      </c>
      <c r="D282" s="3" t="s">
        <v>160</v>
      </c>
      <c r="E282" s="1" t="s">
        <v>165</v>
      </c>
      <c r="F282" s="3"/>
      <c r="G282" s="4"/>
      <c r="H282" s="4">
        <v>152604</v>
      </c>
      <c r="I282" s="16">
        <f t="shared" si="4"/>
        <v>152604</v>
      </c>
      <c r="J282" s="17"/>
    </row>
    <row r="283" spans="1:10" s="10" customFormat="1" ht="52.5" hidden="1" customHeight="1" x14ac:dyDescent="0.2">
      <c r="A283" s="3">
        <v>5100</v>
      </c>
      <c r="B283" s="3">
        <v>369</v>
      </c>
      <c r="C283" s="3" t="s">
        <v>108</v>
      </c>
      <c r="D283" s="3" t="s">
        <v>160</v>
      </c>
      <c r="E283" s="1" t="s">
        <v>176</v>
      </c>
      <c r="F283" s="3"/>
      <c r="G283" s="4"/>
      <c r="H283" s="4">
        <v>320000</v>
      </c>
      <c r="I283" s="16">
        <f t="shared" si="4"/>
        <v>320000</v>
      </c>
      <c r="J283" s="17"/>
    </row>
    <row r="284" spans="1:10" s="10" customFormat="1" ht="52.5" hidden="1" customHeight="1" x14ac:dyDescent="0.2">
      <c r="A284" s="3">
        <v>5100</v>
      </c>
      <c r="B284" s="3">
        <v>369</v>
      </c>
      <c r="C284" s="3" t="s">
        <v>110</v>
      </c>
      <c r="D284" s="3" t="s">
        <v>160</v>
      </c>
      <c r="E284" s="1" t="s">
        <v>177</v>
      </c>
      <c r="F284" s="3"/>
      <c r="G284" s="4"/>
      <c r="H284" s="4">
        <v>320000</v>
      </c>
      <c r="I284" s="16">
        <f t="shared" si="4"/>
        <v>320000</v>
      </c>
      <c r="J284" s="17"/>
    </row>
    <row r="285" spans="1:10" s="10" customFormat="1" ht="52.5" hidden="1" customHeight="1" x14ac:dyDescent="0.2">
      <c r="A285" s="3">
        <v>5100</v>
      </c>
      <c r="B285" s="3">
        <v>369</v>
      </c>
      <c r="C285" s="3" t="s">
        <v>179</v>
      </c>
      <c r="D285" s="3" t="s">
        <v>160</v>
      </c>
      <c r="E285" s="1" t="s">
        <v>196</v>
      </c>
      <c r="F285" s="3"/>
      <c r="G285" s="4"/>
      <c r="H285" s="4">
        <v>1500000</v>
      </c>
      <c r="I285" s="16">
        <f t="shared" si="4"/>
        <v>1500000</v>
      </c>
      <c r="J285" s="17"/>
    </row>
    <row r="286" spans="1:10" s="10" customFormat="1" ht="52.5" hidden="1" customHeight="1" x14ac:dyDescent="0.2">
      <c r="A286" s="3">
        <v>6300</v>
      </c>
      <c r="B286" s="3">
        <v>369</v>
      </c>
      <c r="C286" s="3" t="s">
        <v>76</v>
      </c>
      <c r="D286" s="3" t="s">
        <v>285</v>
      </c>
      <c r="E286" s="1" t="s">
        <v>180</v>
      </c>
      <c r="F286" s="3"/>
      <c r="G286" s="4"/>
      <c r="H286" s="4">
        <v>97500</v>
      </c>
      <c r="I286" s="16">
        <f t="shared" si="4"/>
        <v>97500</v>
      </c>
      <c r="J286" s="17"/>
    </row>
    <row r="287" spans="1:10" s="10" customFormat="1" ht="52.5" hidden="1" customHeight="1" x14ac:dyDescent="0.2">
      <c r="A287" s="3">
        <v>5100</v>
      </c>
      <c r="B287" s="3">
        <v>369</v>
      </c>
      <c r="C287" s="3" t="s">
        <v>116</v>
      </c>
      <c r="D287" s="3" t="s">
        <v>160</v>
      </c>
      <c r="E287" s="1" t="s">
        <v>181</v>
      </c>
      <c r="F287" s="3"/>
      <c r="G287" s="4"/>
      <c r="H287" s="4">
        <v>2261960</v>
      </c>
      <c r="I287" s="16">
        <f t="shared" si="4"/>
        <v>2261960</v>
      </c>
      <c r="J287" s="17"/>
    </row>
    <row r="288" spans="1:10" s="10" customFormat="1" ht="52.5" hidden="1" customHeight="1" x14ac:dyDescent="0.2">
      <c r="A288" s="3">
        <v>5100</v>
      </c>
      <c r="B288" s="3">
        <v>369</v>
      </c>
      <c r="C288" s="3" t="s">
        <v>122</v>
      </c>
      <c r="D288" s="3" t="s">
        <v>160</v>
      </c>
      <c r="E288" s="1" t="s">
        <v>182</v>
      </c>
      <c r="F288" s="3"/>
      <c r="G288" s="4">
        <v>800000</v>
      </c>
      <c r="H288" s="4"/>
      <c r="I288" s="16">
        <f t="shared" si="4"/>
        <v>800000</v>
      </c>
      <c r="J288" s="17"/>
    </row>
    <row r="289" spans="1:10" s="10" customFormat="1" ht="52.5" hidden="1" customHeight="1" x14ac:dyDescent="0.2">
      <c r="A289" s="3">
        <v>5100</v>
      </c>
      <c r="B289" s="3">
        <v>644</v>
      </c>
      <c r="C289" s="3" t="s">
        <v>124</v>
      </c>
      <c r="D289" s="3" t="s">
        <v>160</v>
      </c>
      <c r="E289" s="1" t="s">
        <v>197</v>
      </c>
      <c r="F289" s="3"/>
      <c r="G289" s="4"/>
      <c r="H289" s="4">
        <v>45593955</v>
      </c>
      <c r="I289" s="16">
        <f t="shared" si="4"/>
        <v>45593955</v>
      </c>
      <c r="J289" s="17"/>
    </row>
    <row r="290" spans="1:10" s="10" customFormat="1" ht="52.5" hidden="1" customHeight="1" x14ac:dyDescent="0.2">
      <c r="A290" s="3">
        <v>5100</v>
      </c>
      <c r="B290" s="3">
        <v>644</v>
      </c>
      <c r="C290" s="3" t="s">
        <v>124</v>
      </c>
      <c r="D290" s="3" t="s">
        <v>160</v>
      </c>
      <c r="E290" s="1" t="s">
        <v>187</v>
      </c>
      <c r="F290" s="3"/>
      <c r="G290" s="4"/>
      <c r="H290" s="4">
        <v>3051384</v>
      </c>
      <c r="I290" s="16">
        <f t="shared" si="4"/>
        <v>3051384</v>
      </c>
      <c r="J290" s="17"/>
    </row>
    <row r="291" spans="1:10" s="10" customFormat="1" ht="52.5" hidden="1" customHeight="1" x14ac:dyDescent="0.2">
      <c r="A291" s="3">
        <v>5100</v>
      </c>
      <c r="B291" s="3">
        <v>390</v>
      </c>
      <c r="C291" s="3" t="s">
        <v>126</v>
      </c>
      <c r="D291" s="3" t="s">
        <v>160</v>
      </c>
      <c r="E291" s="1" t="s">
        <v>183</v>
      </c>
      <c r="F291" s="3"/>
      <c r="G291" s="4"/>
      <c r="H291" s="4">
        <v>2606574</v>
      </c>
      <c r="I291" s="16">
        <f t="shared" si="4"/>
        <v>2606574</v>
      </c>
      <c r="J291" s="17"/>
    </row>
    <row r="292" spans="1:10" s="10" customFormat="1" ht="52.5" hidden="1" customHeight="1" x14ac:dyDescent="0.2">
      <c r="A292" s="3">
        <v>5100</v>
      </c>
      <c r="B292" s="3">
        <v>642</v>
      </c>
      <c r="C292" s="3" t="s">
        <v>184</v>
      </c>
      <c r="D292" s="3" t="s">
        <v>160</v>
      </c>
      <c r="E292" s="1" t="s">
        <v>186</v>
      </c>
      <c r="F292" s="3"/>
      <c r="G292" s="4"/>
      <c r="H292" s="4">
        <v>11541456</v>
      </c>
      <c r="I292" s="16">
        <f t="shared" si="4"/>
        <v>11541456</v>
      </c>
      <c r="J292" s="17"/>
    </row>
    <row r="293" spans="1:10" s="10" customFormat="1" ht="52.5" hidden="1" customHeight="1" x14ac:dyDescent="0.2">
      <c r="A293" s="3">
        <v>6130</v>
      </c>
      <c r="B293" s="3">
        <v>130</v>
      </c>
      <c r="C293" s="3" t="s">
        <v>76</v>
      </c>
      <c r="D293" s="3" t="s">
        <v>185</v>
      </c>
      <c r="E293" s="1" t="s">
        <v>188</v>
      </c>
      <c r="F293" s="3">
        <v>1</v>
      </c>
      <c r="G293" s="4"/>
      <c r="H293" s="11">
        <v>120000</v>
      </c>
      <c r="I293" s="16">
        <f t="shared" si="4"/>
        <v>120000</v>
      </c>
      <c r="J293" s="17"/>
    </row>
    <row r="294" spans="1:10" s="10" customFormat="1" ht="52.5" hidden="1" customHeight="1" x14ac:dyDescent="0.2">
      <c r="A294" s="3">
        <v>6130</v>
      </c>
      <c r="B294" s="3">
        <v>210</v>
      </c>
      <c r="C294" s="3" t="s">
        <v>76</v>
      </c>
      <c r="D294" s="3" t="s">
        <v>185</v>
      </c>
      <c r="E294" s="19" t="s">
        <v>59</v>
      </c>
      <c r="F294" s="3"/>
      <c r="G294" s="4"/>
      <c r="H294" s="4">
        <f>SUM(H293*0.1082)</f>
        <v>12984</v>
      </c>
      <c r="I294" s="16">
        <f t="shared" si="4"/>
        <v>12984</v>
      </c>
      <c r="J294" s="17"/>
    </row>
    <row r="295" spans="1:10" s="10" customFormat="1" ht="52.5" hidden="1" customHeight="1" x14ac:dyDescent="0.2">
      <c r="A295" s="3">
        <v>6130</v>
      </c>
      <c r="B295" s="3">
        <v>220</v>
      </c>
      <c r="C295" s="3" t="s">
        <v>76</v>
      </c>
      <c r="D295" s="3" t="s">
        <v>185</v>
      </c>
      <c r="E295" s="1" t="s">
        <v>60</v>
      </c>
      <c r="F295" s="3"/>
      <c r="G295" s="4"/>
      <c r="H295" s="4">
        <f>SUM(H293*0.0765)</f>
        <v>9180</v>
      </c>
      <c r="I295" s="16">
        <f t="shared" si="4"/>
        <v>9180</v>
      </c>
      <c r="J295" s="17"/>
    </row>
    <row r="296" spans="1:10" s="10" customFormat="1" ht="52.5" hidden="1" customHeight="1" x14ac:dyDescent="0.2">
      <c r="A296" s="3">
        <v>6130</v>
      </c>
      <c r="B296" s="3">
        <v>230</v>
      </c>
      <c r="C296" s="3" t="s">
        <v>76</v>
      </c>
      <c r="D296" s="3" t="s">
        <v>185</v>
      </c>
      <c r="E296" s="1" t="s">
        <v>121</v>
      </c>
      <c r="F296" s="3"/>
      <c r="G296" s="4"/>
      <c r="H296" s="4">
        <v>18578</v>
      </c>
      <c r="I296" s="16">
        <f t="shared" si="4"/>
        <v>18578</v>
      </c>
      <c r="J296" s="17"/>
    </row>
    <row r="297" spans="1:10" s="10" customFormat="1" ht="52.5" hidden="1" customHeight="1" x14ac:dyDescent="0.2">
      <c r="A297" s="3">
        <v>6130</v>
      </c>
      <c r="B297" s="3">
        <v>231</v>
      </c>
      <c r="C297" s="3" t="s">
        <v>76</v>
      </c>
      <c r="D297" s="3" t="s">
        <v>185</v>
      </c>
      <c r="E297" s="1" t="s">
        <v>25</v>
      </c>
      <c r="F297" s="3"/>
      <c r="G297" s="4"/>
      <c r="H297" s="4">
        <f>SUM(H293*0.0706%)</f>
        <v>84.719999999999985</v>
      </c>
      <c r="I297" s="16">
        <f t="shared" si="4"/>
        <v>84.719999999999985</v>
      </c>
      <c r="J297" s="17"/>
    </row>
    <row r="298" spans="1:10" s="10" customFormat="1" ht="52.5" hidden="1" customHeight="1" x14ac:dyDescent="0.2">
      <c r="A298" s="3">
        <v>6130</v>
      </c>
      <c r="B298" s="3">
        <v>240</v>
      </c>
      <c r="C298" s="3" t="s">
        <v>76</v>
      </c>
      <c r="D298" s="3" t="s">
        <v>185</v>
      </c>
      <c r="E298" s="1" t="s">
        <v>61</v>
      </c>
      <c r="F298" s="3"/>
      <c r="G298" s="4"/>
      <c r="H298" s="4">
        <f>SUM(H293*0.35%)</f>
        <v>419.99999999999994</v>
      </c>
      <c r="I298" s="16">
        <f t="shared" si="4"/>
        <v>419.99999999999994</v>
      </c>
      <c r="J298" s="17"/>
    </row>
    <row r="299" spans="1:10" s="10" customFormat="1" ht="52.5" hidden="1" customHeight="1" x14ac:dyDescent="0.2">
      <c r="A299" s="3">
        <v>6130</v>
      </c>
      <c r="B299" s="3">
        <v>250</v>
      </c>
      <c r="C299" s="3" t="s">
        <v>76</v>
      </c>
      <c r="D299" s="3" t="s">
        <v>185</v>
      </c>
      <c r="E299" s="1" t="s">
        <v>62</v>
      </c>
      <c r="F299" s="3"/>
      <c r="G299" s="4"/>
      <c r="H299" s="4">
        <f>SUM(H293*0.013%)</f>
        <v>15.599999999999998</v>
      </c>
      <c r="I299" s="16">
        <f t="shared" si="4"/>
        <v>15.599999999999998</v>
      </c>
      <c r="J299" s="17"/>
    </row>
    <row r="300" spans="1:10" s="10" customFormat="1" ht="52.5" hidden="1" customHeight="1" x14ac:dyDescent="0.2">
      <c r="A300" s="3">
        <v>6130</v>
      </c>
      <c r="B300" s="3">
        <v>290</v>
      </c>
      <c r="C300" s="3" t="s">
        <v>76</v>
      </c>
      <c r="D300" s="3" t="s">
        <v>185</v>
      </c>
      <c r="E300" s="1" t="s">
        <v>63</v>
      </c>
      <c r="F300" s="3"/>
      <c r="G300" s="4"/>
      <c r="H300" s="4">
        <f>SUM(H293*2.412%)</f>
        <v>2894.4</v>
      </c>
      <c r="I300" s="16">
        <f t="shared" si="4"/>
        <v>2894.4</v>
      </c>
      <c r="J300" s="17"/>
    </row>
    <row r="301" spans="1:10" s="10" customFormat="1" ht="52.5" hidden="1" customHeight="1" x14ac:dyDescent="0.2">
      <c r="A301" s="3">
        <v>7900</v>
      </c>
      <c r="B301" s="3">
        <v>369</v>
      </c>
      <c r="C301" s="3" t="s">
        <v>77</v>
      </c>
      <c r="D301" s="3" t="s">
        <v>185</v>
      </c>
      <c r="E301" s="1" t="s">
        <v>198</v>
      </c>
      <c r="F301" s="3"/>
      <c r="G301" s="4"/>
      <c r="H301" s="4">
        <v>600000</v>
      </c>
      <c r="I301" s="16">
        <f t="shared" si="4"/>
        <v>600000</v>
      </c>
      <c r="J301" s="17"/>
    </row>
    <row r="302" spans="1:10" s="10" customFormat="1" ht="52.5" hidden="1" customHeight="1" x14ac:dyDescent="0.2">
      <c r="A302" s="3">
        <v>6130</v>
      </c>
      <c r="B302" s="3">
        <v>130</v>
      </c>
      <c r="C302" s="3" t="s">
        <v>79</v>
      </c>
      <c r="D302" s="3" t="s">
        <v>185</v>
      </c>
      <c r="E302" s="1" t="s">
        <v>246</v>
      </c>
      <c r="F302" s="3">
        <v>205</v>
      </c>
      <c r="G302" s="4"/>
      <c r="H302" s="11">
        <f>SUM(60000*205*2)</f>
        <v>24600000</v>
      </c>
      <c r="I302" s="16">
        <f t="shared" si="4"/>
        <v>24600000</v>
      </c>
      <c r="J302" s="17"/>
    </row>
    <row r="303" spans="1:10" s="10" customFormat="1" ht="52.5" hidden="1" customHeight="1" x14ac:dyDescent="0.2">
      <c r="A303" s="3">
        <v>6130</v>
      </c>
      <c r="B303" s="3">
        <v>210</v>
      </c>
      <c r="C303" s="3" t="s">
        <v>79</v>
      </c>
      <c r="D303" s="3" t="s">
        <v>185</v>
      </c>
      <c r="E303" s="19" t="s">
        <v>59</v>
      </c>
      <c r="F303" s="3"/>
      <c r="G303" s="4"/>
      <c r="H303" s="4">
        <f>SUM(H302*0.1082)</f>
        <v>2661720</v>
      </c>
      <c r="I303" s="16">
        <f t="shared" si="4"/>
        <v>2661720</v>
      </c>
      <c r="J303" s="17"/>
    </row>
    <row r="304" spans="1:10" s="10" customFormat="1" ht="52.5" hidden="1" customHeight="1" x14ac:dyDescent="0.2">
      <c r="A304" s="3">
        <v>6130</v>
      </c>
      <c r="B304" s="3">
        <v>220</v>
      </c>
      <c r="C304" s="3" t="s">
        <v>79</v>
      </c>
      <c r="D304" s="3" t="s">
        <v>185</v>
      </c>
      <c r="E304" s="1" t="s">
        <v>60</v>
      </c>
      <c r="F304" s="3"/>
      <c r="G304" s="4"/>
      <c r="H304" s="4">
        <f>SUM(H302*0.0765)</f>
        <v>1881900</v>
      </c>
      <c r="I304" s="16">
        <f t="shared" si="4"/>
        <v>1881900</v>
      </c>
      <c r="J304" s="17"/>
    </row>
    <row r="305" spans="1:10" s="10" customFormat="1" ht="52.5" hidden="1" customHeight="1" x14ac:dyDescent="0.2">
      <c r="A305" s="3">
        <v>6130</v>
      </c>
      <c r="B305" s="3">
        <v>230</v>
      </c>
      <c r="C305" s="3" t="s">
        <v>79</v>
      </c>
      <c r="D305" s="3" t="s">
        <v>185</v>
      </c>
      <c r="E305" s="1" t="s">
        <v>121</v>
      </c>
      <c r="F305" s="3"/>
      <c r="G305" s="4"/>
      <c r="H305" s="4">
        <f>SUM(205*9289*2)</f>
        <v>3808490</v>
      </c>
      <c r="I305" s="16">
        <f t="shared" si="4"/>
        <v>3808490</v>
      </c>
      <c r="J305" s="17"/>
    </row>
    <row r="306" spans="1:10" s="10" customFormat="1" ht="52.5" hidden="1" customHeight="1" x14ac:dyDescent="0.2">
      <c r="A306" s="3">
        <v>6130</v>
      </c>
      <c r="B306" s="3">
        <v>231</v>
      </c>
      <c r="C306" s="3" t="s">
        <v>79</v>
      </c>
      <c r="D306" s="3" t="s">
        <v>185</v>
      </c>
      <c r="E306" s="1" t="s">
        <v>25</v>
      </c>
      <c r="F306" s="3"/>
      <c r="G306" s="4"/>
      <c r="H306" s="4">
        <f>SUM(H302*0.0706%)</f>
        <v>17367.599999999999</v>
      </c>
      <c r="I306" s="16">
        <f t="shared" si="4"/>
        <v>17367.599999999999</v>
      </c>
      <c r="J306" s="17"/>
    </row>
    <row r="307" spans="1:10" s="10" customFormat="1" ht="52.5" hidden="1" customHeight="1" x14ac:dyDescent="0.2">
      <c r="A307" s="3">
        <v>6130</v>
      </c>
      <c r="B307" s="3">
        <v>240</v>
      </c>
      <c r="C307" s="3" t="s">
        <v>79</v>
      </c>
      <c r="D307" s="3" t="s">
        <v>185</v>
      </c>
      <c r="E307" s="1" t="s">
        <v>61</v>
      </c>
      <c r="F307" s="3"/>
      <c r="G307" s="4"/>
      <c r="H307" s="4">
        <f>SUM(H302*0.35%)</f>
        <v>86099.999999999985</v>
      </c>
      <c r="I307" s="16">
        <f t="shared" si="4"/>
        <v>86099.999999999985</v>
      </c>
      <c r="J307" s="17"/>
    </row>
    <row r="308" spans="1:10" s="10" customFormat="1" ht="52.5" hidden="1" customHeight="1" x14ac:dyDescent="0.2">
      <c r="A308" s="3">
        <v>6130</v>
      </c>
      <c r="B308" s="3">
        <v>250</v>
      </c>
      <c r="C308" s="3" t="s">
        <v>79</v>
      </c>
      <c r="D308" s="3" t="s">
        <v>185</v>
      </c>
      <c r="E308" s="1" t="s">
        <v>62</v>
      </c>
      <c r="F308" s="3"/>
      <c r="G308" s="4"/>
      <c r="H308" s="4">
        <f>SUM(H302*0.013%)</f>
        <v>3197.9999999999995</v>
      </c>
      <c r="I308" s="16">
        <f t="shared" si="4"/>
        <v>3197.9999999999995</v>
      </c>
      <c r="J308" s="17"/>
    </row>
    <row r="309" spans="1:10" s="10" customFormat="1" ht="52.5" hidden="1" customHeight="1" x14ac:dyDescent="0.2">
      <c r="A309" s="3">
        <v>6130</v>
      </c>
      <c r="B309" s="3">
        <v>290</v>
      </c>
      <c r="C309" s="3" t="s">
        <v>79</v>
      </c>
      <c r="D309" s="3" t="s">
        <v>185</v>
      </c>
      <c r="E309" s="1" t="s">
        <v>63</v>
      </c>
      <c r="F309" s="3"/>
      <c r="G309" s="4"/>
      <c r="H309" s="4">
        <f>SUM(H302*2.412%)</f>
        <v>593352</v>
      </c>
      <c r="I309" s="16">
        <f t="shared" si="4"/>
        <v>593352</v>
      </c>
      <c r="J309" s="17"/>
    </row>
    <row r="310" spans="1:10" s="10" customFormat="1" ht="52.5" hidden="1" customHeight="1" x14ac:dyDescent="0.2">
      <c r="A310" s="3">
        <v>6130</v>
      </c>
      <c r="B310" s="3">
        <v>390</v>
      </c>
      <c r="C310" s="3" t="s">
        <v>94</v>
      </c>
      <c r="D310" s="3" t="s">
        <v>185</v>
      </c>
      <c r="E310" s="1" t="s">
        <v>323</v>
      </c>
      <c r="F310" s="3"/>
      <c r="G310" s="4"/>
      <c r="H310" s="4">
        <v>1500000</v>
      </c>
      <c r="I310" s="16">
        <f t="shared" si="4"/>
        <v>1500000</v>
      </c>
      <c r="J310" s="17"/>
    </row>
    <row r="311" spans="1:10" s="10" customFormat="1" ht="52.5" hidden="1" customHeight="1" x14ac:dyDescent="0.2">
      <c r="A311" s="3">
        <v>6130</v>
      </c>
      <c r="B311" s="3">
        <v>510</v>
      </c>
      <c r="C311" s="3" t="s">
        <v>95</v>
      </c>
      <c r="D311" s="3" t="s">
        <v>185</v>
      </c>
      <c r="E311" s="1" t="s">
        <v>189</v>
      </c>
      <c r="F311" s="3"/>
      <c r="G311" s="4"/>
      <c r="H311" s="4">
        <v>410000</v>
      </c>
      <c r="I311" s="16">
        <f t="shared" si="4"/>
        <v>410000</v>
      </c>
      <c r="J311" s="17"/>
    </row>
    <row r="312" spans="1:10" s="10" customFormat="1" ht="52.5" hidden="1" customHeight="1" x14ac:dyDescent="0.2">
      <c r="A312" s="3">
        <v>6110</v>
      </c>
      <c r="B312" s="3">
        <v>510</v>
      </c>
      <c r="C312" s="3" t="s">
        <v>99</v>
      </c>
      <c r="D312" s="3" t="s">
        <v>185</v>
      </c>
      <c r="E312" s="1" t="s">
        <v>199</v>
      </c>
      <c r="F312" s="3"/>
      <c r="G312" s="4"/>
      <c r="H312" s="4">
        <v>125000</v>
      </c>
      <c r="I312" s="16">
        <f t="shared" si="4"/>
        <v>125000</v>
      </c>
      <c r="J312" s="17"/>
    </row>
    <row r="313" spans="1:10" s="10" customFormat="1" ht="52.5" hidden="1" customHeight="1" x14ac:dyDescent="0.2">
      <c r="A313" s="3">
        <v>6110</v>
      </c>
      <c r="B313" s="3">
        <v>130</v>
      </c>
      <c r="C313" s="3" t="s">
        <v>101</v>
      </c>
      <c r="D313" s="3" t="s">
        <v>185</v>
      </c>
      <c r="E313" s="27" t="s">
        <v>190</v>
      </c>
      <c r="F313" s="3">
        <v>135</v>
      </c>
      <c r="G313" s="4"/>
      <c r="H313" s="11">
        <f>SUM(52500*135*2)</f>
        <v>14175000</v>
      </c>
      <c r="I313" s="16">
        <f t="shared" si="4"/>
        <v>14175000</v>
      </c>
      <c r="J313" s="17"/>
    </row>
    <row r="314" spans="1:10" s="10" customFormat="1" ht="52.5" hidden="1" customHeight="1" x14ac:dyDescent="0.2">
      <c r="A314" s="3">
        <v>6110</v>
      </c>
      <c r="B314" s="3">
        <v>210</v>
      </c>
      <c r="C314" s="3" t="s">
        <v>101</v>
      </c>
      <c r="D314" s="3" t="s">
        <v>185</v>
      </c>
      <c r="E314" s="19" t="s">
        <v>59</v>
      </c>
      <c r="F314" s="3"/>
      <c r="G314" s="4"/>
      <c r="H314" s="4">
        <f>SUM(H313*0.1082)</f>
        <v>1533735</v>
      </c>
      <c r="I314" s="16">
        <f t="shared" ref="I314:I377" si="5">SUM(G314:H314)</f>
        <v>1533735</v>
      </c>
      <c r="J314" s="17"/>
    </row>
    <row r="315" spans="1:10" s="10" customFormat="1" ht="52.5" hidden="1" customHeight="1" x14ac:dyDescent="0.2">
      <c r="A315" s="3">
        <v>6110</v>
      </c>
      <c r="B315" s="3">
        <v>220</v>
      </c>
      <c r="C315" s="3" t="s">
        <v>101</v>
      </c>
      <c r="D315" s="3" t="s">
        <v>185</v>
      </c>
      <c r="E315" s="1" t="s">
        <v>60</v>
      </c>
      <c r="F315" s="3"/>
      <c r="G315" s="4"/>
      <c r="H315" s="4">
        <f>SUM(H313*0.0765)</f>
        <v>1084387.5</v>
      </c>
      <c r="I315" s="16">
        <f t="shared" si="5"/>
        <v>1084387.5</v>
      </c>
      <c r="J315" s="17"/>
    </row>
    <row r="316" spans="1:10" s="10" customFormat="1" ht="52.5" hidden="1" customHeight="1" x14ac:dyDescent="0.2">
      <c r="A316" s="3">
        <v>6110</v>
      </c>
      <c r="B316" s="3">
        <v>230</v>
      </c>
      <c r="C316" s="3" t="s">
        <v>101</v>
      </c>
      <c r="D316" s="3" t="s">
        <v>185</v>
      </c>
      <c r="E316" s="1" t="s">
        <v>121</v>
      </c>
      <c r="F316" s="3"/>
      <c r="G316" s="4"/>
      <c r="H316" s="4">
        <f>SUM(135*9289*2)</f>
        <v>2508030</v>
      </c>
      <c r="I316" s="16">
        <f t="shared" si="5"/>
        <v>2508030</v>
      </c>
      <c r="J316" s="17"/>
    </row>
    <row r="317" spans="1:10" s="10" customFormat="1" ht="52.5" hidden="1" customHeight="1" x14ac:dyDescent="0.2">
      <c r="A317" s="3">
        <v>6110</v>
      </c>
      <c r="B317" s="3">
        <v>231</v>
      </c>
      <c r="C317" s="3" t="s">
        <v>101</v>
      </c>
      <c r="D317" s="3" t="s">
        <v>185</v>
      </c>
      <c r="E317" s="1" t="s">
        <v>25</v>
      </c>
      <c r="F317" s="3"/>
      <c r="G317" s="4"/>
      <c r="H317" s="4">
        <f>SUM(H313*0.0706%)</f>
        <v>10007.549999999999</v>
      </c>
      <c r="I317" s="16">
        <f t="shared" si="5"/>
        <v>10007.549999999999</v>
      </c>
      <c r="J317" s="17"/>
    </row>
    <row r="318" spans="1:10" s="10" customFormat="1" ht="52.5" hidden="1" customHeight="1" x14ac:dyDescent="0.2">
      <c r="A318" s="3">
        <v>6110</v>
      </c>
      <c r="B318" s="3">
        <v>240</v>
      </c>
      <c r="C318" s="3" t="s">
        <v>101</v>
      </c>
      <c r="D318" s="3" t="s">
        <v>185</v>
      </c>
      <c r="E318" s="1" t="s">
        <v>61</v>
      </c>
      <c r="F318" s="3"/>
      <c r="G318" s="4"/>
      <c r="H318" s="4">
        <f>SUM(H313*0.35%)</f>
        <v>49612.499999999993</v>
      </c>
      <c r="I318" s="16">
        <f t="shared" si="5"/>
        <v>49612.499999999993</v>
      </c>
      <c r="J318" s="17"/>
    </row>
    <row r="319" spans="1:10" s="10" customFormat="1" ht="52.5" hidden="1" customHeight="1" x14ac:dyDescent="0.2">
      <c r="A319" s="3">
        <v>6110</v>
      </c>
      <c r="B319" s="3">
        <v>250</v>
      </c>
      <c r="C319" s="3" t="s">
        <v>101</v>
      </c>
      <c r="D319" s="3" t="s">
        <v>185</v>
      </c>
      <c r="E319" s="1" t="s">
        <v>62</v>
      </c>
      <c r="F319" s="3"/>
      <c r="G319" s="4"/>
      <c r="H319" s="4">
        <f>SUM(H313*0.013%)</f>
        <v>1842.7499999999998</v>
      </c>
      <c r="I319" s="16">
        <f t="shared" si="5"/>
        <v>1842.7499999999998</v>
      </c>
      <c r="J319" s="17"/>
    </row>
    <row r="320" spans="1:10" s="10" customFormat="1" ht="52.5" hidden="1" customHeight="1" x14ac:dyDescent="0.2">
      <c r="A320" s="3">
        <v>6110</v>
      </c>
      <c r="B320" s="3">
        <v>290</v>
      </c>
      <c r="C320" s="3" t="s">
        <v>101</v>
      </c>
      <c r="D320" s="3" t="s">
        <v>185</v>
      </c>
      <c r="E320" s="1" t="s">
        <v>63</v>
      </c>
      <c r="F320" s="3"/>
      <c r="G320" s="4"/>
      <c r="H320" s="4">
        <f>SUM(H313*2.412%)</f>
        <v>341901</v>
      </c>
      <c r="I320" s="16">
        <f t="shared" si="5"/>
        <v>341901</v>
      </c>
      <c r="J320" s="17"/>
    </row>
    <row r="321" spans="1:10" s="10" customFormat="1" ht="52.5" hidden="1" customHeight="1" x14ac:dyDescent="0.2">
      <c r="A321" s="3">
        <v>6110</v>
      </c>
      <c r="B321" s="3">
        <v>130</v>
      </c>
      <c r="C321" s="3" t="s">
        <v>103</v>
      </c>
      <c r="D321" s="3" t="s">
        <v>185</v>
      </c>
      <c r="E321" s="27" t="s">
        <v>191</v>
      </c>
      <c r="F321" s="3">
        <v>8.5</v>
      </c>
      <c r="G321" s="4"/>
      <c r="H321" s="11">
        <f>SUM(52500*8.5)</f>
        <v>446250</v>
      </c>
      <c r="I321" s="16">
        <f t="shared" si="5"/>
        <v>446250</v>
      </c>
      <c r="J321" s="17"/>
    </row>
    <row r="322" spans="1:10" s="10" customFormat="1" ht="52.5" hidden="1" customHeight="1" x14ac:dyDescent="0.2">
      <c r="A322" s="3">
        <v>6110</v>
      </c>
      <c r="B322" s="3">
        <v>210</v>
      </c>
      <c r="C322" s="3" t="s">
        <v>103</v>
      </c>
      <c r="D322" s="3" t="s">
        <v>185</v>
      </c>
      <c r="E322" s="19" t="s">
        <v>59</v>
      </c>
      <c r="F322" s="3"/>
      <c r="G322" s="4"/>
      <c r="H322" s="4">
        <f>SUM(H321*0.1082)</f>
        <v>48284.25</v>
      </c>
      <c r="I322" s="16">
        <f t="shared" si="5"/>
        <v>48284.25</v>
      </c>
      <c r="J322" s="17"/>
    </row>
    <row r="323" spans="1:10" s="10" customFormat="1" ht="52.5" hidden="1" customHeight="1" x14ac:dyDescent="0.2">
      <c r="A323" s="3">
        <v>6110</v>
      </c>
      <c r="B323" s="3">
        <v>220</v>
      </c>
      <c r="C323" s="3" t="s">
        <v>103</v>
      </c>
      <c r="D323" s="3" t="s">
        <v>185</v>
      </c>
      <c r="E323" s="1" t="s">
        <v>60</v>
      </c>
      <c r="F323" s="3"/>
      <c r="G323" s="4"/>
      <c r="H323" s="4">
        <f>SUM(H321*0.0765)</f>
        <v>34138.125</v>
      </c>
      <c r="I323" s="16">
        <f t="shared" si="5"/>
        <v>34138.125</v>
      </c>
      <c r="J323" s="17"/>
    </row>
    <row r="324" spans="1:10" s="10" customFormat="1" ht="52.5" hidden="1" customHeight="1" x14ac:dyDescent="0.2">
      <c r="A324" s="3">
        <v>6110</v>
      </c>
      <c r="B324" s="3">
        <v>230</v>
      </c>
      <c r="C324" s="3" t="s">
        <v>103</v>
      </c>
      <c r="D324" s="3" t="s">
        <v>185</v>
      </c>
      <c r="E324" s="1" t="s">
        <v>121</v>
      </c>
      <c r="F324" s="3"/>
      <c r="G324" s="4"/>
      <c r="H324" s="4">
        <f>SUM(8.5*9289)</f>
        <v>78956.5</v>
      </c>
      <c r="I324" s="16">
        <f t="shared" si="5"/>
        <v>78956.5</v>
      </c>
      <c r="J324" s="17"/>
    </row>
    <row r="325" spans="1:10" s="10" customFormat="1" ht="52.5" hidden="1" customHeight="1" x14ac:dyDescent="0.2">
      <c r="A325" s="3">
        <v>6110</v>
      </c>
      <c r="B325" s="3">
        <v>231</v>
      </c>
      <c r="C325" s="3" t="s">
        <v>103</v>
      </c>
      <c r="D325" s="3" t="s">
        <v>185</v>
      </c>
      <c r="E325" s="1" t="s">
        <v>25</v>
      </c>
      <c r="F325" s="3"/>
      <c r="G325" s="4"/>
      <c r="H325" s="4">
        <f>SUM(H321*0.0706%)</f>
        <v>315.05249999999995</v>
      </c>
      <c r="I325" s="16">
        <f t="shared" si="5"/>
        <v>315.05249999999995</v>
      </c>
      <c r="J325" s="17"/>
    </row>
    <row r="326" spans="1:10" s="10" customFormat="1" ht="52.5" hidden="1" customHeight="1" x14ac:dyDescent="0.2">
      <c r="A326" s="3">
        <v>6110</v>
      </c>
      <c r="B326" s="3">
        <v>240</v>
      </c>
      <c r="C326" s="3" t="s">
        <v>103</v>
      </c>
      <c r="D326" s="3" t="s">
        <v>185</v>
      </c>
      <c r="E326" s="1" t="s">
        <v>61</v>
      </c>
      <c r="F326" s="3"/>
      <c r="G326" s="4"/>
      <c r="H326" s="4">
        <f>SUM(H321*0.35%)</f>
        <v>1561.8749999999998</v>
      </c>
      <c r="I326" s="16">
        <f t="shared" si="5"/>
        <v>1561.8749999999998</v>
      </c>
      <c r="J326" s="17"/>
    </row>
    <row r="327" spans="1:10" s="10" customFormat="1" ht="52.5" hidden="1" customHeight="1" x14ac:dyDescent="0.2">
      <c r="A327" s="3">
        <v>6110</v>
      </c>
      <c r="B327" s="3">
        <v>250</v>
      </c>
      <c r="C327" s="3" t="s">
        <v>103</v>
      </c>
      <c r="D327" s="3" t="s">
        <v>185</v>
      </c>
      <c r="E327" s="1" t="s">
        <v>62</v>
      </c>
      <c r="F327" s="3"/>
      <c r="G327" s="4"/>
      <c r="H327" s="4">
        <f>SUM(H321*0.013%)</f>
        <v>58.012499999999996</v>
      </c>
      <c r="I327" s="16">
        <f t="shared" si="5"/>
        <v>58.012499999999996</v>
      </c>
      <c r="J327" s="17"/>
    </row>
    <row r="328" spans="1:10" s="10" customFormat="1" ht="52.5" hidden="1" customHeight="1" x14ac:dyDescent="0.2">
      <c r="A328" s="3">
        <v>6110</v>
      </c>
      <c r="B328" s="3">
        <v>290</v>
      </c>
      <c r="C328" s="3" t="s">
        <v>103</v>
      </c>
      <c r="D328" s="3" t="s">
        <v>185</v>
      </c>
      <c r="E328" s="1" t="s">
        <v>63</v>
      </c>
      <c r="F328" s="3"/>
      <c r="G328" s="4"/>
      <c r="H328" s="4">
        <f>SUM(H321*2.412%)</f>
        <v>10763.55</v>
      </c>
      <c r="I328" s="16">
        <f t="shared" si="5"/>
        <v>10763.55</v>
      </c>
      <c r="J328" s="17"/>
    </row>
    <row r="329" spans="1:10" s="10" customFormat="1" ht="52.5" hidden="1" customHeight="1" x14ac:dyDescent="0.2">
      <c r="A329" s="3">
        <v>5900</v>
      </c>
      <c r="B329" s="3">
        <v>310</v>
      </c>
      <c r="C329" s="3" t="s">
        <v>76</v>
      </c>
      <c r="D329" s="3" t="s">
        <v>192</v>
      </c>
      <c r="E329" s="1" t="s">
        <v>193</v>
      </c>
      <c r="F329" s="3"/>
      <c r="G329" s="4"/>
      <c r="H329" s="4">
        <f>SUM(200*15*25*2)</f>
        <v>150000</v>
      </c>
      <c r="I329" s="16">
        <f t="shared" si="5"/>
        <v>150000</v>
      </c>
      <c r="J329" s="17"/>
    </row>
    <row r="330" spans="1:10" s="10" customFormat="1" ht="52.5" hidden="1" customHeight="1" x14ac:dyDescent="0.2">
      <c r="A330" s="3">
        <v>5900</v>
      </c>
      <c r="B330" s="3">
        <v>730</v>
      </c>
      <c r="C330" s="3" t="s">
        <v>76</v>
      </c>
      <c r="D330" s="3" t="s">
        <v>192</v>
      </c>
      <c r="E330" s="1" t="s">
        <v>194</v>
      </c>
      <c r="F330" s="3"/>
      <c r="G330" s="4"/>
      <c r="H330" s="4">
        <f>SUM(400*50*2)</f>
        <v>40000</v>
      </c>
      <c r="I330" s="16">
        <f t="shared" si="5"/>
        <v>40000</v>
      </c>
      <c r="J330" s="17"/>
    </row>
    <row r="331" spans="1:10" s="10" customFormat="1" ht="52.5" hidden="1" customHeight="1" x14ac:dyDescent="0.2">
      <c r="A331" s="3">
        <v>6300</v>
      </c>
      <c r="B331" s="3">
        <v>160</v>
      </c>
      <c r="C331" s="3" t="s">
        <v>76</v>
      </c>
      <c r="D331" s="3" t="s">
        <v>192</v>
      </c>
      <c r="E331" s="1" t="s">
        <v>195</v>
      </c>
      <c r="F331" s="3">
        <v>1</v>
      </c>
      <c r="G331" s="4"/>
      <c r="H331" s="11">
        <f>SUM(20250*2)</f>
        <v>40500</v>
      </c>
      <c r="I331" s="16">
        <f t="shared" si="5"/>
        <v>40500</v>
      </c>
      <c r="J331" s="17"/>
    </row>
    <row r="332" spans="1:10" s="10" customFormat="1" ht="52.5" hidden="1" customHeight="1" x14ac:dyDescent="0.2">
      <c r="A332" s="3">
        <v>6300</v>
      </c>
      <c r="B332" s="3">
        <v>210</v>
      </c>
      <c r="C332" s="3" t="s">
        <v>76</v>
      </c>
      <c r="D332" s="3" t="s">
        <v>192</v>
      </c>
      <c r="E332" s="19" t="s">
        <v>59</v>
      </c>
      <c r="F332" s="3"/>
      <c r="G332" s="4"/>
      <c r="H332" s="4">
        <f>SUM(H331*0.1082)</f>
        <v>4382.1000000000004</v>
      </c>
      <c r="I332" s="16">
        <f t="shared" si="5"/>
        <v>4382.1000000000004</v>
      </c>
      <c r="J332" s="17"/>
    </row>
    <row r="333" spans="1:10" s="10" customFormat="1" ht="52.5" hidden="1" customHeight="1" x14ac:dyDescent="0.2">
      <c r="A333" s="3">
        <v>6300</v>
      </c>
      <c r="B333" s="3">
        <v>220</v>
      </c>
      <c r="C333" s="3" t="s">
        <v>76</v>
      </c>
      <c r="D333" s="3" t="s">
        <v>192</v>
      </c>
      <c r="E333" s="1" t="s">
        <v>60</v>
      </c>
      <c r="F333" s="3"/>
      <c r="G333" s="4"/>
      <c r="H333" s="4">
        <f>SUM(H331*0.0765)</f>
        <v>3098.25</v>
      </c>
      <c r="I333" s="16">
        <f t="shared" si="5"/>
        <v>3098.25</v>
      </c>
      <c r="J333" s="17"/>
    </row>
    <row r="334" spans="1:10" s="10" customFormat="1" ht="52.5" hidden="1" customHeight="1" x14ac:dyDescent="0.2">
      <c r="A334" s="3">
        <v>6300</v>
      </c>
      <c r="B334" s="3">
        <v>230</v>
      </c>
      <c r="C334" s="3" t="s">
        <v>76</v>
      </c>
      <c r="D334" s="3" t="s">
        <v>192</v>
      </c>
      <c r="E334" s="1" t="s">
        <v>121</v>
      </c>
      <c r="F334" s="3"/>
      <c r="G334" s="4"/>
      <c r="H334" s="4">
        <f>SUM(9289*2)</f>
        <v>18578</v>
      </c>
      <c r="I334" s="16">
        <f t="shared" si="5"/>
        <v>18578</v>
      </c>
      <c r="J334" s="17"/>
    </row>
    <row r="335" spans="1:10" s="10" customFormat="1" ht="52.5" hidden="1" customHeight="1" x14ac:dyDescent="0.2">
      <c r="A335" s="3">
        <v>6300</v>
      </c>
      <c r="B335" s="3">
        <v>231</v>
      </c>
      <c r="C335" s="3" t="s">
        <v>76</v>
      </c>
      <c r="D335" s="3" t="s">
        <v>192</v>
      </c>
      <c r="E335" s="1" t="s">
        <v>25</v>
      </c>
      <c r="F335" s="3"/>
      <c r="G335" s="4"/>
      <c r="H335" s="4">
        <f>SUM(H331*0.0706%)</f>
        <v>28.592999999999996</v>
      </c>
      <c r="I335" s="16">
        <f t="shared" si="5"/>
        <v>28.592999999999996</v>
      </c>
      <c r="J335" s="17"/>
    </row>
    <row r="336" spans="1:10" s="10" customFormat="1" ht="52.5" hidden="1" customHeight="1" x14ac:dyDescent="0.2">
      <c r="A336" s="3">
        <v>6300</v>
      </c>
      <c r="B336" s="3">
        <v>240</v>
      </c>
      <c r="C336" s="3" t="s">
        <v>76</v>
      </c>
      <c r="D336" s="3" t="s">
        <v>192</v>
      </c>
      <c r="E336" s="1" t="s">
        <v>61</v>
      </c>
      <c r="F336" s="3"/>
      <c r="G336" s="4"/>
      <c r="H336" s="4">
        <f>SUM(H331*0.35%)</f>
        <v>141.74999999999997</v>
      </c>
      <c r="I336" s="16">
        <f t="shared" si="5"/>
        <v>141.74999999999997</v>
      </c>
      <c r="J336" s="17"/>
    </row>
    <row r="337" spans="1:10" s="10" customFormat="1" ht="52.5" hidden="1" customHeight="1" x14ac:dyDescent="0.2">
      <c r="A337" s="3">
        <v>6300</v>
      </c>
      <c r="B337" s="3">
        <v>250</v>
      </c>
      <c r="C337" s="3" t="s">
        <v>76</v>
      </c>
      <c r="D337" s="3" t="s">
        <v>192</v>
      </c>
      <c r="E337" s="1" t="s">
        <v>62</v>
      </c>
      <c r="F337" s="3"/>
      <c r="G337" s="4"/>
      <c r="H337" s="4">
        <f>SUM(H331*0.013%)</f>
        <v>5.2649999999999997</v>
      </c>
      <c r="I337" s="16">
        <f t="shared" si="5"/>
        <v>5.2649999999999997</v>
      </c>
      <c r="J337" s="17"/>
    </row>
    <row r="338" spans="1:10" s="10" customFormat="1" ht="52.5" hidden="1" customHeight="1" x14ac:dyDescent="0.2">
      <c r="A338" s="3">
        <v>5900</v>
      </c>
      <c r="B338" s="3">
        <v>122</v>
      </c>
      <c r="C338" s="3" t="s">
        <v>77</v>
      </c>
      <c r="D338" s="3" t="s">
        <v>192</v>
      </c>
      <c r="E338" s="1" t="s">
        <v>200</v>
      </c>
      <c r="F338" s="3"/>
      <c r="G338" s="4"/>
      <c r="H338" s="4">
        <f>SUM(20*22*22)</f>
        <v>9680</v>
      </c>
      <c r="I338" s="16">
        <f t="shared" si="5"/>
        <v>9680</v>
      </c>
      <c r="J338" s="17"/>
    </row>
    <row r="339" spans="1:10" s="10" customFormat="1" ht="52.5" hidden="1" customHeight="1" x14ac:dyDescent="0.2">
      <c r="A339" s="3">
        <v>6300</v>
      </c>
      <c r="B339" s="3">
        <v>210</v>
      </c>
      <c r="C339" s="3" t="s">
        <v>77</v>
      </c>
      <c r="D339" s="3" t="s">
        <v>192</v>
      </c>
      <c r="E339" s="19" t="s">
        <v>59</v>
      </c>
      <c r="F339" s="3"/>
      <c r="G339" s="4"/>
      <c r="H339" s="4">
        <f>SUM(H338*0.1082)</f>
        <v>1047.376</v>
      </c>
      <c r="I339" s="16">
        <f t="shared" si="5"/>
        <v>1047.376</v>
      </c>
      <c r="J339" s="17"/>
    </row>
    <row r="340" spans="1:10" s="10" customFormat="1" ht="52.5" hidden="1" customHeight="1" x14ac:dyDescent="0.2">
      <c r="A340" s="3">
        <v>6300</v>
      </c>
      <c r="B340" s="3">
        <v>220</v>
      </c>
      <c r="C340" s="3" t="s">
        <v>77</v>
      </c>
      <c r="D340" s="3" t="s">
        <v>192</v>
      </c>
      <c r="E340" s="1" t="s">
        <v>60</v>
      </c>
      <c r="F340" s="3"/>
      <c r="G340" s="4"/>
      <c r="H340" s="4">
        <f>SUM(H338*0.0765)</f>
        <v>740.52</v>
      </c>
      <c r="I340" s="16">
        <f t="shared" si="5"/>
        <v>740.52</v>
      </c>
      <c r="J340" s="17"/>
    </row>
    <row r="341" spans="1:10" s="10" customFormat="1" ht="52.5" hidden="1" customHeight="1" x14ac:dyDescent="0.2">
      <c r="A341" s="3">
        <v>6300</v>
      </c>
      <c r="B341" s="3">
        <v>240</v>
      </c>
      <c r="C341" s="3" t="s">
        <v>77</v>
      </c>
      <c r="D341" s="3" t="s">
        <v>192</v>
      </c>
      <c r="E341" s="1" t="s">
        <v>61</v>
      </c>
      <c r="F341" s="3"/>
      <c r="G341" s="4"/>
      <c r="H341" s="4">
        <f>SUM(H338*0.35%)</f>
        <v>33.879999999999995</v>
      </c>
      <c r="I341" s="16">
        <f t="shared" si="5"/>
        <v>33.879999999999995</v>
      </c>
      <c r="J341" s="17"/>
    </row>
    <row r="342" spans="1:10" s="10" customFormat="1" ht="52.5" hidden="1" customHeight="1" x14ac:dyDescent="0.2">
      <c r="A342" s="3">
        <v>5900</v>
      </c>
      <c r="B342" s="3">
        <v>122</v>
      </c>
      <c r="C342" s="3" t="s">
        <v>79</v>
      </c>
      <c r="D342" s="3" t="s">
        <v>192</v>
      </c>
      <c r="E342" s="1" t="s">
        <v>201</v>
      </c>
      <c r="F342" s="3"/>
      <c r="G342" s="4">
        <f>SUM(2*150*30*30*2)</f>
        <v>540000</v>
      </c>
      <c r="H342" s="4"/>
      <c r="I342" s="16">
        <f t="shared" si="5"/>
        <v>540000</v>
      </c>
      <c r="J342" s="17"/>
    </row>
    <row r="343" spans="1:10" s="10" customFormat="1" ht="52.5" hidden="1" customHeight="1" x14ac:dyDescent="0.2">
      <c r="A343" s="3">
        <v>5900</v>
      </c>
      <c r="B343" s="3">
        <v>210</v>
      </c>
      <c r="C343" s="3" t="s">
        <v>79</v>
      </c>
      <c r="D343" s="3" t="s">
        <v>192</v>
      </c>
      <c r="E343" s="19" t="s">
        <v>59</v>
      </c>
      <c r="F343" s="3"/>
      <c r="G343" s="4">
        <f>SUM(G342*0.1082)</f>
        <v>58428</v>
      </c>
      <c r="H343" s="4"/>
      <c r="I343" s="16">
        <f t="shared" si="5"/>
        <v>58428</v>
      </c>
      <c r="J343" s="17"/>
    </row>
    <row r="344" spans="1:10" s="10" customFormat="1" ht="52.5" hidden="1" customHeight="1" x14ac:dyDescent="0.2">
      <c r="A344" s="3">
        <v>5900</v>
      </c>
      <c r="B344" s="3">
        <v>220</v>
      </c>
      <c r="C344" s="3" t="s">
        <v>79</v>
      </c>
      <c r="D344" s="3" t="s">
        <v>192</v>
      </c>
      <c r="E344" s="1" t="s">
        <v>60</v>
      </c>
      <c r="F344" s="3"/>
      <c r="G344" s="4">
        <f>SUM(G342*0.0765)</f>
        <v>41310</v>
      </c>
      <c r="H344" s="4"/>
      <c r="I344" s="16">
        <f t="shared" si="5"/>
        <v>41310</v>
      </c>
      <c r="J344" s="17"/>
    </row>
    <row r="345" spans="1:10" s="10" customFormat="1" ht="52.5" hidden="1" customHeight="1" x14ac:dyDescent="0.2">
      <c r="A345" s="3">
        <v>5900</v>
      </c>
      <c r="B345" s="3">
        <v>240</v>
      </c>
      <c r="C345" s="3" t="s">
        <v>79</v>
      </c>
      <c r="D345" s="3" t="s">
        <v>192</v>
      </c>
      <c r="E345" s="1" t="s">
        <v>61</v>
      </c>
      <c r="F345" s="3"/>
      <c r="G345" s="4">
        <f>SUM(G342*0.35%)</f>
        <v>1889.9999999999998</v>
      </c>
      <c r="H345" s="4"/>
      <c r="I345" s="16">
        <f t="shared" si="5"/>
        <v>1889.9999999999998</v>
      </c>
      <c r="J345" s="17"/>
    </row>
    <row r="346" spans="1:10" s="10" customFormat="1" ht="52.5" hidden="1" customHeight="1" x14ac:dyDescent="0.2">
      <c r="A346" s="3">
        <v>5900</v>
      </c>
      <c r="B346" s="3">
        <v>510</v>
      </c>
      <c r="C346" s="3" t="s">
        <v>79</v>
      </c>
      <c r="D346" s="3" t="s">
        <v>192</v>
      </c>
      <c r="E346" s="1" t="s">
        <v>202</v>
      </c>
      <c r="F346" s="3"/>
      <c r="G346" s="4">
        <f>SUM(500*2*150*2)</f>
        <v>300000</v>
      </c>
      <c r="H346" s="4"/>
      <c r="I346" s="16">
        <f t="shared" si="5"/>
        <v>300000</v>
      </c>
      <c r="J346" s="17"/>
    </row>
    <row r="347" spans="1:10" s="10" customFormat="1" ht="52.5" hidden="1" customHeight="1" x14ac:dyDescent="0.2">
      <c r="A347" s="3">
        <v>5900</v>
      </c>
      <c r="B347" s="3">
        <v>122</v>
      </c>
      <c r="C347" s="3" t="s">
        <v>94</v>
      </c>
      <c r="D347" s="3" t="s">
        <v>192</v>
      </c>
      <c r="E347" s="1" t="s">
        <v>239</v>
      </c>
      <c r="F347" s="3"/>
      <c r="G347" s="4">
        <f>SUM(70*10*30)</f>
        <v>21000</v>
      </c>
      <c r="H347" s="4"/>
      <c r="I347" s="16">
        <f t="shared" si="5"/>
        <v>21000</v>
      </c>
      <c r="J347" s="17"/>
    </row>
    <row r="348" spans="1:10" s="10" customFormat="1" ht="52.5" hidden="1" customHeight="1" x14ac:dyDescent="0.2">
      <c r="A348" s="3">
        <v>5900</v>
      </c>
      <c r="B348" s="3">
        <v>210</v>
      </c>
      <c r="C348" s="3" t="s">
        <v>94</v>
      </c>
      <c r="D348" s="3" t="s">
        <v>192</v>
      </c>
      <c r="E348" s="19" t="s">
        <v>59</v>
      </c>
      <c r="F348" s="3"/>
      <c r="G348" s="4">
        <f>SUM(G347*0.1082)</f>
        <v>2272.2000000000003</v>
      </c>
      <c r="H348" s="4"/>
      <c r="I348" s="16">
        <f t="shared" si="5"/>
        <v>2272.2000000000003</v>
      </c>
      <c r="J348" s="17"/>
    </row>
    <row r="349" spans="1:10" s="10" customFormat="1" ht="52.5" hidden="1" customHeight="1" x14ac:dyDescent="0.2">
      <c r="A349" s="3">
        <v>5900</v>
      </c>
      <c r="B349" s="3">
        <v>220</v>
      </c>
      <c r="C349" s="3" t="s">
        <v>94</v>
      </c>
      <c r="D349" s="3" t="s">
        <v>192</v>
      </c>
      <c r="E349" s="1" t="s">
        <v>60</v>
      </c>
      <c r="F349" s="3"/>
      <c r="G349" s="4">
        <f>SUM(G347*0.0765)</f>
        <v>1606.5</v>
      </c>
      <c r="H349" s="4"/>
      <c r="I349" s="16">
        <f t="shared" si="5"/>
        <v>1606.5</v>
      </c>
      <c r="J349" s="17"/>
    </row>
    <row r="350" spans="1:10" s="10" customFormat="1" ht="52.5" hidden="1" customHeight="1" x14ac:dyDescent="0.2">
      <c r="A350" s="3">
        <v>5900</v>
      </c>
      <c r="B350" s="3">
        <v>240</v>
      </c>
      <c r="C350" s="3" t="s">
        <v>94</v>
      </c>
      <c r="D350" s="3" t="s">
        <v>192</v>
      </c>
      <c r="E350" s="1" t="s">
        <v>61</v>
      </c>
      <c r="F350" s="3"/>
      <c r="G350" s="4">
        <f>SUM(G347*0.35%)</f>
        <v>73.499999999999986</v>
      </c>
      <c r="H350" s="4"/>
      <c r="I350" s="16">
        <f t="shared" si="5"/>
        <v>73.499999999999986</v>
      </c>
      <c r="J350" s="17"/>
    </row>
    <row r="351" spans="1:10" s="10" customFormat="1" ht="52.5" hidden="1" customHeight="1" x14ac:dyDescent="0.2">
      <c r="A351" s="3">
        <v>5100</v>
      </c>
      <c r="B351" s="3">
        <v>122</v>
      </c>
      <c r="C351" s="3" t="s">
        <v>95</v>
      </c>
      <c r="D351" s="3" t="s">
        <v>192</v>
      </c>
      <c r="E351" s="1" t="s">
        <v>203</v>
      </c>
      <c r="F351" s="3"/>
      <c r="G351" s="4">
        <f>SUM(3*35*30*6*7*2)</f>
        <v>264600</v>
      </c>
      <c r="H351" s="4"/>
      <c r="I351" s="16">
        <f t="shared" si="5"/>
        <v>264600</v>
      </c>
      <c r="J351" s="17"/>
    </row>
    <row r="352" spans="1:10" s="10" customFormat="1" ht="52.5" hidden="1" customHeight="1" x14ac:dyDescent="0.2">
      <c r="A352" s="3">
        <v>5100</v>
      </c>
      <c r="B352" s="3">
        <v>210</v>
      </c>
      <c r="C352" s="3" t="s">
        <v>95</v>
      </c>
      <c r="D352" s="3" t="s">
        <v>192</v>
      </c>
      <c r="E352" s="19" t="s">
        <v>59</v>
      </c>
      <c r="F352" s="3"/>
      <c r="G352" s="4">
        <f>SUM(G351*0.1082)</f>
        <v>28629.72</v>
      </c>
      <c r="H352" s="4"/>
      <c r="I352" s="16">
        <f t="shared" si="5"/>
        <v>28629.72</v>
      </c>
      <c r="J352" s="17"/>
    </row>
    <row r="353" spans="1:10" s="10" customFormat="1" ht="52.5" hidden="1" customHeight="1" x14ac:dyDescent="0.2">
      <c r="A353" s="3">
        <v>5100</v>
      </c>
      <c r="B353" s="3">
        <v>220</v>
      </c>
      <c r="C353" s="3" t="s">
        <v>95</v>
      </c>
      <c r="D353" s="3" t="s">
        <v>192</v>
      </c>
      <c r="E353" s="1" t="s">
        <v>60</v>
      </c>
      <c r="F353" s="3"/>
      <c r="G353" s="4">
        <f>SUM(G351*0.0765)</f>
        <v>20241.899999999998</v>
      </c>
      <c r="H353" s="4"/>
      <c r="I353" s="16">
        <f t="shared" si="5"/>
        <v>20241.899999999998</v>
      </c>
      <c r="J353" s="17"/>
    </row>
    <row r="354" spans="1:10" s="10" customFormat="1" ht="52.5" hidden="1" customHeight="1" x14ac:dyDescent="0.2">
      <c r="A354" s="3">
        <v>5100</v>
      </c>
      <c r="B354" s="3">
        <v>240</v>
      </c>
      <c r="C354" s="3" t="s">
        <v>95</v>
      </c>
      <c r="D354" s="3" t="s">
        <v>192</v>
      </c>
      <c r="E354" s="1" t="s">
        <v>61</v>
      </c>
      <c r="F354" s="3"/>
      <c r="G354" s="4">
        <f>SUM(G351*0.35%)</f>
        <v>926.09999999999991</v>
      </c>
      <c r="H354" s="4"/>
      <c r="I354" s="16">
        <f t="shared" si="5"/>
        <v>926.09999999999991</v>
      </c>
      <c r="J354" s="17"/>
    </row>
    <row r="355" spans="1:10" s="10" customFormat="1" ht="52.5" hidden="1" customHeight="1" x14ac:dyDescent="0.2">
      <c r="A355" s="3">
        <v>6400</v>
      </c>
      <c r="B355" s="3">
        <v>122</v>
      </c>
      <c r="C355" s="3" t="s">
        <v>99</v>
      </c>
      <c r="D355" s="3" t="s">
        <v>192</v>
      </c>
      <c r="E355" s="1" t="s">
        <v>206</v>
      </c>
      <c r="F355" s="3"/>
      <c r="G355" s="4"/>
      <c r="H355" s="4">
        <f>SUM(2050*2*20*3)</f>
        <v>246000</v>
      </c>
      <c r="I355" s="16">
        <f t="shared" si="5"/>
        <v>246000</v>
      </c>
      <c r="J355" s="17"/>
    </row>
    <row r="356" spans="1:10" s="10" customFormat="1" ht="52.5" hidden="1" customHeight="1" x14ac:dyDescent="0.2">
      <c r="A356" s="3">
        <v>6400</v>
      </c>
      <c r="B356" s="3">
        <v>162</v>
      </c>
      <c r="C356" s="3" t="s">
        <v>204</v>
      </c>
      <c r="D356" s="3" t="s">
        <v>192</v>
      </c>
      <c r="E356" s="1" t="s">
        <v>205</v>
      </c>
      <c r="F356" s="3"/>
      <c r="G356" s="4"/>
      <c r="H356" s="4">
        <f>SUM(1800*2*15*3)</f>
        <v>162000</v>
      </c>
      <c r="I356" s="16">
        <f t="shared" si="5"/>
        <v>162000</v>
      </c>
      <c r="J356" s="17"/>
    </row>
    <row r="357" spans="1:10" s="10" customFormat="1" ht="52.5" hidden="1" customHeight="1" x14ac:dyDescent="0.2">
      <c r="A357" s="3">
        <v>6400</v>
      </c>
      <c r="B357" s="3">
        <v>220</v>
      </c>
      <c r="C357" s="3" t="s">
        <v>95</v>
      </c>
      <c r="D357" s="3" t="s">
        <v>192</v>
      </c>
      <c r="E357" s="1" t="s">
        <v>60</v>
      </c>
      <c r="F357" s="3"/>
      <c r="G357" s="4"/>
      <c r="H357" s="4">
        <f>SUM(408000*0.0765)</f>
        <v>31212</v>
      </c>
      <c r="I357" s="16">
        <f t="shared" si="5"/>
        <v>31212</v>
      </c>
      <c r="J357" s="17"/>
    </row>
    <row r="358" spans="1:10" s="10" customFormat="1" ht="52.5" hidden="1" customHeight="1" x14ac:dyDescent="0.2">
      <c r="A358" s="3">
        <v>6400</v>
      </c>
      <c r="B358" s="3">
        <v>240</v>
      </c>
      <c r="C358" s="3" t="s">
        <v>95</v>
      </c>
      <c r="D358" s="3" t="s">
        <v>192</v>
      </c>
      <c r="E358" s="1" t="s">
        <v>61</v>
      </c>
      <c r="F358" s="3"/>
      <c r="G358" s="4"/>
      <c r="H358" s="4">
        <f>SUM(408000*0.35%)</f>
        <v>1427.9999999999998</v>
      </c>
      <c r="I358" s="16">
        <f t="shared" si="5"/>
        <v>1427.9999999999998</v>
      </c>
      <c r="J358" s="17"/>
    </row>
    <row r="359" spans="1:10" s="10" customFormat="1" ht="52.5" hidden="1" customHeight="1" x14ac:dyDescent="0.2">
      <c r="A359" s="3">
        <v>7710</v>
      </c>
      <c r="B359" s="3">
        <v>310</v>
      </c>
      <c r="C359" s="3" t="s">
        <v>208</v>
      </c>
      <c r="D359" s="3" t="s">
        <v>207</v>
      </c>
      <c r="E359" s="1" t="s">
        <v>212</v>
      </c>
      <c r="F359" s="3"/>
      <c r="G359" s="4"/>
      <c r="H359" s="4">
        <v>1350000</v>
      </c>
      <c r="I359" s="16">
        <f t="shared" si="5"/>
        <v>1350000</v>
      </c>
      <c r="J359" s="17"/>
    </row>
    <row r="360" spans="1:10" s="10" customFormat="1" ht="52.5" hidden="1" customHeight="1" x14ac:dyDescent="0.2">
      <c r="A360" s="3">
        <v>6400</v>
      </c>
      <c r="B360" s="3">
        <v>122</v>
      </c>
      <c r="C360" s="3" t="s">
        <v>208</v>
      </c>
      <c r="D360" s="3" t="s">
        <v>207</v>
      </c>
      <c r="E360" s="1" t="s">
        <v>240</v>
      </c>
      <c r="F360" s="3"/>
      <c r="G360" s="4"/>
      <c r="H360" s="4">
        <f>SUM(375*6*20*2)</f>
        <v>90000</v>
      </c>
      <c r="I360" s="16">
        <f t="shared" si="5"/>
        <v>90000</v>
      </c>
      <c r="J360" s="17"/>
    </row>
    <row r="361" spans="1:10" s="10" customFormat="1" ht="52.5" hidden="1" customHeight="1" x14ac:dyDescent="0.2">
      <c r="A361" s="3">
        <v>6400</v>
      </c>
      <c r="B361" s="3">
        <v>220</v>
      </c>
      <c r="C361" s="3" t="s">
        <v>208</v>
      </c>
      <c r="D361" s="3" t="s">
        <v>207</v>
      </c>
      <c r="E361" s="1" t="s">
        <v>60</v>
      </c>
      <c r="F361" s="3"/>
      <c r="G361" s="4"/>
      <c r="H361" s="4">
        <f>SUM(H360*0.0765)</f>
        <v>6885</v>
      </c>
      <c r="I361" s="16">
        <f t="shared" si="5"/>
        <v>6885</v>
      </c>
      <c r="J361" s="17"/>
    </row>
    <row r="362" spans="1:10" s="10" customFormat="1" ht="52.5" hidden="1" customHeight="1" x14ac:dyDescent="0.2">
      <c r="A362" s="3">
        <v>6400</v>
      </c>
      <c r="B362" s="3">
        <v>240</v>
      </c>
      <c r="C362" s="3" t="s">
        <v>208</v>
      </c>
      <c r="D362" s="3" t="s">
        <v>207</v>
      </c>
      <c r="E362" s="1" t="s">
        <v>61</v>
      </c>
      <c r="F362" s="3"/>
      <c r="G362" s="4"/>
      <c r="H362" s="4">
        <f>SUM(H360*0.35%)</f>
        <v>314.99999999999994</v>
      </c>
      <c r="I362" s="16">
        <f t="shared" si="5"/>
        <v>314.99999999999994</v>
      </c>
      <c r="J362" s="17">
        <f>SUM(I359:I362)</f>
        <v>1447200</v>
      </c>
    </row>
    <row r="363" spans="1:10" s="10" customFormat="1" ht="52.5" hidden="1" customHeight="1" x14ac:dyDescent="0.2">
      <c r="A363" s="3">
        <v>6300</v>
      </c>
      <c r="B363" s="3">
        <v>122</v>
      </c>
      <c r="C363" s="3" t="s">
        <v>209</v>
      </c>
      <c r="D363" s="3" t="s">
        <v>207</v>
      </c>
      <c r="E363" s="1" t="s">
        <v>214</v>
      </c>
      <c r="F363" s="3"/>
      <c r="G363" s="4"/>
      <c r="H363" s="4">
        <v>137200</v>
      </c>
      <c r="I363" s="16">
        <f t="shared" si="5"/>
        <v>137200</v>
      </c>
      <c r="J363" s="17"/>
    </row>
    <row r="364" spans="1:10" s="10" customFormat="1" ht="52.5" hidden="1" customHeight="1" x14ac:dyDescent="0.2">
      <c r="A364" s="3">
        <v>6300</v>
      </c>
      <c r="B364" s="3">
        <v>210</v>
      </c>
      <c r="C364" s="3" t="s">
        <v>209</v>
      </c>
      <c r="D364" s="3" t="s">
        <v>192</v>
      </c>
      <c r="E364" s="19" t="s">
        <v>59</v>
      </c>
      <c r="F364" s="3"/>
      <c r="G364" s="4"/>
      <c r="H364" s="4">
        <f>SUM(H363*0.1082)</f>
        <v>14845.04</v>
      </c>
      <c r="I364" s="16">
        <f t="shared" si="5"/>
        <v>14845.04</v>
      </c>
      <c r="J364" s="17"/>
    </row>
    <row r="365" spans="1:10" s="10" customFormat="1" ht="52.5" hidden="1" customHeight="1" x14ac:dyDescent="0.2">
      <c r="A365" s="3">
        <v>6300</v>
      </c>
      <c r="B365" s="3">
        <v>220</v>
      </c>
      <c r="C365" s="3" t="s">
        <v>209</v>
      </c>
      <c r="D365" s="3" t="s">
        <v>207</v>
      </c>
      <c r="E365" s="1" t="s">
        <v>60</v>
      </c>
      <c r="F365" s="3"/>
      <c r="G365" s="4"/>
      <c r="H365" s="4">
        <f>SUM(H363*0.0765)</f>
        <v>10495.8</v>
      </c>
      <c r="I365" s="16">
        <f t="shared" si="5"/>
        <v>10495.8</v>
      </c>
      <c r="J365" s="17"/>
    </row>
    <row r="366" spans="1:10" s="10" customFormat="1" ht="52.5" hidden="1" customHeight="1" x14ac:dyDescent="0.2">
      <c r="A366" s="3">
        <v>6300</v>
      </c>
      <c r="B366" s="3">
        <v>240</v>
      </c>
      <c r="C366" s="3" t="s">
        <v>209</v>
      </c>
      <c r="D366" s="3" t="s">
        <v>207</v>
      </c>
      <c r="E366" s="1" t="s">
        <v>61</v>
      </c>
      <c r="F366" s="3"/>
      <c r="G366" s="4"/>
      <c r="H366" s="4">
        <f>SUM(H363*0.35%)</f>
        <v>480.19999999999993</v>
      </c>
      <c r="I366" s="16">
        <f t="shared" si="5"/>
        <v>480.19999999999993</v>
      </c>
      <c r="J366" s="17"/>
    </row>
    <row r="367" spans="1:10" s="10" customFormat="1" ht="52.5" hidden="1" customHeight="1" x14ac:dyDescent="0.2">
      <c r="A367" s="3">
        <v>6400</v>
      </c>
      <c r="B367" s="3">
        <v>122</v>
      </c>
      <c r="C367" s="3" t="s">
        <v>209</v>
      </c>
      <c r="D367" s="3" t="s">
        <v>207</v>
      </c>
      <c r="E367" s="1" t="s">
        <v>210</v>
      </c>
      <c r="F367" s="3"/>
      <c r="G367" s="4"/>
      <c r="H367" s="4">
        <f>SUM(50*20*28*2)</f>
        <v>56000</v>
      </c>
      <c r="I367" s="16">
        <f t="shared" si="5"/>
        <v>56000</v>
      </c>
      <c r="J367" s="17"/>
    </row>
    <row r="368" spans="1:10" s="10" customFormat="1" ht="52.5" hidden="1" customHeight="1" x14ac:dyDescent="0.2">
      <c r="A368" s="3">
        <v>6400</v>
      </c>
      <c r="B368" s="3">
        <v>220</v>
      </c>
      <c r="C368" s="3" t="s">
        <v>209</v>
      </c>
      <c r="D368" s="3" t="s">
        <v>207</v>
      </c>
      <c r="E368" s="1" t="s">
        <v>60</v>
      </c>
      <c r="F368" s="3"/>
      <c r="G368" s="4"/>
      <c r="H368" s="4">
        <f>SUM(H367*0.0765)</f>
        <v>4284</v>
      </c>
      <c r="I368" s="16">
        <f t="shared" si="5"/>
        <v>4284</v>
      </c>
      <c r="J368" s="17"/>
    </row>
    <row r="369" spans="1:10" s="10" customFormat="1" ht="52.5" hidden="1" customHeight="1" x14ac:dyDescent="0.2">
      <c r="A369" s="3">
        <v>6400</v>
      </c>
      <c r="B369" s="3">
        <v>240</v>
      </c>
      <c r="C369" s="3" t="s">
        <v>209</v>
      </c>
      <c r="D369" s="3" t="s">
        <v>207</v>
      </c>
      <c r="E369" s="1" t="s">
        <v>61</v>
      </c>
      <c r="F369" s="3"/>
      <c r="G369" s="4"/>
      <c r="H369" s="4">
        <f>SUM(H367*0.35%)</f>
        <v>195.99999999999997</v>
      </c>
      <c r="I369" s="16">
        <f t="shared" si="5"/>
        <v>195.99999999999997</v>
      </c>
      <c r="J369" s="17"/>
    </row>
    <row r="370" spans="1:10" s="10" customFormat="1" ht="52.5" hidden="1" customHeight="1" x14ac:dyDescent="0.2">
      <c r="A370" s="3">
        <v>6400</v>
      </c>
      <c r="B370" s="3">
        <v>360</v>
      </c>
      <c r="C370" s="3" t="s">
        <v>209</v>
      </c>
      <c r="D370" s="3" t="s">
        <v>207</v>
      </c>
      <c r="E370" s="1" t="s">
        <v>211</v>
      </c>
      <c r="F370" s="3"/>
      <c r="G370" s="4"/>
      <c r="H370" s="4">
        <f>SUM(500*30*2)</f>
        <v>30000</v>
      </c>
      <c r="I370" s="16">
        <f t="shared" si="5"/>
        <v>30000</v>
      </c>
      <c r="J370" s="17"/>
    </row>
    <row r="371" spans="1:10" s="10" customFormat="1" ht="52.5" hidden="1" customHeight="1" x14ac:dyDescent="0.2">
      <c r="A371" s="3">
        <v>6300</v>
      </c>
      <c r="B371" s="3">
        <v>122</v>
      </c>
      <c r="C371" s="3" t="s">
        <v>213</v>
      </c>
      <c r="D371" s="3" t="s">
        <v>207</v>
      </c>
      <c r="E371" s="1" t="s">
        <v>215</v>
      </c>
      <c r="F371" s="3"/>
      <c r="G371" s="4"/>
      <c r="H371" s="4">
        <v>137200</v>
      </c>
      <c r="I371" s="16">
        <f t="shared" si="5"/>
        <v>137200</v>
      </c>
      <c r="J371" s="17"/>
    </row>
    <row r="372" spans="1:10" s="10" customFormat="1" ht="52.5" hidden="1" customHeight="1" x14ac:dyDescent="0.2">
      <c r="A372" s="3">
        <v>6300</v>
      </c>
      <c r="B372" s="3">
        <v>210</v>
      </c>
      <c r="C372" s="3" t="s">
        <v>213</v>
      </c>
      <c r="D372" s="3" t="s">
        <v>207</v>
      </c>
      <c r="E372" s="19" t="s">
        <v>59</v>
      </c>
      <c r="F372" s="3"/>
      <c r="G372" s="4"/>
      <c r="H372" s="4">
        <f>SUM(H371*0.1082)</f>
        <v>14845.04</v>
      </c>
      <c r="I372" s="16">
        <f t="shared" si="5"/>
        <v>14845.04</v>
      </c>
      <c r="J372" s="17"/>
    </row>
    <row r="373" spans="1:10" s="10" customFormat="1" ht="52.5" hidden="1" customHeight="1" x14ac:dyDescent="0.2">
      <c r="A373" s="3">
        <v>6300</v>
      </c>
      <c r="B373" s="3">
        <v>220</v>
      </c>
      <c r="C373" s="3" t="s">
        <v>213</v>
      </c>
      <c r="D373" s="3" t="s">
        <v>207</v>
      </c>
      <c r="E373" s="1" t="s">
        <v>60</v>
      </c>
      <c r="F373" s="3"/>
      <c r="G373" s="4"/>
      <c r="H373" s="4">
        <f>SUM(H371*0.0765)</f>
        <v>10495.8</v>
      </c>
      <c r="I373" s="16">
        <f t="shared" si="5"/>
        <v>10495.8</v>
      </c>
      <c r="J373" s="17"/>
    </row>
    <row r="374" spans="1:10" s="10" customFormat="1" ht="52.5" hidden="1" customHeight="1" x14ac:dyDescent="0.2">
      <c r="A374" s="3">
        <v>6300</v>
      </c>
      <c r="B374" s="3">
        <v>240</v>
      </c>
      <c r="C374" s="3" t="s">
        <v>213</v>
      </c>
      <c r="D374" s="3" t="s">
        <v>207</v>
      </c>
      <c r="E374" s="1" t="s">
        <v>61</v>
      </c>
      <c r="F374" s="3"/>
      <c r="G374" s="4"/>
      <c r="H374" s="4">
        <f>SUM(H371*0.35%)</f>
        <v>480.19999999999993</v>
      </c>
      <c r="I374" s="16">
        <f t="shared" si="5"/>
        <v>480.19999999999993</v>
      </c>
      <c r="J374" s="17"/>
    </row>
    <row r="375" spans="1:10" s="10" customFormat="1" ht="52.5" hidden="1" customHeight="1" x14ac:dyDescent="0.2">
      <c r="A375" s="3">
        <v>6300</v>
      </c>
      <c r="B375" s="3">
        <v>122</v>
      </c>
      <c r="C375" s="3" t="s">
        <v>213</v>
      </c>
      <c r="D375" s="3" t="s">
        <v>207</v>
      </c>
      <c r="E375" s="1" t="s">
        <v>330</v>
      </c>
      <c r="F375" s="3"/>
      <c r="G375" s="4"/>
      <c r="H375" s="4">
        <v>280000</v>
      </c>
      <c r="I375" s="16">
        <f t="shared" si="5"/>
        <v>280000</v>
      </c>
      <c r="J375" s="17"/>
    </row>
    <row r="376" spans="1:10" s="10" customFormat="1" ht="52.5" hidden="1" customHeight="1" x14ac:dyDescent="0.2">
      <c r="A376" s="3">
        <v>6300</v>
      </c>
      <c r="B376" s="3">
        <v>210</v>
      </c>
      <c r="C376" s="3" t="s">
        <v>213</v>
      </c>
      <c r="D376" s="3" t="s">
        <v>207</v>
      </c>
      <c r="E376" s="19" t="s">
        <v>59</v>
      </c>
      <c r="F376" s="3"/>
      <c r="G376" s="4"/>
      <c r="H376" s="4">
        <f>SUM(H375*0.1082)</f>
        <v>30296</v>
      </c>
      <c r="I376" s="16">
        <f t="shared" si="5"/>
        <v>30296</v>
      </c>
      <c r="J376" s="17"/>
    </row>
    <row r="377" spans="1:10" s="10" customFormat="1" ht="52.5" hidden="1" customHeight="1" x14ac:dyDescent="0.2">
      <c r="A377" s="3">
        <v>6300</v>
      </c>
      <c r="B377" s="3">
        <v>220</v>
      </c>
      <c r="C377" s="3" t="s">
        <v>213</v>
      </c>
      <c r="D377" s="3" t="s">
        <v>207</v>
      </c>
      <c r="E377" s="1" t="s">
        <v>60</v>
      </c>
      <c r="F377" s="3"/>
      <c r="G377" s="4"/>
      <c r="H377" s="4">
        <f>SUM(H375*0.0765)</f>
        <v>21420</v>
      </c>
      <c r="I377" s="16">
        <f t="shared" si="5"/>
        <v>21420</v>
      </c>
      <c r="J377" s="17"/>
    </row>
    <row r="378" spans="1:10" s="10" customFormat="1" ht="52.5" hidden="1" customHeight="1" x14ac:dyDescent="0.2">
      <c r="A378" s="3">
        <v>6300</v>
      </c>
      <c r="B378" s="3">
        <v>240</v>
      </c>
      <c r="C378" s="3" t="s">
        <v>213</v>
      </c>
      <c r="D378" s="3" t="s">
        <v>207</v>
      </c>
      <c r="E378" s="1" t="s">
        <v>61</v>
      </c>
      <c r="F378" s="3"/>
      <c r="G378" s="4"/>
      <c r="H378" s="4">
        <f>SUM(H375*0.35%)</f>
        <v>979.99999999999989</v>
      </c>
      <c r="I378" s="16">
        <f t="shared" ref="I378:I441" si="6">SUM(G378:H378)</f>
        <v>979.99999999999989</v>
      </c>
      <c r="J378" s="17"/>
    </row>
    <row r="379" spans="1:10" s="10" customFormat="1" ht="52.5" hidden="1" customHeight="1" x14ac:dyDescent="0.2">
      <c r="A379" s="3">
        <v>6300</v>
      </c>
      <c r="B379" s="3">
        <v>360</v>
      </c>
      <c r="C379" s="3" t="s">
        <v>213</v>
      </c>
      <c r="D379" s="3" t="s">
        <v>207</v>
      </c>
      <c r="E379" s="1" t="s">
        <v>211</v>
      </c>
      <c r="F379" s="3"/>
      <c r="G379" s="4"/>
      <c r="H379" s="4">
        <f>SUM(500*30*2)</f>
        <v>30000</v>
      </c>
      <c r="I379" s="16">
        <f t="shared" si="6"/>
        <v>30000</v>
      </c>
      <c r="J379" s="17"/>
    </row>
    <row r="380" spans="1:10" s="10" customFormat="1" ht="52.5" hidden="1" customHeight="1" x14ac:dyDescent="0.2">
      <c r="A380" s="3">
        <v>6300</v>
      </c>
      <c r="B380" s="3">
        <v>644</v>
      </c>
      <c r="C380" s="3" t="s">
        <v>213</v>
      </c>
      <c r="D380" s="3" t="s">
        <v>207</v>
      </c>
      <c r="E380" s="1" t="s">
        <v>216</v>
      </c>
      <c r="F380" s="3"/>
      <c r="G380" s="4"/>
      <c r="H380" s="4">
        <f>SUM(733*50)</f>
        <v>36650</v>
      </c>
      <c r="I380" s="16">
        <f t="shared" si="6"/>
        <v>36650</v>
      </c>
      <c r="J380" s="17"/>
    </row>
    <row r="381" spans="1:10" s="10" customFormat="1" ht="52.5" hidden="1" customHeight="1" x14ac:dyDescent="0.2">
      <c r="A381" s="3">
        <v>6300</v>
      </c>
      <c r="B381" s="3">
        <v>110</v>
      </c>
      <c r="C381" s="3" t="s">
        <v>217</v>
      </c>
      <c r="D381" s="3" t="s">
        <v>207</v>
      </c>
      <c r="E381" s="27" t="s">
        <v>218</v>
      </c>
      <c r="F381" s="3">
        <v>1</v>
      </c>
      <c r="G381" s="4"/>
      <c r="H381" s="11">
        <v>65000</v>
      </c>
      <c r="I381" s="16">
        <f t="shared" si="6"/>
        <v>65000</v>
      </c>
      <c r="J381" s="17"/>
    </row>
    <row r="382" spans="1:10" s="10" customFormat="1" ht="52.5" hidden="1" customHeight="1" x14ac:dyDescent="0.2">
      <c r="A382" s="3">
        <v>6300</v>
      </c>
      <c r="B382" s="3">
        <v>210</v>
      </c>
      <c r="C382" s="3" t="s">
        <v>217</v>
      </c>
      <c r="D382" s="3" t="s">
        <v>207</v>
      </c>
      <c r="E382" s="19" t="s">
        <v>59</v>
      </c>
      <c r="F382" s="3"/>
      <c r="G382" s="4"/>
      <c r="H382" s="4">
        <f>SUM(H381*0.1082)</f>
        <v>7033</v>
      </c>
      <c r="I382" s="16">
        <f t="shared" si="6"/>
        <v>7033</v>
      </c>
      <c r="J382" s="17"/>
    </row>
    <row r="383" spans="1:10" s="10" customFormat="1" ht="52.5" hidden="1" customHeight="1" x14ac:dyDescent="0.2">
      <c r="A383" s="3">
        <v>6300</v>
      </c>
      <c r="B383" s="3">
        <v>220</v>
      </c>
      <c r="C383" s="3" t="s">
        <v>217</v>
      </c>
      <c r="D383" s="3" t="s">
        <v>207</v>
      </c>
      <c r="E383" s="1" t="s">
        <v>60</v>
      </c>
      <c r="F383" s="3"/>
      <c r="G383" s="4"/>
      <c r="H383" s="4">
        <f>SUM(H381*0.0765)</f>
        <v>4972.5</v>
      </c>
      <c r="I383" s="16">
        <f t="shared" si="6"/>
        <v>4972.5</v>
      </c>
      <c r="J383" s="17"/>
    </row>
    <row r="384" spans="1:10" s="10" customFormat="1" ht="52.5" hidden="1" customHeight="1" x14ac:dyDescent="0.2">
      <c r="A384" s="3">
        <v>6300</v>
      </c>
      <c r="B384" s="3">
        <v>230</v>
      </c>
      <c r="C384" s="3" t="s">
        <v>217</v>
      </c>
      <c r="D384" s="3" t="s">
        <v>207</v>
      </c>
      <c r="E384" s="1" t="s">
        <v>121</v>
      </c>
      <c r="F384" s="3"/>
      <c r="G384" s="4"/>
      <c r="H384" s="4">
        <v>9289</v>
      </c>
      <c r="I384" s="16">
        <f t="shared" si="6"/>
        <v>9289</v>
      </c>
      <c r="J384" s="17"/>
    </row>
    <row r="385" spans="1:10" s="10" customFormat="1" ht="52.5" hidden="1" customHeight="1" x14ac:dyDescent="0.2">
      <c r="A385" s="3">
        <v>6300</v>
      </c>
      <c r="B385" s="3">
        <v>231</v>
      </c>
      <c r="C385" s="3" t="s">
        <v>217</v>
      </c>
      <c r="D385" s="3" t="s">
        <v>207</v>
      </c>
      <c r="E385" s="1" t="s">
        <v>25</v>
      </c>
      <c r="F385" s="3"/>
      <c r="G385" s="4"/>
      <c r="H385" s="4">
        <f>SUM(H381*0.0706%)</f>
        <v>45.889999999999993</v>
      </c>
      <c r="I385" s="16">
        <f t="shared" si="6"/>
        <v>45.889999999999993</v>
      </c>
      <c r="J385" s="17"/>
    </row>
    <row r="386" spans="1:10" s="10" customFormat="1" ht="52.5" hidden="1" customHeight="1" x14ac:dyDescent="0.2">
      <c r="A386" s="3">
        <v>6300</v>
      </c>
      <c r="B386" s="3">
        <v>240</v>
      </c>
      <c r="C386" s="3" t="s">
        <v>217</v>
      </c>
      <c r="D386" s="3" t="s">
        <v>207</v>
      </c>
      <c r="E386" s="1" t="s">
        <v>61</v>
      </c>
      <c r="F386" s="3"/>
      <c r="G386" s="4"/>
      <c r="H386" s="4">
        <f>SUM(H381*0.35%)</f>
        <v>227.49999999999997</v>
      </c>
      <c r="I386" s="16">
        <f t="shared" si="6"/>
        <v>227.49999999999997</v>
      </c>
      <c r="J386" s="17"/>
    </row>
    <row r="387" spans="1:10" s="10" customFormat="1" ht="52.5" hidden="1" customHeight="1" x14ac:dyDescent="0.2">
      <c r="A387" s="3">
        <v>6300</v>
      </c>
      <c r="B387" s="3">
        <v>250</v>
      </c>
      <c r="C387" s="3" t="s">
        <v>217</v>
      </c>
      <c r="D387" s="3" t="s">
        <v>207</v>
      </c>
      <c r="E387" s="1" t="s">
        <v>62</v>
      </c>
      <c r="F387" s="3"/>
      <c r="G387" s="4"/>
      <c r="H387" s="4">
        <f>SUM(H381*0.013%)</f>
        <v>8.4499999999999993</v>
      </c>
      <c r="I387" s="16">
        <f t="shared" si="6"/>
        <v>8.4499999999999993</v>
      </c>
      <c r="J387" s="17"/>
    </row>
    <row r="388" spans="1:10" s="10" customFormat="1" ht="52.5" hidden="1" customHeight="1" x14ac:dyDescent="0.2">
      <c r="A388" s="3">
        <v>6300</v>
      </c>
      <c r="B388" s="3">
        <v>290</v>
      </c>
      <c r="C388" s="3" t="s">
        <v>217</v>
      </c>
      <c r="D388" s="3" t="s">
        <v>207</v>
      </c>
      <c r="E388" s="1" t="s">
        <v>63</v>
      </c>
      <c r="F388" s="3"/>
      <c r="G388" s="4"/>
      <c r="H388" s="4">
        <f>SUM(H381*2.412%)</f>
        <v>1567.8</v>
      </c>
      <c r="I388" s="16">
        <f t="shared" si="6"/>
        <v>1567.8</v>
      </c>
      <c r="J388" s="17"/>
    </row>
    <row r="389" spans="1:10" s="10" customFormat="1" ht="52.5" hidden="1" customHeight="1" x14ac:dyDescent="0.2">
      <c r="A389" s="3">
        <v>6300</v>
      </c>
      <c r="B389" s="3">
        <v>110</v>
      </c>
      <c r="C389" s="28">
        <v>1</v>
      </c>
      <c r="D389" s="3" t="s">
        <v>207</v>
      </c>
      <c r="E389" s="27" t="s">
        <v>241</v>
      </c>
      <c r="F389" s="3">
        <v>1</v>
      </c>
      <c r="G389" s="4"/>
      <c r="H389" s="11">
        <v>206000</v>
      </c>
      <c r="I389" s="16">
        <f t="shared" si="6"/>
        <v>206000</v>
      </c>
      <c r="J389" s="17"/>
    </row>
    <row r="390" spans="1:10" s="10" customFormat="1" ht="52.5" hidden="1" customHeight="1" x14ac:dyDescent="0.2">
      <c r="A390" s="3">
        <v>6300</v>
      </c>
      <c r="B390" s="3">
        <v>210</v>
      </c>
      <c r="C390" s="28">
        <v>1</v>
      </c>
      <c r="D390" s="3" t="s">
        <v>207</v>
      </c>
      <c r="E390" s="19" t="s">
        <v>59</v>
      </c>
      <c r="F390" s="3"/>
      <c r="G390" s="4"/>
      <c r="H390" s="4">
        <f>SUM(H389*0.1082)</f>
        <v>22289.200000000001</v>
      </c>
      <c r="I390" s="16">
        <f t="shared" si="6"/>
        <v>22289.200000000001</v>
      </c>
      <c r="J390" s="17"/>
    </row>
    <row r="391" spans="1:10" s="10" customFormat="1" ht="52.5" hidden="1" customHeight="1" x14ac:dyDescent="0.2">
      <c r="A391" s="3">
        <v>6300</v>
      </c>
      <c r="B391" s="3">
        <v>220</v>
      </c>
      <c r="C391" s="28">
        <v>1</v>
      </c>
      <c r="D391" s="3" t="s">
        <v>207</v>
      </c>
      <c r="E391" s="1" t="s">
        <v>60</v>
      </c>
      <c r="F391" s="3"/>
      <c r="G391" s="4"/>
      <c r="H391" s="4">
        <f>SUM(H389*0.0765)</f>
        <v>15759</v>
      </c>
      <c r="I391" s="16">
        <f t="shared" si="6"/>
        <v>15759</v>
      </c>
      <c r="J391" s="17"/>
    </row>
    <row r="392" spans="1:10" s="10" customFormat="1" ht="52.5" hidden="1" customHeight="1" x14ac:dyDescent="0.2">
      <c r="A392" s="3">
        <v>6300</v>
      </c>
      <c r="B392" s="3">
        <v>230</v>
      </c>
      <c r="C392" s="28">
        <v>1</v>
      </c>
      <c r="D392" s="3" t="s">
        <v>207</v>
      </c>
      <c r="E392" s="1" t="s">
        <v>121</v>
      </c>
      <c r="F392" s="3"/>
      <c r="G392" s="4"/>
      <c r="H392" s="4">
        <f>SUM(9289*2)</f>
        <v>18578</v>
      </c>
      <c r="I392" s="16">
        <f t="shared" si="6"/>
        <v>18578</v>
      </c>
      <c r="J392" s="17"/>
    </row>
    <row r="393" spans="1:10" s="10" customFormat="1" ht="52.5" hidden="1" customHeight="1" x14ac:dyDescent="0.2">
      <c r="A393" s="3">
        <v>6300</v>
      </c>
      <c r="B393" s="3">
        <v>231</v>
      </c>
      <c r="C393" s="28">
        <v>1</v>
      </c>
      <c r="D393" s="3" t="s">
        <v>207</v>
      </c>
      <c r="E393" s="1" t="s">
        <v>25</v>
      </c>
      <c r="F393" s="3"/>
      <c r="G393" s="4"/>
      <c r="H393" s="4">
        <f>SUM(H389*0.0706%)</f>
        <v>145.43599999999998</v>
      </c>
      <c r="I393" s="16">
        <f t="shared" si="6"/>
        <v>145.43599999999998</v>
      </c>
      <c r="J393" s="17"/>
    </row>
    <row r="394" spans="1:10" s="10" customFormat="1" ht="52.5" hidden="1" customHeight="1" x14ac:dyDescent="0.2">
      <c r="A394" s="3">
        <v>6300</v>
      </c>
      <c r="B394" s="3">
        <v>240</v>
      </c>
      <c r="C394" s="28">
        <v>1</v>
      </c>
      <c r="D394" s="3" t="s">
        <v>207</v>
      </c>
      <c r="E394" s="1" t="s">
        <v>61</v>
      </c>
      <c r="F394" s="3"/>
      <c r="G394" s="4"/>
      <c r="H394" s="4">
        <f>SUM(H389*0.35%)</f>
        <v>720.99999999999989</v>
      </c>
      <c r="I394" s="16">
        <f t="shared" si="6"/>
        <v>720.99999999999989</v>
      </c>
      <c r="J394" s="17"/>
    </row>
    <row r="395" spans="1:10" s="10" customFormat="1" ht="52.5" hidden="1" customHeight="1" x14ac:dyDescent="0.2">
      <c r="A395" s="3">
        <v>6300</v>
      </c>
      <c r="B395" s="3">
        <v>250</v>
      </c>
      <c r="C395" s="28">
        <v>1</v>
      </c>
      <c r="D395" s="3" t="s">
        <v>207</v>
      </c>
      <c r="E395" s="1" t="s">
        <v>62</v>
      </c>
      <c r="F395" s="3"/>
      <c r="G395" s="4"/>
      <c r="H395" s="4">
        <f>SUM(H389*0.013%)</f>
        <v>26.779999999999998</v>
      </c>
      <c r="I395" s="16">
        <f t="shared" si="6"/>
        <v>26.779999999999998</v>
      </c>
      <c r="J395" s="17"/>
    </row>
    <row r="396" spans="1:10" s="10" customFormat="1" ht="52.5" hidden="1" customHeight="1" x14ac:dyDescent="0.2">
      <c r="A396" s="3">
        <v>6300</v>
      </c>
      <c r="B396" s="3">
        <v>290</v>
      </c>
      <c r="C396" s="28">
        <v>1</v>
      </c>
      <c r="D396" s="3" t="s">
        <v>207</v>
      </c>
      <c r="E396" s="1" t="s">
        <v>63</v>
      </c>
      <c r="F396" s="3"/>
      <c r="G396" s="4"/>
      <c r="H396" s="4">
        <f>SUM(H389*2.412%)</f>
        <v>4968.72</v>
      </c>
      <c r="I396" s="16">
        <f t="shared" si="6"/>
        <v>4968.72</v>
      </c>
      <c r="J396" s="17"/>
    </row>
    <row r="397" spans="1:10" s="10" customFormat="1" ht="52.5" hidden="1" customHeight="1" x14ac:dyDescent="0.2">
      <c r="A397" s="3">
        <v>5100</v>
      </c>
      <c r="B397" s="3">
        <v>730</v>
      </c>
      <c r="C397" s="28" t="s">
        <v>219</v>
      </c>
      <c r="D397" s="3" t="s">
        <v>207</v>
      </c>
      <c r="E397" s="1" t="s">
        <v>220</v>
      </c>
      <c r="F397" s="3"/>
      <c r="G397" s="4"/>
      <c r="H397" s="4">
        <f>SUM(14149*35*2)</f>
        <v>990430</v>
      </c>
      <c r="I397" s="16">
        <f t="shared" si="6"/>
        <v>990430</v>
      </c>
      <c r="J397" s="17"/>
    </row>
    <row r="398" spans="1:10" s="10" customFormat="1" ht="52.5" hidden="1" customHeight="1" x14ac:dyDescent="0.2">
      <c r="A398" s="3">
        <v>5100</v>
      </c>
      <c r="B398" s="3">
        <v>730</v>
      </c>
      <c r="C398" s="28" t="s">
        <v>221</v>
      </c>
      <c r="D398" s="3" t="s">
        <v>207</v>
      </c>
      <c r="E398" s="1" t="s">
        <v>223</v>
      </c>
      <c r="F398" s="3"/>
      <c r="G398" s="4"/>
      <c r="H398" s="4">
        <v>458370</v>
      </c>
      <c r="I398" s="16">
        <f t="shared" si="6"/>
        <v>458370</v>
      </c>
      <c r="J398" s="17"/>
    </row>
    <row r="399" spans="1:10" s="10" customFormat="1" ht="52.5" hidden="1" customHeight="1" x14ac:dyDescent="0.2">
      <c r="A399" s="3">
        <v>5100</v>
      </c>
      <c r="B399" s="3">
        <v>390</v>
      </c>
      <c r="C399" s="28" t="s">
        <v>222</v>
      </c>
      <c r="D399" s="3" t="s">
        <v>207</v>
      </c>
      <c r="E399" s="1" t="s">
        <v>242</v>
      </c>
      <c r="F399" s="3"/>
      <c r="G399" s="4"/>
      <c r="H399" s="4">
        <f>SUM(524900*2)</f>
        <v>1049800</v>
      </c>
      <c r="I399" s="16">
        <f t="shared" si="6"/>
        <v>1049800</v>
      </c>
      <c r="J399" s="17"/>
    </row>
    <row r="400" spans="1:10" s="10" customFormat="1" ht="52.5" hidden="1" customHeight="1" x14ac:dyDescent="0.2">
      <c r="A400" s="3">
        <v>5100</v>
      </c>
      <c r="B400" s="3">
        <v>515</v>
      </c>
      <c r="C400" s="28" t="s">
        <v>224</v>
      </c>
      <c r="D400" s="3" t="s">
        <v>207</v>
      </c>
      <c r="E400" s="1" t="s">
        <v>225</v>
      </c>
      <c r="F400" s="3"/>
      <c r="G400" s="4">
        <f>SUM(1812*85)</f>
        <v>154020</v>
      </c>
      <c r="H400" s="4"/>
      <c r="I400" s="16">
        <f t="shared" si="6"/>
        <v>154020</v>
      </c>
      <c r="J400" s="17"/>
    </row>
    <row r="401" spans="1:10" s="10" customFormat="1" ht="52.5" hidden="1" customHeight="1" x14ac:dyDescent="0.2">
      <c r="A401" s="3">
        <v>5100</v>
      </c>
      <c r="B401" s="3">
        <v>515</v>
      </c>
      <c r="C401" s="28" t="s">
        <v>226</v>
      </c>
      <c r="D401" s="3" t="s">
        <v>207</v>
      </c>
      <c r="E401" s="1" t="s">
        <v>243</v>
      </c>
      <c r="F401" s="3"/>
      <c r="G401" s="4">
        <f>SUM(169*1510)</f>
        <v>255190</v>
      </c>
      <c r="H401" s="4"/>
      <c r="I401" s="16">
        <f t="shared" si="6"/>
        <v>255190</v>
      </c>
      <c r="J401" s="17"/>
    </row>
    <row r="402" spans="1:10" s="10" customFormat="1" ht="52.5" hidden="1" customHeight="1" x14ac:dyDescent="0.2">
      <c r="A402" s="3">
        <v>5100</v>
      </c>
      <c r="B402" s="3">
        <v>515</v>
      </c>
      <c r="C402" s="28" t="s">
        <v>227</v>
      </c>
      <c r="D402" s="3" t="s">
        <v>207</v>
      </c>
      <c r="E402" s="1" t="s">
        <v>228</v>
      </c>
      <c r="F402" s="3"/>
      <c r="G402" s="4">
        <f>SUM(1000*40)</f>
        <v>40000</v>
      </c>
      <c r="H402" s="4"/>
      <c r="I402" s="16">
        <f t="shared" si="6"/>
        <v>40000</v>
      </c>
      <c r="J402" s="17"/>
    </row>
    <row r="403" spans="1:10" s="10" customFormat="1" ht="52.5" hidden="1" customHeight="1" x14ac:dyDescent="0.2">
      <c r="A403" s="3">
        <v>5100</v>
      </c>
      <c r="B403" s="3">
        <v>515</v>
      </c>
      <c r="C403" s="28" t="s">
        <v>229</v>
      </c>
      <c r="D403" s="3" t="s">
        <v>207</v>
      </c>
      <c r="E403" s="1" t="s">
        <v>230</v>
      </c>
      <c r="F403" s="3"/>
      <c r="G403" s="4">
        <v>767250</v>
      </c>
      <c r="H403" s="4"/>
      <c r="I403" s="16">
        <f t="shared" si="6"/>
        <v>767250</v>
      </c>
      <c r="J403" s="17"/>
    </row>
    <row r="404" spans="1:10" s="10" customFormat="1" ht="52.5" hidden="1" customHeight="1" x14ac:dyDescent="0.2">
      <c r="A404" s="3">
        <v>5100</v>
      </c>
      <c r="B404" s="3">
        <v>515</v>
      </c>
      <c r="C404" s="28" t="s">
        <v>229</v>
      </c>
      <c r="D404" s="3" t="s">
        <v>207</v>
      </c>
      <c r="E404" s="1" t="s">
        <v>231</v>
      </c>
      <c r="F404" s="3"/>
      <c r="G404" s="4">
        <v>319176</v>
      </c>
      <c r="H404" s="4"/>
      <c r="I404" s="16">
        <f t="shared" si="6"/>
        <v>319176</v>
      </c>
      <c r="J404" s="17"/>
    </row>
    <row r="405" spans="1:10" s="10" customFormat="1" ht="52.5" hidden="1" customHeight="1" x14ac:dyDescent="0.2">
      <c r="A405" s="3">
        <v>5100</v>
      </c>
      <c r="B405" s="3">
        <v>515</v>
      </c>
      <c r="C405" s="28" t="s">
        <v>232</v>
      </c>
      <c r="D405" s="3" t="s">
        <v>207</v>
      </c>
      <c r="E405" s="1" t="s">
        <v>233</v>
      </c>
      <c r="F405" s="3"/>
      <c r="G405" s="4"/>
      <c r="H405" s="11">
        <v>1104290</v>
      </c>
      <c r="I405" s="16">
        <f t="shared" si="6"/>
        <v>1104290</v>
      </c>
      <c r="J405" s="17"/>
    </row>
    <row r="406" spans="1:10" s="10" customFormat="1" ht="52.5" hidden="1" customHeight="1" x14ac:dyDescent="0.2">
      <c r="A406" s="3">
        <v>6400</v>
      </c>
      <c r="B406" s="3">
        <v>122</v>
      </c>
      <c r="C406" s="28" t="s">
        <v>232</v>
      </c>
      <c r="D406" s="3" t="s">
        <v>207</v>
      </c>
      <c r="E406" s="1" t="s">
        <v>234</v>
      </c>
      <c r="F406" s="3"/>
      <c r="G406" s="4"/>
      <c r="H406" s="4">
        <f>SUM(600*20*3)</f>
        <v>36000</v>
      </c>
      <c r="I406" s="16">
        <f t="shared" si="6"/>
        <v>36000</v>
      </c>
      <c r="J406" s="17"/>
    </row>
    <row r="407" spans="1:10" s="10" customFormat="1" ht="52.5" hidden="1" customHeight="1" x14ac:dyDescent="0.2">
      <c r="A407" s="3">
        <v>5900</v>
      </c>
      <c r="B407" s="3">
        <v>220</v>
      </c>
      <c r="C407" s="28" t="s">
        <v>232</v>
      </c>
      <c r="D407" s="3" t="s">
        <v>207</v>
      </c>
      <c r="E407" s="1" t="s">
        <v>60</v>
      </c>
      <c r="F407" s="3"/>
      <c r="G407" s="4"/>
      <c r="H407" s="4">
        <f>SUM(H406*0.0765)</f>
        <v>2754</v>
      </c>
      <c r="I407" s="16">
        <f t="shared" si="6"/>
        <v>2754</v>
      </c>
      <c r="J407" s="17"/>
    </row>
    <row r="408" spans="1:10" s="10" customFormat="1" ht="52.5" hidden="1" customHeight="1" x14ac:dyDescent="0.2">
      <c r="A408" s="3">
        <v>5900</v>
      </c>
      <c r="B408" s="3">
        <v>240</v>
      </c>
      <c r="C408" s="28" t="s">
        <v>232</v>
      </c>
      <c r="D408" s="3" t="s">
        <v>207</v>
      </c>
      <c r="E408" s="1" t="s">
        <v>61</v>
      </c>
      <c r="F408" s="3"/>
      <c r="G408" s="4"/>
      <c r="H408" s="4">
        <f>SUM(H406*0.35%)</f>
        <v>125.99999999999999</v>
      </c>
      <c r="I408" s="16">
        <f t="shared" si="6"/>
        <v>125.99999999999999</v>
      </c>
      <c r="J408" s="17"/>
    </row>
    <row r="409" spans="1:10" s="10" customFormat="1" ht="52.5" hidden="1" customHeight="1" x14ac:dyDescent="0.2">
      <c r="A409" s="3">
        <v>5100</v>
      </c>
      <c r="B409" s="3">
        <v>515</v>
      </c>
      <c r="C409" s="28" t="s">
        <v>235</v>
      </c>
      <c r="D409" s="3" t="s">
        <v>207</v>
      </c>
      <c r="E409" s="1" t="s">
        <v>236</v>
      </c>
      <c r="F409" s="3"/>
      <c r="G409" s="4">
        <f>SUM(600*1250)</f>
        <v>750000</v>
      </c>
      <c r="H409" s="11"/>
      <c r="I409" s="16">
        <f t="shared" si="6"/>
        <v>750000</v>
      </c>
      <c r="J409" s="17"/>
    </row>
    <row r="410" spans="1:10" s="10" customFormat="1" ht="52.5" hidden="1" customHeight="1" x14ac:dyDescent="0.2">
      <c r="A410" s="3">
        <v>5100</v>
      </c>
      <c r="B410" s="3">
        <v>515</v>
      </c>
      <c r="C410" s="28" t="s">
        <v>237</v>
      </c>
      <c r="D410" s="3" t="s">
        <v>207</v>
      </c>
      <c r="E410" s="1" t="s">
        <v>238</v>
      </c>
      <c r="F410" s="3"/>
      <c r="G410" s="4">
        <v>3385426</v>
      </c>
      <c r="H410" s="11"/>
      <c r="I410" s="16">
        <f t="shared" si="6"/>
        <v>3385426</v>
      </c>
      <c r="J410" s="17"/>
    </row>
    <row r="411" spans="1:10" s="10" customFormat="1" ht="52.5" hidden="1" customHeight="1" x14ac:dyDescent="0.2">
      <c r="A411" s="3">
        <v>5100</v>
      </c>
      <c r="B411" s="3">
        <v>369</v>
      </c>
      <c r="C411" s="28" t="s">
        <v>244</v>
      </c>
      <c r="D411" s="3" t="s">
        <v>207</v>
      </c>
      <c r="E411" s="1" t="s">
        <v>245</v>
      </c>
      <c r="F411" s="3"/>
      <c r="G411" s="4">
        <v>600000</v>
      </c>
      <c r="H411" s="11"/>
      <c r="I411" s="16">
        <f t="shared" si="6"/>
        <v>600000</v>
      </c>
      <c r="J411" s="17"/>
    </row>
    <row r="412" spans="1:10" s="10" customFormat="1" ht="52.5" hidden="1" customHeight="1" x14ac:dyDescent="0.2">
      <c r="A412" s="3">
        <v>5100</v>
      </c>
      <c r="B412" s="3">
        <v>369</v>
      </c>
      <c r="C412" s="28" t="s">
        <v>247</v>
      </c>
      <c r="D412" s="3" t="s">
        <v>207</v>
      </c>
      <c r="E412" s="1" t="s">
        <v>248</v>
      </c>
      <c r="F412" s="3"/>
      <c r="G412" s="4">
        <v>1107600</v>
      </c>
      <c r="H412" s="11"/>
      <c r="I412" s="16">
        <f t="shared" si="6"/>
        <v>1107600</v>
      </c>
      <c r="J412" s="17"/>
    </row>
    <row r="413" spans="1:10" s="10" customFormat="1" ht="52.5" hidden="1" customHeight="1" x14ac:dyDescent="0.2">
      <c r="A413" s="3">
        <v>5100</v>
      </c>
      <c r="B413" s="3">
        <v>515</v>
      </c>
      <c r="C413" s="28" t="s">
        <v>249</v>
      </c>
      <c r="D413" s="3" t="s">
        <v>207</v>
      </c>
      <c r="E413" s="1" t="s">
        <v>309</v>
      </c>
      <c r="F413" s="3"/>
      <c r="G413" s="4">
        <f>SUM(2700*1930)</f>
        <v>5211000</v>
      </c>
      <c r="H413" s="11"/>
      <c r="I413" s="16">
        <f t="shared" si="6"/>
        <v>5211000</v>
      </c>
      <c r="J413" s="17"/>
    </row>
    <row r="414" spans="1:10" s="10" customFormat="1" ht="52.5" hidden="1" customHeight="1" x14ac:dyDescent="0.2">
      <c r="A414" s="3">
        <v>5100</v>
      </c>
      <c r="B414" s="3">
        <v>530</v>
      </c>
      <c r="C414" s="28" t="s">
        <v>250</v>
      </c>
      <c r="D414" s="3" t="s">
        <v>207</v>
      </c>
      <c r="E414" s="1" t="s">
        <v>310</v>
      </c>
      <c r="F414" s="3"/>
      <c r="G414" s="4">
        <v>305910</v>
      </c>
      <c r="H414" s="11"/>
      <c r="I414" s="16">
        <f t="shared" si="6"/>
        <v>305910</v>
      </c>
      <c r="J414" s="17"/>
    </row>
    <row r="415" spans="1:10" s="10" customFormat="1" ht="52.5" hidden="1" customHeight="1" x14ac:dyDescent="0.2">
      <c r="A415" s="3">
        <v>5500</v>
      </c>
      <c r="B415" s="3">
        <v>515</v>
      </c>
      <c r="C415" s="28" t="s">
        <v>251</v>
      </c>
      <c r="D415" s="3" t="s">
        <v>207</v>
      </c>
      <c r="E415" s="1" t="s">
        <v>252</v>
      </c>
      <c r="F415" s="3"/>
      <c r="G415" s="4">
        <v>72625</v>
      </c>
      <c r="H415" s="11"/>
      <c r="I415" s="16">
        <f t="shared" si="6"/>
        <v>72625</v>
      </c>
      <c r="J415" s="17"/>
    </row>
    <row r="416" spans="1:10" s="10" customFormat="1" ht="52.5" hidden="1" customHeight="1" x14ac:dyDescent="0.2">
      <c r="A416" s="3">
        <v>5500</v>
      </c>
      <c r="B416" s="3">
        <v>369</v>
      </c>
      <c r="C416" s="28" t="s">
        <v>253</v>
      </c>
      <c r="D416" s="3" t="s">
        <v>207</v>
      </c>
      <c r="E416" s="1" t="s">
        <v>254</v>
      </c>
      <c r="F416" s="3"/>
      <c r="G416" s="4"/>
      <c r="H416" s="11">
        <v>1896</v>
      </c>
      <c r="I416" s="16">
        <f t="shared" si="6"/>
        <v>1896</v>
      </c>
      <c r="J416" s="17"/>
    </row>
    <row r="417" spans="1:10" s="10" customFormat="1" ht="52.5" hidden="1" customHeight="1" x14ac:dyDescent="0.2">
      <c r="A417" s="3">
        <v>5100</v>
      </c>
      <c r="B417" s="3">
        <v>515</v>
      </c>
      <c r="C417" s="28" t="s">
        <v>255</v>
      </c>
      <c r="D417" s="3" t="s">
        <v>207</v>
      </c>
      <c r="E417" s="1" t="s">
        <v>257</v>
      </c>
      <c r="F417" s="3"/>
      <c r="G417" s="4">
        <f>SUM(10*150*319)</f>
        <v>478500</v>
      </c>
      <c r="H417" s="11"/>
      <c r="I417" s="16">
        <f t="shared" si="6"/>
        <v>478500</v>
      </c>
      <c r="J417" s="17"/>
    </row>
    <row r="418" spans="1:10" s="10" customFormat="1" ht="52.5" hidden="1" customHeight="1" x14ac:dyDescent="0.2">
      <c r="A418" s="3">
        <v>6300</v>
      </c>
      <c r="B418" s="3">
        <v>110</v>
      </c>
      <c r="C418" s="3" t="s">
        <v>256</v>
      </c>
      <c r="D418" s="3" t="s">
        <v>207</v>
      </c>
      <c r="E418" s="1" t="s">
        <v>324</v>
      </c>
      <c r="F418" s="3">
        <v>10</v>
      </c>
      <c r="G418" s="4"/>
      <c r="H418" s="11">
        <f>SUM(65000*10*2)</f>
        <v>1300000</v>
      </c>
      <c r="I418" s="16">
        <f t="shared" si="6"/>
        <v>1300000</v>
      </c>
      <c r="J418" s="17"/>
    </row>
    <row r="419" spans="1:10" s="10" customFormat="1" ht="52.5" hidden="1" customHeight="1" x14ac:dyDescent="0.2">
      <c r="A419" s="3">
        <v>6300</v>
      </c>
      <c r="B419" s="3">
        <v>210</v>
      </c>
      <c r="C419" s="3" t="s">
        <v>256</v>
      </c>
      <c r="D419" s="3" t="s">
        <v>207</v>
      </c>
      <c r="E419" s="19" t="s">
        <v>59</v>
      </c>
      <c r="F419" s="3"/>
      <c r="G419" s="4"/>
      <c r="H419" s="4">
        <f>SUM(H418*0.1082)</f>
        <v>140660</v>
      </c>
      <c r="I419" s="16">
        <f t="shared" si="6"/>
        <v>140660</v>
      </c>
      <c r="J419" s="17"/>
    </row>
    <row r="420" spans="1:10" s="10" customFormat="1" ht="52.5" hidden="1" customHeight="1" x14ac:dyDescent="0.2">
      <c r="A420" s="3">
        <v>6300</v>
      </c>
      <c r="B420" s="3">
        <v>220</v>
      </c>
      <c r="C420" s="3" t="s">
        <v>256</v>
      </c>
      <c r="D420" s="3" t="s">
        <v>207</v>
      </c>
      <c r="E420" s="1" t="s">
        <v>60</v>
      </c>
      <c r="F420" s="3"/>
      <c r="G420" s="4"/>
      <c r="H420" s="4">
        <f>SUM(H418*0.0765)</f>
        <v>99450</v>
      </c>
      <c r="I420" s="16">
        <f t="shared" si="6"/>
        <v>99450</v>
      </c>
      <c r="J420" s="17"/>
    </row>
    <row r="421" spans="1:10" s="10" customFormat="1" ht="52.5" hidden="1" customHeight="1" x14ac:dyDescent="0.2">
      <c r="A421" s="3">
        <v>6300</v>
      </c>
      <c r="B421" s="3">
        <v>230</v>
      </c>
      <c r="C421" s="3" t="s">
        <v>256</v>
      </c>
      <c r="D421" s="3" t="s">
        <v>207</v>
      </c>
      <c r="E421" s="1" t="s">
        <v>121</v>
      </c>
      <c r="F421" s="3"/>
      <c r="G421" s="4"/>
      <c r="H421" s="4">
        <f>SUM(9289*10*2)</f>
        <v>185780</v>
      </c>
      <c r="I421" s="16">
        <f t="shared" si="6"/>
        <v>185780</v>
      </c>
      <c r="J421" s="17"/>
    </row>
    <row r="422" spans="1:10" s="10" customFormat="1" ht="52.5" hidden="1" customHeight="1" x14ac:dyDescent="0.2">
      <c r="A422" s="3">
        <v>6300</v>
      </c>
      <c r="B422" s="3">
        <v>231</v>
      </c>
      <c r="C422" s="3" t="s">
        <v>256</v>
      </c>
      <c r="D422" s="3" t="s">
        <v>207</v>
      </c>
      <c r="E422" s="1" t="s">
        <v>25</v>
      </c>
      <c r="F422" s="3"/>
      <c r="G422" s="4"/>
      <c r="H422" s="4">
        <f>SUM(H418*0.0706%)</f>
        <v>917.8</v>
      </c>
      <c r="I422" s="16">
        <f t="shared" si="6"/>
        <v>917.8</v>
      </c>
      <c r="J422" s="17"/>
    </row>
    <row r="423" spans="1:10" s="10" customFormat="1" ht="52.5" hidden="1" customHeight="1" x14ac:dyDescent="0.2">
      <c r="A423" s="3">
        <v>6300</v>
      </c>
      <c r="B423" s="3">
        <v>240</v>
      </c>
      <c r="C423" s="3" t="s">
        <v>256</v>
      </c>
      <c r="D423" s="3" t="s">
        <v>207</v>
      </c>
      <c r="E423" s="1" t="s">
        <v>61</v>
      </c>
      <c r="F423" s="3"/>
      <c r="G423" s="4"/>
      <c r="H423" s="4">
        <f>SUM(H418*0.35%)</f>
        <v>4549.9999999999991</v>
      </c>
      <c r="I423" s="16">
        <f t="shared" si="6"/>
        <v>4549.9999999999991</v>
      </c>
      <c r="J423" s="17"/>
    </row>
    <row r="424" spans="1:10" s="10" customFormat="1" ht="52.5" hidden="1" customHeight="1" x14ac:dyDescent="0.2">
      <c r="A424" s="3">
        <v>6300</v>
      </c>
      <c r="B424" s="3">
        <v>250</v>
      </c>
      <c r="C424" s="3" t="s">
        <v>256</v>
      </c>
      <c r="D424" s="3" t="s">
        <v>207</v>
      </c>
      <c r="E424" s="1" t="s">
        <v>62</v>
      </c>
      <c r="F424" s="3"/>
      <c r="G424" s="4"/>
      <c r="H424" s="4">
        <f>SUM(H418*0.013%)</f>
        <v>168.99999999999997</v>
      </c>
      <c r="I424" s="16">
        <f t="shared" si="6"/>
        <v>168.99999999999997</v>
      </c>
      <c r="J424" s="17"/>
    </row>
    <row r="425" spans="1:10" s="10" customFormat="1" ht="52.5" hidden="1" customHeight="1" x14ac:dyDescent="0.2">
      <c r="A425" s="3">
        <v>6300</v>
      </c>
      <c r="B425" s="3">
        <v>290</v>
      </c>
      <c r="C425" s="3" t="s">
        <v>256</v>
      </c>
      <c r="D425" s="3" t="s">
        <v>207</v>
      </c>
      <c r="E425" s="1" t="s">
        <v>63</v>
      </c>
      <c r="F425" s="3"/>
      <c r="G425" s="4"/>
      <c r="H425" s="4">
        <f>SUM(H418*2.412%)</f>
        <v>31356</v>
      </c>
      <c r="I425" s="16">
        <f t="shared" si="6"/>
        <v>31356</v>
      </c>
      <c r="J425" s="17"/>
    </row>
    <row r="426" spans="1:10" s="10" customFormat="1" ht="52.5" hidden="1" customHeight="1" x14ac:dyDescent="0.2">
      <c r="A426" s="3">
        <v>6400</v>
      </c>
      <c r="B426" s="3">
        <v>110</v>
      </c>
      <c r="C426" s="3" t="s">
        <v>258</v>
      </c>
      <c r="D426" s="3" t="s">
        <v>207</v>
      </c>
      <c r="E426" s="1" t="s">
        <v>259</v>
      </c>
      <c r="F426" s="3">
        <v>2</v>
      </c>
      <c r="G426" s="4"/>
      <c r="H426" s="11">
        <f>SUM(103000*2*2)</f>
        <v>412000</v>
      </c>
      <c r="I426" s="16">
        <f t="shared" si="6"/>
        <v>412000</v>
      </c>
      <c r="J426" s="17"/>
    </row>
    <row r="427" spans="1:10" s="10" customFormat="1" ht="52.5" hidden="1" customHeight="1" x14ac:dyDescent="0.2">
      <c r="A427" s="3">
        <v>6400</v>
      </c>
      <c r="B427" s="3">
        <v>210</v>
      </c>
      <c r="C427" s="3" t="s">
        <v>258</v>
      </c>
      <c r="D427" s="3" t="s">
        <v>207</v>
      </c>
      <c r="E427" s="19" t="s">
        <v>59</v>
      </c>
      <c r="F427" s="3"/>
      <c r="G427" s="4"/>
      <c r="H427" s="4">
        <f>SUM(H426*0.1082)</f>
        <v>44578.400000000001</v>
      </c>
      <c r="I427" s="16">
        <f t="shared" si="6"/>
        <v>44578.400000000001</v>
      </c>
      <c r="J427" s="17"/>
    </row>
    <row r="428" spans="1:10" s="10" customFormat="1" ht="52.5" hidden="1" customHeight="1" x14ac:dyDescent="0.2">
      <c r="A428" s="3">
        <v>6400</v>
      </c>
      <c r="B428" s="3">
        <v>220</v>
      </c>
      <c r="C428" s="3" t="s">
        <v>258</v>
      </c>
      <c r="D428" s="3" t="s">
        <v>207</v>
      </c>
      <c r="E428" s="1" t="s">
        <v>60</v>
      </c>
      <c r="F428" s="3"/>
      <c r="G428" s="4"/>
      <c r="H428" s="4">
        <f>SUM(H426*0.0765)</f>
        <v>31518</v>
      </c>
      <c r="I428" s="16">
        <f t="shared" si="6"/>
        <v>31518</v>
      </c>
      <c r="J428" s="17"/>
    </row>
    <row r="429" spans="1:10" s="10" customFormat="1" ht="52.5" hidden="1" customHeight="1" x14ac:dyDescent="0.2">
      <c r="A429" s="3">
        <v>6400</v>
      </c>
      <c r="B429" s="3">
        <v>230</v>
      </c>
      <c r="C429" s="3" t="s">
        <v>258</v>
      </c>
      <c r="D429" s="3" t="s">
        <v>207</v>
      </c>
      <c r="E429" s="1" t="s">
        <v>121</v>
      </c>
      <c r="F429" s="3"/>
      <c r="G429" s="4"/>
      <c r="H429" s="4">
        <f>SUM(9289*2*2)</f>
        <v>37156</v>
      </c>
      <c r="I429" s="16">
        <f t="shared" si="6"/>
        <v>37156</v>
      </c>
      <c r="J429" s="17"/>
    </row>
    <row r="430" spans="1:10" s="10" customFormat="1" ht="52.5" hidden="1" customHeight="1" x14ac:dyDescent="0.2">
      <c r="A430" s="3">
        <v>6400</v>
      </c>
      <c r="B430" s="3">
        <v>231</v>
      </c>
      <c r="C430" s="3" t="s">
        <v>258</v>
      </c>
      <c r="D430" s="3" t="s">
        <v>207</v>
      </c>
      <c r="E430" s="1" t="s">
        <v>25</v>
      </c>
      <c r="F430" s="3"/>
      <c r="G430" s="4"/>
      <c r="H430" s="4">
        <f>SUM(H426*0.0706%)</f>
        <v>290.87199999999996</v>
      </c>
      <c r="I430" s="16">
        <f t="shared" si="6"/>
        <v>290.87199999999996</v>
      </c>
      <c r="J430" s="17"/>
    </row>
    <row r="431" spans="1:10" s="10" customFormat="1" ht="52.5" hidden="1" customHeight="1" x14ac:dyDescent="0.2">
      <c r="A431" s="3">
        <v>6400</v>
      </c>
      <c r="B431" s="3">
        <v>240</v>
      </c>
      <c r="C431" s="3" t="s">
        <v>258</v>
      </c>
      <c r="D431" s="3" t="s">
        <v>207</v>
      </c>
      <c r="E431" s="1" t="s">
        <v>61</v>
      </c>
      <c r="F431" s="3"/>
      <c r="G431" s="4"/>
      <c r="H431" s="4">
        <f>SUM(H426*0.35%)</f>
        <v>1441.9999999999998</v>
      </c>
      <c r="I431" s="16">
        <f t="shared" si="6"/>
        <v>1441.9999999999998</v>
      </c>
      <c r="J431" s="17"/>
    </row>
    <row r="432" spans="1:10" s="10" customFormat="1" ht="52.5" hidden="1" customHeight="1" x14ac:dyDescent="0.2">
      <c r="A432" s="3">
        <v>6400</v>
      </c>
      <c r="B432" s="3">
        <v>250</v>
      </c>
      <c r="C432" s="3" t="s">
        <v>258</v>
      </c>
      <c r="D432" s="3" t="s">
        <v>207</v>
      </c>
      <c r="E432" s="1" t="s">
        <v>62</v>
      </c>
      <c r="F432" s="3"/>
      <c r="G432" s="4"/>
      <c r="H432" s="4">
        <f>SUM(H426*0.013%)</f>
        <v>53.559999999999995</v>
      </c>
      <c r="I432" s="16">
        <f t="shared" si="6"/>
        <v>53.559999999999995</v>
      </c>
      <c r="J432" s="17"/>
    </row>
    <row r="433" spans="1:10" s="10" customFormat="1" ht="52.5" hidden="1" customHeight="1" x14ac:dyDescent="0.2">
      <c r="A433" s="3">
        <v>6400</v>
      </c>
      <c r="B433" s="3">
        <v>290</v>
      </c>
      <c r="C433" s="3" t="s">
        <v>258</v>
      </c>
      <c r="D433" s="3" t="s">
        <v>207</v>
      </c>
      <c r="E433" s="1" t="s">
        <v>63</v>
      </c>
      <c r="F433" s="3"/>
      <c r="G433" s="4"/>
      <c r="H433" s="4">
        <f>SUM(H426*2.412%)</f>
        <v>9937.44</v>
      </c>
      <c r="I433" s="16">
        <f t="shared" si="6"/>
        <v>9937.44</v>
      </c>
      <c r="J433" s="17"/>
    </row>
    <row r="434" spans="1:10" s="10" customFormat="1" ht="52.5" hidden="1" customHeight="1" x14ac:dyDescent="0.2">
      <c r="A434" s="3">
        <v>5100</v>
      </c>
      <c r="B434" s="3">
        <v>369</v>
      </c>
      <c r="C434" s="3" t="s">
        <v>260</v>
      </c>
      <c r="D434" s="3" t="s">
        <v>207</v>
      </c>
      <c r="E434" s="1" t="s">
        <v>311</v>
      </c>
      <c r="F434" s="3"/>
      <c r="G434" s="4"/>
      <c r="H434" s="4">
        <f>SUM(14400*9*2)</f>
        <v>259200</v>
      </c>
      <c r="I434" s="16">
        <f t="shared" si="6"/>
        <v>259200</v>
      </c>
      <c r="J434" s="17"/>
    </row>
    <row r="435" spans="1:10" s="10" customFormat="1" ht="52.5" hidden="1" customHeight="1" x14ac:dyDescent="0.2">
      <c r="A435" s="3">
        <v>5100</v>
      </c>
      <c r="B435" s="3">
        <v>120</v>
      </c>
      <c r="C435" s="3" t="s">
        <v>261</v>
      </c>
      <c r="D435" s="3" t="s">
        <v>207</v>
      </c>
      <c r="E435" s="1" t="s">
        <v>325</v>
      </c>
      <c r="F435" s="3">
        <v>10</v>
      </c>
      <c r="G435" s="4"/>
      <c r="H435" s="11">
        <f>SUM(52500*10*2)</f>
        <v>1050000</v>
      </c>
      <c r="I435" s="16">
        <f t="shared" si="6"/>
        <v>1050000</v>
      </c>
      <c r="J435" s="17"/>
    </row>
    <row r="436" spans="1:10" s="10" customFormat="1" ht="52.5" hidden="1" customHeight="1" x14ac:dyDescent="0.2">
      <c r="A436" s="3">
        <v>5100</v>
      </c>
      <c r="B436" s="3">
        <v>210</v>
      </c>
      <c r="C436" s="3" t="s">
        <v>261</v>
      </c>
      <c r="D436" s="3" t="s">
        <v>207</v>
      </c>
      <c r="E436" s="19" t="s">
        <v>59</v>
      </c>
      <c r="F436" s="3"/>
      <c r="G436" s="4"/>
      <c r="H436" s="4">
        <f>SUM(H435*0.1082)</f>
        <v>113610</v>
      </c>
      <c r="I436" s="16">
        <f t="shared" si="6"/>
        <v>113610</v>
      </c>
      <c r="J436" s="17"/>
    </row>
    <row r="437" spans="1:10" s="10" customFormat="1" ht="52.5" hidden="1" customHeight="1" x14ac:dyDescent="0.2">
      <c r="A437" s="3">
        <v>5100</v>
      </c>
      <c r="B437" s="3">
        <v>220</v>
      </c>
      <c r="C437" s="3" t="s">
        <v>261</v>
      </c>
      <c r="D437" s="3" t="s">
        <v>207</v>
      </c>
      <c r="E437" s="1" t="s">
        <v>60</v>
      </c>
      <c r="F437" s="3"/>
      <c r="G437" s="4"/>
      <c r="H437" s="4">
        <f>SUM(H435*0.0765)</f>
        <v>80325</v>
      </c>
      <c r="I437" s="16">
        <f t="shared" si="6"/>
        <v>80325</v>
      </c>
      <c r="J437" s="17"/>
    </row>
    <row r="438" spans="1:10" s="10" customFormat="1" ht="52.5" hidden="1" customHeight="1" x14ac:dyDescent="0.2">
      <c r="A438" s="3">
        <v>5100</v>
      </c>
      <c r="B438" s="3">
        <v>230</v>
      </c>
      <c r="C438" s="3" t="s">
        <v>261</v>
      </c>
      <c r="D438" s="3" t="s">
        <v>207</v>
      </c>
      <c r="E438" s="1" t="s">
        <v>121</v>
      </c>
      <c r="F438" s="3"/>
      <c r="G438" s="4"/>
      <c r="H438" s="4">
        <f>SUM(9289*10*2)</f>
        <v>185780</v>
      </c>
      <c r="I438" s="16">
        <f t="shared" si="6"/>
        <v>185780</v>
      </c>
      <c r="J438" s="17"/>
    </row>
    <row r="439" spans="1:10" s="10" customFormat="1" ht="52.5" hidden="1" customHeight="1" x14ac:dyDescent="0.2">
      <c r="A439" s="3">
        <v>5100</v>
      </c>
      <c r="B439" s="3">
        <v>231</v>
      </c>
      <c r="C439" s="3" t="s">
        <v>261</v>
      </c>
      <c r="D439" s="3" t="s">
        <v>207</v>
      </c>
      <c r="E439" s="1" t="s">
        <v>25</v>
      </c>
      <c r="F439" s="3"/>
      <c r="G439" s="4"/>
      <c r="H439" s="4">
        <f>SUM(H435*0.0706%)</f>
        <v>741.3</v>
      </c>
      <c r="I439" s="16">
        <f t="shared" si="6"/>
        <v>741.3</v>
      </c>
      <c r="J439" s="17"/>
    </row>
    <row r="440" spans="1:10" s="10" customFormat="1" ht="52.5" hidden="1" customHeight="1" x14ac:dyDescent="0.2">
      <c r="A440" s="3">
        <v>5100</v>
      </c>
      <c r="B440" s="3">
        <v>240</v>
      </c>
      <c r="C440" s="3" t="s">
        <v>261</v>
      </c>
      <c r="D440" s="3" t="s">
        <v>207</v>
      </c>
      <c r="E440" s="1" t="s">
        <v>61</v>
      </c>
      <c r="F440" s="3"/>
      <c r="G440" s="4"/>
      <c r="H440" s="4">
        <f>SUM(H435*0.35%)</f>
        <v>3674.9999999999995</v>
      </c>
      <c r="I440" s="16">
        <f t="shared" si="6"/>
        <v>3674.9999999999995</v>
      </c>
      <c r="J440" s="17"/>
    </row>
    <row r="441" spans="1:10" s="10" customFormat="1" ht="52.5" hidden="1" customHeight="1" x14ac:dyDescent="0.2">
      <c r="A441" s="3">
        <v>5100</v>
      </c>
      <c r="B441" s="3">
        <v>250</v>
      </c>
      <c r="C441" s="3" t="s">
        <v>261</v>
      </c>
      <c r="D441" s="3" t="s">
        <v>207</v>
      </c>
      <c r="E441" s="1" t="s">
        <v>62</v>
      </c>
      <c r="F441" s="3"/>
      <c r="G441" s="4"/>
      <c r="H441" s="4">
        <f>SUM(H435*0.013%)</f>
        <v>136.5</v>
      </c>
      <c r="I441" s="16">
        <f t="shared" si="6"/>
        <v>136.5</v>
      </c>
      <c r="J441" s="17"/>
    </row>
    <row r="442" spans="1:10" s="10" customFormat="1" ht="52.5" hidden="1" customHeight="1" x14ac:dyDescent="0.2">
      <c r="A442" s="3">
        <v>5100</v>
      </c>
      <c r="B442" s="3">
        <v>290</v>
      </c>
      <c r="C442" s="3" t="s">
        <v>261</v>
      </c>
      <c r="D442" s="3" t="s">
        <v>207</v>
      </c>
      <c r="E442" s="1" t="s">
        <v>63</v>
      </c>
      <c r="F442" s="3"/>
      <c r="G442" s="4"/>
      <c r="H442" s="4">
        <f>SUM(H435*2.412%)</f>
        <v>25326</v>
      </c>
      <c r="I442" s="16">
        <f t="shared" ref="I442:I505" si="7">SUM(G442:H442)</f>
        <v>25326</v>
      </c>
      <c r="J442" s="17"/>
    </row>
    <row r="443" spans="1:10" s="10" customFormat="1" ht="52.5" hidden="1" customHeight="1" x14ac:dyDescent="0.2">
      <c r="A443" s="3">
        <v>7400</v>
      </c>
      <c r="B443" s="3">
        <v>630</v>
      </c>
      <c r="C443" s="3" t="s">
        <v>76</v>
      </c>
      <c r="D443" s="3" t="s">
        <v>262</v>
      </c>
      <c r="E443" s="1" t="s">
        <v>263</v>
      </c>
      <c r="F443" s="3"/>
      <c r="G443" s="4"/>
      <c r="H443" s="4">
        <v>7500000</v>
      </c>
      <c r="I443" s="16">
        <f t="shared" si="7"/>
        <v>7500000</v>
      </c>
      <c r="J443" s="17"/>
    </row>
    <row r="444" spans="1:10" s="10" customFormat="1" ht="52.5" hidden="1" customHeight="1" x14ac:dyDescent="0.2">
      <c r="A444" s="3">
        <v>7400</v>
      </c>
      <c r="B444" s="3">
        <v>630</v>
      </c>
      <c r="C444" s="3" t="s">
        <v>76</v>
      </c>
      <c r="D444" s="3" t="s">
        <v>264</v>
      </c>
      <c r="E444" s="1" t="s">
        <v>312</v>
      </c>
      <c r="F444" s="3"/>
      <c r="G444" s="4"/>
      <c r="H444" s="4">
        <v>4750000</v>
      </c>
      <c r="I444" s="16">
        <f t="shared" si="7"/>
        <v>4750000</v>
      </c>
      <c r="J444" s="17"/>
    </row>
    <row r="445" spans="1:10" s="10" customFormat="1" ht="52.5" hidden="1" customHeight="1" x14ac:dyDescent="0.2">
      <c r="A445" s="3">
        <v>7900</v>
      </c>
      <c r="B445" s="3">
        <v>510</v>
      </c>
      <c r="C445" s="3" t="s">
        <v>77</v>
      </c>
      <c r="D445" s="3" t="s">
        <v>264</v>
      </c>
      <c r="E445" s="1" t="s">
        <v>265</v>
      </c>
      <c r="F445" s="3"/>
      <c r="G445" s="4"/>
      <c r="H445" s="4">
        <v>850000</v>
      </c>
      <c r="I445" s="16">
        <f t="shared" si="7"/>
        <v>850000</v>
      </c>
      <c r="J445" s="17"/>
    </row>
    <row r="446" spans="1:10" s="10" customFormat="1" ht="52.5" hidden="1" customHeight="1" x14ac:dyDescent="0.2">
      <c r="A446" s="3">
        <v>7900</v>
      </c>
      <c r="B446" s="3">
        <v>510</v>
      </c>
      <c r="C446" s="3" t="s">
        <v>79</v>
      </c>
      <c r="D446" s="3" t="s">
        <v>264</v>
      </c>
      <c r="E446" s="1" t="s">
        <v>266</v>
      </c>
      <c r="F446" s="3"/>
      <c r="G446" s="4"/>
      <c r="H446" s="4">
        <v>4000000</v>
      </c>
      <c r="I446" s="16">
        <f t="shared" si="7"/>
        <v>4000000</v>
      </c>
      <c r="J446" s="17"/>
    </row>
    <row r="447" spans="1:10" s="10" customFormat="1" ht="52.5" hidden="1" customHeight="1" x14ac:dyDescent="0.2">
      <c r="A447" s="3">
        <v>5100</v>
      </c>
      <c r="B447" s="3">
        <v>100</v>
      </c>
      <c r="C447" s="28" t="s">
        <v>76</v>
      </c>
      <c r="D447" s="3" t="s">
        <v>267</v>
      </c>
      <c r="E447" s="1" t="s">
        <v>268</v>
      </c>
      <c r="F447" s="3"/>
      <c r="G447" s="4"/>
      <c r="H447" s="41">
        <v>40000000</v>
      </c>
      <c r="I447" s="42">
        <v>40000000</v>
      </c>
      <c r="J447" s="17"/>
    </row>
    <row r="448" spans="1:10" s="10" customFormat="1" ht="52.5" hidden="1" customHeight="1" x14ac:dyDescent="0.2">
      <c r="A448" s="3">
        <v>5100</v>
      </c>
      <c r="B448" s="3">
        <v>100</v>
      </c>
      <c r="C448" s="28" t="s">
        <v>76</v>
      </c>
      <c r="D448" s="3" t="s">
        <v>267</v>
      </c>
      <c r="E448" s="1" t="s">
        <v>269</v>
      </c>
      <c r="F448" s="3"/>
      <c r="G448" s="4"/>
      <c r="H448" s="41">
        <v>19735000</v>
      </c>
      <c r="I448" s="42">
        <v>19735000</v>
      </c>
      <c r="J448" s="17"/>
    </row>
    <row r="449" spans="1:11" s="10" customFormat="1" ht="52.5" hidden="1" customHeight="1" x14ac:dyDescent="0.2">
      <c r="A449" s="3">
        <v>5100</v>
      </c>
      <c r="B449" s="3">
        <v>210</v>
      </c>
      <c r="C449" s="28" t="s">
        <v>76</v>
      </c>
      <c r="D449" s="3" t="s">
        <v>267</v>
      </c>
      <c r="E449" s="19" t="s">
        <v>59</v>
      </c>
      <c r="F449" s="3"/>
      <c r="G449" s="4"/>
      <c r="H449" s="43">
        <f>SUM(59725000*0.1082)</f>
        <v>6462245</v>
      </c>
      <c r="I449" s="42">
        <f t="shared" si="7"/>
        <v>6462245</v>
      </c>
      <c r="J449" s="17"/>
    </row>
    <row r="450" spans="1:11" s="10" customFormat="1" ht="52.5" hidden="1" customHeight="1" x14ac:dyDescent="0.2">
      <c r="A450" s="3">
        <v>5100</v>
      </c>
      <c r="B450" s="3">
        <v>220</v>
      </c>
      <c r="C450" s="28" t="s">
        <v>76</v>
      </c>
      <c r="D450" s="3" t="s">
        <v>267</v>
      </c>
      <c r="E450" s="1" t="s">
        <v>60</v>
      </c>
      <c r="F450" s="3"/>
      <c r="G450" s="4"/>
      <c r="H450" s="43">
        <v>4569231</v>
      </c>
      <c r="I450" s="42">
        <f t="shared" si="7"/>
        <v>4569231</v>
      </c>
      <c r="J450" s="17"/>
      <c r="K450" s="17"/>
    </row>
    <row r="451" spans="1:11" s="10" customFormat="1" ht="52.5" hidden="1" customHeight="1" x14ac:dyDescent="0.2">
      <c r="A451" s="3">
        <v>6190</v>
      </c>
      <c r="B451" s="3">
        <v>390</v>
      </c>
      <c r="C451" s="28" t="s">
        <v>77</v>
      </c>
      <c r="D451" s="3" t="s">
        <v>267</v>
      </c>
      <c r="E451" s="1" t="s">
        <v>270</v>
      </c>
      <c r="F451" s="3"/>
      <c r="G451" s="4"/>
      <c r="H451" s="11">
        <v>2160880</v>
      </c>
      <c r="I451" s="16">
        <f t="shared" si="7"/>
        <v>2160880</v>
      </c>
      <c r="J451" s="17"/>
    </row>
    <row r="452" spans="1:11" s="10" customFormat="1" ht="52.5" hidden="1" customHeight="1" x14ac:dyDescent="0.2">
      <c r="A452" s="3">
        <v>7710</v>
      </c>
      <c r="B452" s="3">
        <v>310</v>
      </c>
      <c r="C452" s="28" t="s">
        <v>76</v>
      </c>
      <c r="D452" s="3" t="s">
        <v>285</v>
      </c>
      <c r="E452" s="1" t="s">
        <v>271</v>
      </c>
      <c r="F452" s="3"/>
      <c r="G452" s="4"/>
      <c r="H452" s="11">
        <f>SUM(125000*12*2)</f>
        <v>3000000</v>
      </c>
      <c r="I452" s="16">
        <f t="shared" si="7"/>
        <v>3000000</v>
      </c>
      <c r="J452" s="17"/>
    </row>
    <row r="453" spans="1:11" s="10" customFormat="1" ht="52.5" hidden="1" customHeight="1" x14ac:dyDescent="0.2">
      <c r="A453" s="3">
        <v>6200</v>
      </c>
      <c r="B453" s="3">
        <v>110</v>
      </c>
      <c r="C453" s="3" t="s">
        <v>94</v>
      </c>
      <c r="D453" s="3" t="s">
        <v>267</v>
      </c>
      <c r="E453" s="1" t="s">
        <v>272</v>
      </c>
      <c r="F453" s="3">
        <v>1</v>
      </c>
      <c r="G453" s="4"/>
      <c r="H453" s="11">
        <v>130000</v>
      </c>
      <c r="I453" s="16">
        <f t="shared" si="7"/>
        <v>130000</v>
      </c>
      <c r="J453" s="17"/>
    </row>
    <row r="454" spans="1:11" s="10" customFormat="1" ht="52.5" hidden="1" customHeight="1" x14ac:dyDescent="0.2">
      <c r="A454" s="3">
        <v>6200</v>
      </c>
      <c r="B454" s="3">
        <v>210</v>
      </c>
      <c r="C454" s="3" t="s">
        <v>94</v>
      </c>
      <c r="D454" s="3" t="s">
        <v>267</v>
      </c>
      <c r="E454" s="19" t="s">
        <v>59</v>
      </c>
      <c r="F454" s="3"/>
      <c r="G454" s="4"/>
      <c r="H454" s="4">
        <f>SUM(H453*0.1082)</f>
        <v>14066</v>
      </c>
      <c r="I454" s="16">
        <f t="shared" si="7"/>
        <v>14066</v>
      </c>
      <c r="J454" s="17"/>
    </row>
    <row r="455" spans="1:11" s="10" customFormat="1" ht="52.5" hidden="1" customHeight="1" x14ac:dyDescent="0.2">
      <c r="A455" s="3">
        <v>6200</v>
      </c>
      <c r="B455" s="3">
        <v>220</v>
      </c>
      <c r="C455" s="3" t="s">
        <v>94</v>
      </c>
      <c r="D455" s="3" t="s">
        <v>267</v>
      </c>
      <c r="E455" s="1" t="s">
        <v>60</v>
      </c>
      <c r="F455" s="3"/>
      <c r="G455" s="4"/>
      <c r="H455" s="4">
        <f>SUM(H453*0.0765)</f>
        <v>9945</v>
      </c>
      <c r="I455" s="16">
        <f t="shared" si="7"/>
        <v>9945</v>
      </c>
      <c r="J455" s="17"/>
    </row>
    <row r="456" spans="1:11" s="10" customFormat="1" ht="52.5" hidden="1" customHeight="1" x14ac:dyDescent="0.2">
      <c r="A456" s="3">
        <v>6200</v>
      </c>
      <c r="B456" s="3">
        <v>230</v>
      </c>
      <c r="C456" s="3" t="s">
        <v>94</v>
      </c>
      <c r="D456" s="3" t="s">
        <v>267</v>
      </c>
      <c r="E456" s="1" t="s">
        <v>121</v>
      </c>
      <c r="F456" s="3"/>
      <c r="G456" s="4"/>
      <c r="H456" s="4">
        <v>18578</v>
      </c>
      <c r="I456" s="16">
        <f t="shared" si="7"/>
        <v>18578</v>
      </c>
      <c r="J456" s="17"/>
    </row>
    <row r="457" spans="1:11" s="10" customFormat="1" ht="52.5" hidden="1" customHeight="1" x14ac:dyDescent="0.2">
      <c r="A457" s="3">
        <v>6200</v>
      </c>
      <c r="B457" s="3">
        <v>231</v>
      </c>
      <c r="C457" s="3" t="s">
        <v>94</v>
      </c>
      <c r="D457" s="3" t="s">
        <v>267</v>
      </c>
      <c r="E457" s="1" t="s">
        <v>25</v>
      </c>
      <c r="F457" s="3"/>
      <c r="G457" s="4"/>
      <c r="H457" s="4">
        <f>SUM(H453*0.0706%)</f>
        <v>91.779999999999987</v>
      </c>
      <c r="I457" s="16">
        <f t="shared" si="7"/>
        <v>91.779999999999987</v>
      </c>
      <c r="J457" s="17"/>
    </row>
    <row r="458" spans="1:11" s="10" customFormat="1" ht="52.5" hidden="1" customHeight="1" x14ac:dyDescent="0.2">
      <c r="A458" s="3">
        <v>6200</v>
      </c>
      <c r="B458" s="3">
        <v>240</v>
      </c>
      <c r="C458" s="3" t="s">
        <v>94</v>
      </c>
      <c r="D458" s="3" t="s">
        <v>267</v>
      </c>
      <c r="E458" s="1" t="s">
        <v>61</v>
      </c>
      <c r="F458" s="3"/>
      <c r="G458" s="4"/>
      <c r="H458" s="4">
        <f>SUM(H453*0.35%)</f>
        <v>454.99999999999994</v>
      </c>
      <c r="I458" s="16">
        <f t="shared" si="7"/>
        <v>454.99999999999994</v>
      </c>
      <c r="J458" s="17"/>
    </row>
    <row r="459" spans="1:11" s="10" customFormat="1" ht="52.5" hidden="1" customHeight="1" x14ac:dyDescent="0.2">
      <c r="A459" s="3">
        <v>6200</v>
      </c>
      <c r="B459" s="3">
        <v>250</v>
      </c>
      <c r="C459" s="3" t="s">
        <v>94</v>
      </c>
      <c r="D459" s="3" t="s">
        <v>267</v>
      </c>
      <c r="E459" s="1" t="s">
        <v>62</v>
      </c>
      <c r="F459" s="3"/>
      <c r="G459" s="4"/>
      <c r="H459" s="4">
        <f>SUM(H453*0.013%)</f>
        <v>16.899999999999999</v>
      </c>
      <c r="I459" s="16">
        <f t="shared" si="7"/>
        <v>16.899999999999999</v>
      </c>
      <c r="J459" s="17"/>
    </row>
    <row r="460" spans="1:11" s="10" customFormat="1" ht="52.5" hidden="1" customHeight="1" x14ac:dyDescent="0.2">
      <c r="A460" s="3">
        <v>6200</v>
      </c>
      <c r="B460" s="3">
        <v>290</v>
      </c>
      <c r="C460" s="3" t="s">
        <v>94</v>
      </c>
      <c r="D460" s="3" t="s">
        <v>267</v>
      </c>
      <c r="E460" s="1" t="s">
        <v>63</v>
      </c>
      <c r="F460" s="3"/>
      <c r="G460" s="4"/>
      <c r="H460" s="4">
        <f>SUM(H453*2.412%)</f>
        <v>3135.6</v>
      </c>
      <c r="I460" s="16">
        <f t="shared" si="7"/>
        <v>3135.6</v>
      </c>
      <c r="J460" s="17"/>
    </row>
    <row r="461" spans="1:11" s="10" customFormat="1" ht="52.5" hidden="1" customHeight="1" x14ac:dyDescent="0.2">
      <c r="A461" s="3">
        <v>7730</v>
      </c>
      <c r="B461" s="3">
        <v>390</v>
      </c>
      <c r="C461" s="28" t="s">
        <v>95</v>
      </c>
      <c r="D461" s="3" t="s">
        <v>267</v>
      </c>
      <c r="E461" s="1" t="s">
        <v>273</v>
      </c>
      <c r="F461" s="3"/>
      <c r="G461" s="4"/>
      <c r="H461" s="11">
        <v>33000</v>
      </c>
      <c r="I461" s="16">
        <f t="shared" si="7"/>
        <v>33000</v>
      </c>
      <c r="J461" s="17"/>
    </row>
    <row r="462" spans="1:11" s="10" customFormat="1" ht="52.5" hidden="1" customHeight="1" x14ac:dyDescent="0.2">
      <c r="A462" s="3">
        <v>7730</v>
      </c>
      <c r="B462" s="3">
        <v>390</v>
      </c>
      <c r="C462" s="28" t="s">
        <v>99</v>
      </c>
      <c r="D462" s="3" t="s">
        <v>267</v>
      </c>
      <c r="E462" s="1" t="s">
        <v>274</v>
      </c>
      <c r="F462" s="3"/>
      <c r="G462" s="4"/>
      <c r="H462" s="11">
        <v>125000</v>
      </c>
      <c r="I462" s="16">
        <f t="shared" si="7"/>
        <v>125000</v>
      </c>
      <c r="J462" s="17"/>
    </row>
    <row r="463" spans="1:11" s="10" customFormat="1" ht="52.5" hidden="1" customHeight="1" x14ac:dyDescent="0.2">
      <c r="A463" s="3">
        <v>7730</v>
      </c>
      <c r="B463" s="3">
        <v>390</v>
      </c>
      <c r="C463" s="28" t="s">
        <v>101</v>
      </c>
      <c r="D463" s="3" t="s">
        <v>267</v>
      </c>
      <c r="E463" s="1" t="s">
        <v>326</v>
      </c>
      <c r="F463" s="3"/>
      <c r="G463" s="4"/>
      <c r="H463" s="11">
        <v>231200</v>
      </c>
      <c r="I463" s="16">
        <f t="shared" si="7"/>
        <v>231200</v>
      </c>
      <c r="J463" s="17"/>
    </row>
    <row r="464" spans="1:11" s="10" customFormat="1" ht="52.5" hidden="1" customHeight="1" x14ac:dyDescent="0.2">
      <c r="A464" s="3">
        <v>6120</v>
      </c>
      <c r="B464" s="3">
        <v>130</v>
      </c>
      <c r="C464" s="3" t="s">
        <v>103</v>
      </c>
      <c r="D464" s="3" t="s">
        <v>267</v>
      </c>
      <c r="E464" s="1" t="s">
        <v>275</v>
      </c>
      <c r="F464" s="3">
        <v>8</v>
      </c>
      <c r="G464" s="4"/>
      <c r="H464" s="11">
        <f>SUM(52500*8)</f>
        <v>420000</v>
      </c>
      <c r="I464" s="16">
        <f t="shared" si="7"/>
        <v>420000</v>
      </c>
      <c r="J464" s="17"/>
    </row>
    <row r="465" spans="1:10" s="10" customFormat="1" ht="52.5" hidden="1" customHeight="1" x14ac:dyDescent="0.2">
      <c r="A465" s="3">
        <v>6120</v>
      </c>
      <c r="B465" s="3">
        <v>210</v>
      </c>
      <c r="C465" s="3" t="s">
        <v>103</v>
      </c>
      <c r="D465" s="3" t="s">
        <v>267</v>
      </c>
      <c r="E465" s="19" t="s">
        <v>59</v>
      </c>
      <c r="F465" s="3"/>
      <c r="G465" s="4"/>
      <c r="H465" s="4">
        <f>SUM(H464*0.1082)</f>
        <v>45444</v>
      </c>
      <c r="I465" s="16">
        <f t="shared" si="7"/>
        <v>45444</v>
      </c>
      <c r="J465" s="17"/>
    </row>
    <row r="466" spans="1:10" s="10" customFormat="1" ht="52.5" hidden="1" customHeight="1" x14ac:dyDescent="0.2">
      <c r="A466" s="3">
        <v>6120</v>
      </c>
      <c r="B466" s="3">
        <v>220</v>
      </c>
      <c r="C466" s="3" t="s">
        <v>103</v>
      </c>
      <c r="D466" s="3" t="s">
        <v>267</v>
      </c>
      <c r="E466" s="1" t="s">
        <v>60</v>
      </c>
      <c r="F466" s="3"/>
      <c r="G466" s="4"/>
      <c r="H466" s="4">
        <f>SUM(H464*0.0765)</f>
        <v>32130</v>
      </c>
      <c r="I466" s="16">
        <f t="shared" si="7"/>
        <v>32130</v>
      </c>
      <c r="J466" s="17"/>
    </row>
    <row r="467" spans="1:10" s="10" customFormat="1" ht="52.5" hidden="1" customHeight="1" x14ac:dyDescent="0.2">
      <c r="A467" s="3">
        <v>6120</v>
      </c>
      <c r="B467" s="3">
        <v>230</v>
      </c>
      <c r="C467" s="3" t="s">
        <v>103</v>
      </c>
      <c r="D467" s="3" t="s">
        <v>267</v>
      </c>
      <c r="E467" s="1" t="s">
        <v>121</v>
      </c>
      <c r="F467" s="3"/>
      <c r="G467" s="4"/>
      <c r="H467" s="4">
        <f>SUM(9289*8)</f>
        <v>74312</v>
      </c>
      <c r="I467" s="16">
        <f t="shared" si="7"/>
        <v>74312</v>
      </c>
      <c r="J467" s="17"/>
    </row>
    <row r="468" spans="1:10" s="10" customFormat="1" ht="52.5" hidden="1" customHeight="1" x14ac:dyDescent="0.2">
      <c r="A468" s="3">
        <v>6120</v>
      </c>
      <c r="B468" s="3">
        <v>231</v>
      </c>
      <c r="C468" s="3" t="s">
        <v>103</v>
      </c>
      <c r="D468" s="3" t="s">
        <v>267</v>
      </c>
      <c r="E468" s="1" t="s">
        <v>25</v>
      </c>
      <c r="F468" s="3"/>
      <c r="G468" s="4"/>
      <c r="H468" s="4">
        <f>SUM(H464*0.0706%)</f>
        <v>296.52</v>
      </c>
      <c r="I468" s="16">
        <f t="shared" si="7"/>
        <v>296.52</v>
      </c>
      <c r="J468" s="17"/>
    </row>
    <row r="469" spans="1:10" s="10" customFormat="1" ht="52.5" hidden="1" customHeight="1" x14ac:dyDescent="0.2">
      <c r="A469" s="3">
        <v>6120</v>
      </c>
      <c r="B469" s="3">
        <v>240</v>
      </c>
      <c r="C469" s="3" t="s">
        <v>103</v>
      </c>
      <c r="D469" s="3" t="s">
        <v>267</v>
      </c>
      <c r="E469" s="1" t="s">
        <v>61</v>
      </c>
      <c r="F469" s="3"/>
      <c r="G469" s="4"/>
      <c r="H469" s="4">
        <f>SUM(H464*0.35%)</f>
        <v>1469.9999999999998</v>
      </c>
      <c r="I469" s="16">
        <f t="shared" si="7"/>
        <v>1469.9999999999998</v>
      </c>
      <c r="J469" s="17"/>
    </row>
    <row r="470" spans="1:10" s="10" customFormat="1" ht="52.5" hidden="1" customHeight="1" x14ac:dyDescent="0.2">
      <c r="A470" s="3">
        <v>6120</v>
      </c>
      <c r="B470" s="3">
        <v>250</v>
      </c>
      <c r="C470" s="3" t="s">
        <v>103</v>
      </c>
      <c r="D470" s="3" t="s">
        <v>267</v>
      </c>
      <c r="E470" s="1" t="s">
        <v>62</v>
      </c>
      <c r="F470" s="3"/>
      <c r="G470" s="4"/>
      <c r="H470" s="4">
        <f>SUM(H464*0.013%)</f>
        <v>54.599999999999994</v>
      </c>
      <c r="I470" s="16">
        <f t="shared" si="7"/>
        <v>54.599999999999994</v>
      </c>
      <c r="J470" s="17"/>
    </row>
    <row r="471" spans="1:10" s="10" customFormat="1" ht="52.5" hidden="1" customHeight="1" x14ac:dyDescent="0.2">
      <c r="A471" s="3">
        <v>6120</v>
      </c>
      <c r="B471" s="3">
        <v>290</v>
      </c>
      <c r="C471" s="3" t="s">
        <v>103</v>
      </c>
      <c r="D471" s="3" t="s">
        <v>267</v>
      </c>
      <c r="E471" s="1" t="s">
        <v>63</v>
      </c>
      <c r="F471" s="3"/>
      <c r="G471" s="4"/>
      <c r="H471" s="4">
        <f>SUM(H464*2.412%)</f>
        <v>10130.4</v>
      </c>
      <c r="I471" s="16">
        <f t="shared" si="7"/>
        <v>10130.4</v>
      </c>
      <c r="J471" s="17"/>
    </row>
    <row r="472" spans="1:10" s="10" customFormat="1" ht="52.5" hidden="1" customHeight="1" x14ac:dyDescent="0.2">
      <c r="A472" s="3">
        <v>5100</v>
      </c>
      <c r="B472" s="3">
        <v>110</v>
      </c>
      <c r="C472" s="3" t="s">
        <v>104</v>
      </c>
      <c r="D472" s="3" t="s">
        <v>267</v>
      </c>
      <c r="E472" s="1" t="s">
        <v>276</v>
      </c>
      <c r="F472" s="3">
        <v>20</v>
      </c>
      <c r="G472" s="4"/>
      <c r="H472" s="11">
        <f>SUM(103000*20)</f>
        <v>2060000</v>
      </c>
      <c r="I472" s="16">
        <f t="shared" si="7"/>
        <v>2060000</v>
      </c>
      <c r="J472" s="17"/>
    </row>
    <row r="473" spans="1:10" s="10" customFormat="1" ht="52.5" hidden="1" customHeight="1" x14ac:dyDescent="0.2">
      <c r="A473" s="3">
        <v>5100</v>
      </c>
      <c r="B473" s="3">
        <v>210</v>
      </c>
      <c r="C473" s="3" t="s">
        <v>104</v>
      </c>
      <c r="D473" s="3" t="s">
        <v>267</v>
      </c>
      <c r="E473" s="19" t="s">
        <v>59</v>
      </c>
      <c r="F473" s="3"/>
      <c r="G473" s="4"/>
      <c r="H473" s="4">
        <f>SUM(H472*0.1082)</f>
        <v>222892</v>
      </c>
      <c r="I473" s="16">
        <f t="shared" si="7"/>
        <v>222892</v>
      </c>
      <c r="J473" s="17"/>
    </row>
    <row r="474" spans="1:10" s="10" customFormat="1" ht="52.5" hidden="1" customHeight="1" x14ac:dyDescent="0.2">
      <c r="A474" s="3">
        <v>5100</v>
      </c>
      <c r="B474" s="3">
        <v>220</v>
      </c>
      <c r="C474" s="3" t="s">
        <v>104</v>
      </c>
      <c r="D474" s="3" t="s">
        <v>267</v>
      </c>
      <c r="E474" s="1" t="s">
        <v>60</v>
      </c>
      <c r="F474" s="3"/>
      <c r="G474" s="4"/>
      <c r="H474" s="4">
        <f>SUM(H472*0.0765)</f>
        <v>157590</v>
      </c>
      <c r="I474" s="16">
        <f t="shared" si="7"/>
        <v>157590</v>
      </c>
      <c r="J474" s="17"/>
    </row>
    <row r="475" spans="1:10" s="10" customFormat="1" ht="52.5" hidden="1" customHeight="1" x14ac:dyDescent="0.2">
      <c r="A475" s="3">
        <v>5100</v>
      </c>
      <c r="B475" s="3">
        <v>230</v>
      </c>
      <c r="C475" s="3" t="s">
        <v>104</v>
      </c>
      <c r="D475" s="3" t="s">
        <v>267</v>
      </c>
      <c r="E475" s="1" t="s">
        <v>121</v>
      </c>
      <c r="F475" s="3"/>
      <c r="G475" s="4"/>
      <c r="H475" s="4">
        <f>SUM(9289*20)</f>
        <v>185780</v>
      </c>
      <c r="I475" s="16">
        <f t="shared" si="7"/>
        <v>185780</v>
      </c>
      <c r="J475" s="17"/>
    </row>
    <row r="476" spans="1:10" s="10" customFormat="1" ht="52.5" hidden="1" customHeight="1" x14ac:dyDescent="0.2">
      <c r="A476" s="3">
        <v>5100</v>
      </c>
      <c r="B476" s="3">
        <v>231</v>
      </c>
      <c r="C476" s="3" t="s">
        <v>104</v>
      </c>
      <c r="D476" s="3" t="s">
        <v>267</v>
      </c>
      <c r="E476" s="1" t="s">
        <v>25</v>
      </c>
      <c r="F476" s="3"/>
      <c r="G476" s="4"/>
      <c r="H476" s="4">
        <f>SUM(H472*0.0706%)</f>
        <v>1454.36</v>
      </c>
      <c r="I476" s="16">
        <f t="shared" si="7"/>
        <v>1454.36</v>
      </c>
      <c r="J476" s="17"/>
    </row>
    <row r="477" spans="1:10" s="10" customFormat="1" ht="52.5" hidden="1" customHeight="1" x14ac:dyDescent="0.2">
      <c r="A477" s="3">
        <v>5100</v>
      </c>
      <c r="B477" s="3">
        <v>240</v>
      </c>
      <c r="C477" s="3" t="s">
        <v>104</v>
      </c>
      <c r="D477" s="3" t="s">
        <v>267</v>
      </c>
      <c r="E477" s="1" t="s">
        <v>61</v>
      </c>
      <c r="F477" s="3"/>
      <c r="G477" s="4"/>
      <c r="H477" s="4">
        <f>SUM(H472*0.35%)</f>
        <v>7209.9999999999991</v>
      </c>
      <c r="I477" s="16">
        <f t="shared" si="7"/>
        <v>7209.9999999999991</v>
      </c>
      <c r="J477" s="17"/>
    </row>
    <row r="478" spans="1:10" s="10" customFormat="1" ht="52.5" hidden="1" customHeight="1" x14ac:dyDescent="0.2">
      <c r="A478" s="3">
        <v>5100</v>
      </c>
      <c r="B478" s="3">
        <v>250</v>
      </c>
      <c r="C478" s="3" t="s">
        <v>104</v>
      </c>
      <c r="D478" s="3" t="s">
        <v>267</v>
      </c>
      <c r="E478" s="1" t="s">
        <v>62</v>
      </c>
      <c r="F478" s="3"/>
      <c r="G478" s="4"/>
      <c r="H478" s="4">
        <f>SUM(H472*0.013%)</f>
        <v>267.79999999999995</v>
      </c>
      <c r="I478" s="16">
        <f t="shared" si="7"/>
        <v>267.79999999999995</v>
      </c>
      <c r="J478" s="17"/>
    </row>
    <row r="479" spans="1:10" s="10" customFormat="1" ht="52.5" hidden="1" customHeight="1" x14ac:dyDescent="0.2">
      <c r="A479" s="3">
        <v>5100</v>
      </c>
      <c r="B479" s="3">
        <v>290</v>
      </c>
      <c r="C479" s="3" t="s">
        <v>104</v>
      </c>
      <c r="D479" s="3" t="s">
        <v>267</v>
      </c>
      <c r="E479" s="1" t="s">
        <v>63</v>
      </c>
      <c r="F479" s="3"/>
      <c r="G479" s="4"/>
      <c r="H479" s="4">
        <f>SUM(H472*2.412%)</f>
        <v>49687.199999999997</v>
      </c>
      <c r="I479" s="16">
        <f t="shared" si="7"/>
        <v>49687.199999999997</v>
      </c>
      <c r="J479" s="17"/>
    </row>
    <row r="480" spans="1:10" s="10" customFormat="1" ht="52.5" hidden="1" customHeight="1" x14ac:dyDescent="0.2">
      <c r="A480" s="3">
        <v>7900</v>
      </c>
      <c r="B480" s="3">
        <v>160</v>
      </c>
      <c r="C480" s="3" t="s">
        <v>106</v>
      </c>
      <c r="D480" s="3" t="s">
        <v>267</v>
      </c>
      <c r="E480" s="1" t="s">
        <v>277</v>
      </c>
      <c r="F480" s="3">
        <v>2</v>
      </c>
      <c r="G480" s="4"/>
      <c r="H480" s="11">
        <v>70000</v>
      </c>
      <c r="I480" s="16">
        <f t="shared" si="7"/>
        <v>70000</v>
      </c>
      <c r="J480" s="17"/>
    </row>
    <row r="481" spans="1:10" s="10" customFormat="1" ht="52.5" hidden="1" customHeight="1" x14ac:dyDescent="0.2">
      <c r="A481" s="3">
        <v>7900</v>
      </c>
      <c r="B481" s="3">
        <v>210</v>
      </c>
      <c r="C481" s="3" t="s">
        <v>106</v>
      </c>
      <c r="D481" s="3" t="s">
        <v>267</v>
      </c>
      <c r="E481" s="19" t="s">
        <v>59</v>
      </c>
      <c r="F481" s="3"/>
      <c r="G481" s="4"/>
      <c r="H481" s="4">
        <f>SUM(H480*0.1082)</f>
        <v>7574</v>
      </c>
      <c r="I481" s="16">
        <f t="shared" si="7"/>
        <v>7574</v>
      </c>
      <c r="J481" s="17"/>
    </row>
    <row r="482" spans="1:10" s="10" customFormat="1" ht="52.5" hidden="1" customHeight="1" x14ac:dyDescent="0.2">
      <c r="A482" s="3">
        <v>7900</v>
      </c>
      <c r="B482" s="3">
        <v>220</v>
      </c>
      <c r="C482" s="3" t="s">
        <v>106</v>
      </c>
      <c r="D482" s="3" t="s">
        <v>267</v>
      </c>
      <c r="E482" s="1" t="s">
        <v>60</v>
      </c>
      <c r="F482" s="3"/>
      <c r="G482" s="4"/>
      <c r="H482" s="4">
        <f>SUM(H480*0.0765)</f>
        <v>5355</v>
      </c>
      <c r="I482" s="16">
        <f t="shared" si="7"/>
        <v>5355</v>
      </c>
      <c r="J482" s="17"/>
    </row>
    <row r="483" spans="1:10" s="10" customFormat="1" ht="52.5" hidden="1" customHeight="1" x14ac:dyDescent="0.2">
      <c r="A483" s="3">
        <v>7900</v>
      </c>
      <c r="B483" s="3">
        <v>230</v>
      </c>
      <c r="C483" s="3" t="s">
        <v>106</v>
      </c>
      <c r="D483" s="3" t="s">
        <v>267</v>
      </c>
      <c r="E483" s="1" t="s">
        <v>121</v>
      </c>
      <c r="F483" s="3"/>
      <c r="G483" s="4"/>
      <c r="H483" s="4">
        <f>SUM(9289*2)</f>
        <v>18578</v>
      </c>
      <c r="I483" s="16">
        <f t="shared" si="7"/>
        <v>18578</v>
      </c>
      <c r="J483" s="17"/>
    </row>
    <row r="484" spans="1:10" s="10" customFormat="1" ht="52.5" hidden="1" customHeight="1" x14ac:dyDescent="0.2">
      <c r="A484" s="3">
        <v>7900</v>
      </c>
      <c r="B484" s="3">
        <v>231</v>
      </c>
      <c r="C484" s="3" t="s">
        <v>106</v>
      </c>
      <c r="D484" s="3" t="s">
        <v>267</v>
      </c>
      <c r="E484" s="1" t="s">
        <v>25</v>
      </c>
      <c r="F484" s="3"/>
      <c r="G484" s="4"/>
      <c r="H484" s="4">
        <f>SUM(H480*0.0706%)</f>
        <v>49.419999999999995</v>
      </c>
      <c r="I484" s="16">
        <f t="shared" si="7"/>
        <v>49.419999999999995</v>
      </c>
      <c r="J484" s="17"/>
    </row>
    <row r="485" spans="1:10" s="10" customFormat="1" ht="52.5" hidden="1" customHeight="1" x14ac:dyDescent="0.2">
      <c r="A485" s="3">
        <v>7900</v>
      </c>
      <c r="B485" s="3">
        <v>240</v>
      </c>
      <c r="C485" s="3" t="s">
        <v>106</v>
      </c>
      <c r="D485" s="3" t="s">
        <v>267</v>
      </c>
      <c r="E485" s="1" t="s">
        <v>61</v>
      </c>
      <c r="F485" s="3"/>
      <c r="G485" s="4"/>
      <c r="H485" s="4">
        <f>SUM(H480*0.35%)</f>
        <v>244.99999999999997</v>
      </c>
      <c r="I485" s="16">
        <f t="shared" si="7"/>
        <v>244.99999999999997</v>
      </c>
      <c r="J485" s="17"/>
    </row>
    <row r="486" spans="1:10" s="10" customFormat="1" ht="52.5" hidden="1" customHeight="1" x14ac:dyDescent="0.2">
      <c r="A486" s="3">
        <v>7900</v>
      </c>
      <c r="B486" s="3">
        <v>250</v>
      </c>
      <c r="C486" s="3" t="s">
        <v>106</v>
      </c>
      <c r="D486" s="3" t="s">
        <v>267</v>
      </c>
      <c r="E486" s="1" t="s">
        <v>62</v>
      </c>
      <c r="F486" s="3"/>
      <c r="G486" s="4"/>
      <c r="H486" s="4">
        <f>SUM(H480*0.013%)</f>
        <v>9.1</v>
      </c>
      <c r="I486" s="16">
        <f t="shared" si="7"/>
        <v>9.1</v>
      </c>
      <c r="J486" s="17"/>
    </row>
    <row r="487" spans="1:10" s="10" customFormat="1" ht="52.5" hidden="1" customHeight="1" x14ac:dyDescent="0.2">
      <c r="A487" s="3">
        <v>7900</v>
      </c>
      <c r="B487" s="3">
        <v>290</v>
      </c>
      <c r="C487" s="3" t="s">
        <v>106</v>
      </c>
      <c r="D487" s="3" t="s">
        <v>267</v>
      </c>
      <c r="E487" s="1" t="s">
        <v>63</v>
      </c>
      <c r="F487" s="3"/>
      <c r="G487" s="4"/>
      <c r="H487" s="4">
        <f>SUM(H480*2.412%)</f>
        <v>1688.3999999999999</v>
      </c>
      <c r="I487" s="16">
        <f t="shared" si="7"/>
        <v>1688.3999999999999</v>
      </c>
      <c r="J487" s="17"/>
    </row>
    <row r="488" spans="1:10" s="10" customFormat="1" ht="52.5" hidden="1" customHeight="1" x14ac:dyDescent="0.2">
      <c r="A488" s="3">
        <v>6130</v>
      </c>
      <c r="B488" s="3">
        <v>390</v>
      </c>
      <c r="C488" s="3" t="s">
        <v>108</v>
      </c>
      <c r="D488" s="3" t="s">
        <v>267</v>
      </c>
      <c r="E488" s="1" t="s">
        <v>278</v>
      </c>
      <c r="F488" s="3"/>
      <c r="G488" s="4"/>
      <c r="H488" s="4">
        <v>3000000</v>
      </c>
      <c r="I488" s="16">
        <f t="shared" si="7"/>
        <v>3000000</v>
      </c>
      <c r="J488" s="17"/>
    </row>
    <row r="489" spans="1:10" s="10" customFormat="1" ht="52.5" hidden="1" customHeight="1" x14ac:dyDescent="0.2">
      <c r="A489" s="3">
        <v>7900</v>
      </c>
      <c r="B489" s="3">
        <v>110</v>
      </c>
      <c r="C489" s="3" t="s">
        <v>110</v>
      </c>
      <c r="D489" s="3" t="s">
        <v>267</v>
      </c>
      <c r="E489" s="1" t="s">
        <v>279</v>
      </c>
      <c r="F489" s="3">
        <v>1</v>
      </c>
      <c r="G489" s="4"/>
      <c r="H489" s="11">
        <v>58000</v>
      </c>
      <c r="I489" s="16">
        <f t="shared" si="7"/>
        <v>58000</v>
      </c>
      <c r="J489" s="17"/>
    </row>
    <row r="490" spans="1:10" s="10" customFormat="1" ht="52.5" hidden="1" customHeight="1" x14ac:dyDescent="0.2">
      <c r="A490" s="3">
        <v>7900</v>
      </c>
      <c r="B490" s="3">
        <v>210</v>
      </c>
      <c r="C490" s="3" t="s">
        <v>110</v>
      </c>
      <c r="D490" s="3" t="s">
        <v>267</v>
      </c>
      <c r="E490" s="19" t="s">
        <v>59</v>
      </c>
      <c r="F490" s="3"/>
      <c r="G490" s="4"/>
      <c r="H490" s="4">
        <f>SUM(H489*0.1082)</f>
        <v>6275.6</v>
      </c>
      <c r="I490" s="16">
        <f t="shared" si="7"/>
        <v>6275.6</v>
      </c>
      <c r="J490" s="17"/>
    </row>
    <row r="491" spans="1:10" s="10" customFormat="1" ht="52.5" hidden="1" customHeight="1" x14ac:dyDescent="0.2">
      <c r="A491" s="3">
        <v>7900</v>
      </c>
      <c r="B491" s="3">
        <v>220</v>
      </c>
      <c r="C491" s="3" t="s">
        <v>110</v>
      </c>
      <c r="D491" s="3" t="s">
        <v>267</v>
      </c>
      <c r="E491" s="1" t="s">
        <v>60</v>
      </c>
      <c r="F491" s="3"/>
      <c r="G491" s="4"/>
      <c r="H491" s="4">
        <f>SUM(H489*0.0765)</f>
        <v>4437</v>
      </c>
      <c r="I491" s="16">
        <f t="shared" si="7"/>
        <v>4437</v>
      </c>
      <c r="J491" s="17"/>
    </row>
    <row r="492" spans="1:10" s="10" customFormat="1" ht="52.5" hidden="1" customHeight="1" x14ac:dyDescent="0.2">
      <c r="A492" s="3">
        <v>7900</v>
      </c>
      <c r="B492" s="3">
        <v>230</v>
      </c>
      <c r="C492" s="3" t="s">
        <v>110</v>
      </c>
      <c r="D492" s="3" t="s">
        <v>267</v>
      </c>
      <c r="E492" s="1" t="s">
        <v>121</v>
      </c>
      <c r="F492" s="3"/>
      <c r="G492" s="4"/>
      <c r="H492" s="4">
        <v>9289</v>
      </c>
      <c r="I492" s="16">
        <f t="shared" si="7"/>
        <v>9289</v>
      </c>
      <c r="J492" s="17"/>
    </row>
    <row r="493" spans="1:10" s="10" customFormat="1" ht="52.5" hidden="1" customHeight="1" x14ac:dyDescent="0.2">
      <c r="A493" s="3">
        <v>7900</v>
      </c>
      <c r="B493" s="3">
        <v>231</v>
      </c>
      <c r="C493" s="3" t="s">
        <v>110</v>
      </c>
      <c r="D493" s="3" t="s">
        <v>267</v>
      </c>
      <c r="E493" s="1" t="s">
        <v>25</v>
      </c>
      <c r="F493" s="3"/>
      <c r="G493" s="4"/>
      <c r="H493" s="4">
        <f>SUM(H489*0.0706%)</f>
        <v>40.947999999999993</v>
      </c>
      <c r="I493" s="16">
        <f t="shared" si="7"/>
        <v>40.947999999999993</v>
      </c>
      <c r="J493" s="17"/>
    </row>
    <row r="494" spans="1:10" s="10" customFormat="1" ht="52.5" hidden="1" customHeight="1" x14ac:dyDescent="0.2">
      <c r="A494" s="3">
        <v>7900</v>
      </c>
      <c r="B494" s="3">
        <v>240</v>
      </c>
      <c r="C494" s="3" t="s">
        <v>110</v>
      </c>
      <c r="D494" s="3" t="s">
        <v>267</v>
      </c>
      <c r="E494" s="1" t="s">
        <v>61</v>
      </c>
      <c r="F494" s="3"/>
      <c r="G494" s="4"/>
      <c r="H494" s="4">
        <f>SUM(H489*0.35%)</f>
        <v>202.99999999999997</v>
      </c>
      <c r="I494" s="16">
        <f t="shared" si="7"/>
        <v>202.99999999999997</v>
      </c>
      <c r="J494" s="17"/>
    </row>
    <row r="495" spans="1:10" s="10" customFormat="1" ht="52.5" hidden="1" customHeight="1" x14ac:dyDescent="0.2">
      <c r="A495" s="3">
        <v>7900</v>
      </c>
      <c r="B495" s="3">
        <v>250</v>
      </c>
      <c r="C495" s="3" t="s">
        <v>110</v>
      </c>
      <c r="D495" s="3" t="s">
        <v>267</v>
      </c>
      <c r="E495" s="1" t="s">
        <v>62</v>
      </c>
      <c r="F495" s="3"/>
      <c r="G495" s="4"/>
      <c r="H495" s="4">
        <f>SUM(H489*0.013%)</f>
        <v>7.5399999999999991</v>
      </c>
      <c r="I495" s="16">
        <f t="shared" si="7"/>
        <v>7.5399999999999991</v>
      </c>
      <c r="J495" s="17"/>
    </row>
    <row r="496" spans="1:10" s="10" customFormat="1" ht="52.5" hidden="1" customHeight="1" x14ac:dyDescent="0.2">
      <c r="A496" s="3">
        <v>7900</v>
      </c>
      <c r="B496" s="3">
        <v>290</v>
      </c>
      <c r="C496" s="3" t="s">
        <v>110</v>
      </c>
      <c r="D496" s="3" t="s">
        <v>267</v>
      </c>
      <c r="E496" s="1" t="s">
        <v>63</v>
      </c>
      <c r="F496" s="3"/>
      <c r="G496" s="4"/>
      <c r="H496" s="4">
        <f>SUM(H489*2.412%)</f>
        <v>1398.96</v>
      </c>
      <c r="I496" s="16">
        <f t="shared" si="7"/>
        <v>1398.96</v>
      </c>
      <c r="J496" s="17"/>
    </row>
    <row r="497" spans="1:10" s="10" customFormat="1" ht="52.5" hidden="1" customHeight="1" x14ac:dyDescent="0.2">
      <c r="A497" s="3">
        <v>7900</v>
      </c>
      <c r="B497" s="3">
        <v>510</v>
      </c>
      <c r="C497" s="3" t="s">
        <v>112</v>
      </c>
      <c r="D497" s="3" t="s">
        <v>267</v>
      </c>
      <c r="E497" s="1" t="s">
        <v>280</v>
      </c>
      <c r="F497" s="3"/>
      <c r="G497" s="4"/>
      <c r="H497" s="4">
        <v>1600000</v>
      </c>
      <c r="I497" s="16">
        <f t="shared" si="7"/>
        <v>1600000</v>
      </c>
      <c r="J497" s="17"/>
    </row>
    <row r="498" spans="1:10" s="10" customFormat="1" ht="52.5" hidden="1" customHeight="1" x14ac:dyDescent="0.2">
      <c r="A498" s="3">
        <v>7900</v>
      </c>
      <c r="B498" s="3">
        <v>390</v>
      </c>
      <c r="C498" s="3" t="s">
        <v>114</v>
      </c>
      <c r="D498" s="3" t="s">
        <v>267</v>
      </c>
      <c r="E498" s="1" t="s">
        <v>281</v>
      </c>
      <c r="F498" s="3" t="s">
        <v>56</v>
      </c>
      <c r="G498" s="4"/>
      <c r="H498" s="11">
        <v>2651643</v>
      </c>
      <c r="I498" s="16">
        <f t="shared" si="7"/>
        <v>2651643</v>
      </c>
      <c r="J498" s="17"/>
    </row>
    <row r="499" spans="1:10" s="10" customFormat="1" ht="52.5" hidden="1" customHeight="1" x14ac:dyDescent="0.2">
      <c r="A499" s="3">
        <v>5900</v>
      </c>
      <c r="B499" s="3">
        <v>124</v>
      </c>
      <c r="C499" s="3" t="s">
        <v>116</v>
      </c>
      <c r="D499" s="3" t="s">
        <v>267</v>
      </c>
      <c r="E499" s="1" t="s">
        <v>282</v>
      </c>
      <c r="F499" s="3"/>
      <c r="G499" s="4" t="s">
        <v>56</v>
      </c>
      <c r="H499" s="4">
        <f>SUM(12300*6*5*25)</f>
        <v>9225000</v>
      </c>
      <c r="I499" s="16">
        <f t="shared" si="7"/>
        <v>9225000</v>
      </c>
      <c r="J499" s="17"/>
    </row>
    <row r="500" spans="1:10" s="10" customFormat="1" ht="52.5" hidden="1" customHeight="1" x14ac:dyDescent="0.2">
      <c r="A500" s="3">
        <v>5900</v>
      </c>
      <c r="B500" s="3">
        <v>210</v>
      </c>
      <c r="C500" s="3" t="s">
        <v>116</v>
      </c>
      <c r="D500" s="3" t="s">
        <v>267</v>
      </c>
      <c r="E500" s="18" t="s">
        <v>44</v>
      </c>
      <c r="F500" s="3"/>
      <c r="G500" s="4"/>
      <c r="H500" s="11">
        <f>SUM(H499*0.1082)</f>
        <v>998145</v>
      </c>
      <c r="I500" s="16">
        <f t="shared" si="7"/>
        <v>998145</v>
      </c>
      <c r="J500" s="17"/>
    </row>
    <row r="501" spans="1:10" s="10" customFormat="1" ht="52.5" hidden="1" customHeight="1" x14ac:dyDescent="0.2">
      <c r="A501" s="3">
        <v>5900</v>
      </c>
      <c r="B501" s="3">
        <v>220</v>
      </c>
      <c r="C501" s="3" t="s">
        <v>116</v>
      </c>
      <c r="D501" s="3" t="s">
        <v>267</v>
      </c>
      <c r="E501" s="18" t="s">
        <v>40</v>
      </c>
      <c r="F501" s="3"/>
      <c r="G501" s="4"/>
      <c r="H501" s="11">
        <f>SUM(H499*0.0765)</f>
        <v>705712.5</v>
      </c>
      <c r="I501" s="16">
        <f t="shared" si="7"/>
        <v>705712.5</v>
      </c>
      <c r="J501" s="17"/>
    </row>
    <row r="502" spans="1:10" s="10" customFormat="1" ht="52.5" hidden="1" customHeight="1" x14ac:dyDescent="0.2">
      <c r="A502" s="3">
        <v>5900</v>
      </c>
      <c r="B502" s="3">
        <v>240</v>
      </c>
      <c r="C502" s="3" t="s">
        <v>116</v>
      </c>
      <c r="D502" s="3" t="s">
        <v>267</v>
      </c>
      <c r="E502" s="18" t="s">
        <v>48</v>
      </c>
      <c r="F502" s="3"/>
      <c r="G502" s="4"/>
      <c r="H502" s="11">
        <f>SUM(H499*0.35%)</f>
        <v>32287.499999999996</v>
      </c>
      <c r="I502" s="16">
        <f t="shared" si="7"/>
        <v>32287.499999999996</v>
      </c>
      <c r="J502" s="17"/>
    </row>
    <row r="503" spans="1:10" s="10" customFormat="1" ht="52.5" hidden="1" customHeight="1" x14ac:dyDescent="0.2">
      <c r="A503" s="3">
        <v>6300</v>
      </c>
      <c r="B503" s="3">
        <v>130</v>
      </c>
      <c r="C503" s="3" t="s">
        <v>122</v>
      </c>
      <c r="D503" s="3" t="s">
        <v>267</v>
      </c>
      <c r="E503" s="1" t="s">
        <v>327</v>
      </c>
      <c r="F503" s="3">
        <v>1</v>
      </c>
      <c r="G503" s="4"/>
      <c r="H503" s="11">
        <v>52500</v>
      </c>
      <c r="I503" s="16">
        <f t="shared" si="7"/>
        <v>52500</v>
      </c>
      <c r="J503" s="17"/>
    </row>
    <row r="504" spans="1:10" s="10" customFormat="1" ht="52.5" hidden="1" customHeight="1" x14ac:dyDescent="0.2">
      <c r="A504" s="3">
        <v>6300</v>
      </c>
      <c r="B504" s="3">
        <v>210</v>
      </c>
      <c r="C504" s="3" t="s">
        <v>122</v>
      </c>
      <c r="D504" s="3" t="s">
        <v>267</v>
      </c>
      <c r="E504" s="19" t="s">
        <v>59</v>
      </c>
      <c r="F504" s="3"/>
      <c r="G504" s="4"/>
      <c r="H504" s="4">
        <f>SUM(H503*0.1082)</f>
        <v>5680.5</v>
      </c>
      <c r="I504" s="16">
        <f t="shared" si="7"/>
        <v>5680.5</v>
      </c>
      <c r="J504" s="17"/>
    </row>
    <row r="505" spans="1:10" s="10" customFormat="1" ht="52.5" hidden="1" customHeight="1" x14ac:dyDescent="0.2">
      <c r="A505" s="3">
        <v>6300</v>
      </c>
      <c r="B505" s="3">
        <v>220</v>
      </c>
      <c r="C505" s="3" t="s">
        <v>122</v>
      </c>
      <c r="D505" s="3" t="s">
        <v>267</v>
      </c>
      <c r="E505" s="1" t="s">
        <v>60</v>
      </c>
      <c r="F505" s="3"/>
      <c r="G505" s="4"/>
      <c r="H505" s="4">
        <f>SUM(H503*0.0765)</f>
        <v>4016.25</v>
      </c>
      <c r="I505" s="16">
        <f t="shared" si="7"/>
        <v>4016.25</v>
      </c>
      <c r="J505" s="17"/>
    </row>
    <row r="506" spans="1:10" s="10" customFormat="1" ht="52.5" hidden="1" customHeight="1" x14ac:dyDescent="0.2">
      <c r="A506" s="3">
        <v>6300</v>
      </c>
      <c r="B506" s="3">
        <v>230</v>
      </c>
      <c r="C506" s="3" t="s">
        <v>122</v>
      </c>
      <c r="D506" s="3" t="s">
        <v>267</v>
      </c>
      <c r="E506" s="1" t="s">
        <v>121</v>
      </c>
      <c r="F506" s="3"/>
      <c r="G506" s="4"/>
      <c r="H506" s="4">
        <v>9289</v>
      </c>
      <c r="I506" s="16">
        <f t="shared" ref="I506:I548" si="8">SUM(G506:H506)</f>
        <v>9289</v>
      </c>
      <c r="J506" s="17"/>
    </row>
    <row r="507" spans="1:10" s="10" customFormat="1" ht="52.5" hidden="1" customHeight="1" x14ac:dyDescent="0.2">
      <c r="A507" s="3">
        <v>6300</v>
      </c>
      <c r="B507" s="3">
        <v>231</v>
      </c>
      <c r="C507" s="3" t="s">
        <v>122</v>
      </c>
      <c r="D507" s="3" t="s">
        <v>267</v>
      </c>
      <c r="E507" s="1" t="s">
        <v>25</v>
      </c>
      <c r="F507" s="3"/>
      <c r="G507" s="4"/>
      <c r="H507" s="4">
        <f>SUM(H503*0.0706%)</f>
        <v>37.064999999999998</v>
      </c>
      <c r="I507" s="16">
        <f t="shared" si="8"/>
        <v>37.064999999999998</v>
      </c>
      <c r="J507" s="17"/>
    </row>
    <row r="508" spans="1:10" s="10" customFormat="1" ht="52.5" hidden="1" customHeight="1" x14ac:dyDescent="0.2">
      <c r="A508" s="3">
        <v>6300</v>
      </c>
      <c r="B508" s="3">
        <v>240</v>
      </c>
      <c r="C508" s="3" t="s">
        <v>122</v>
      </c>
      <c r="D508" s="3" t="s">
        <v>267</v>
      </c>
      <c r="E508" s="1" t="s">
        <v>61</v>
      </c>
      <c r="F508" s="3"/>
      <c r="G508" s="4"/>
      <c r="H508" s="4">
        <f>SUM(H503*0.35%)</f>
        <v>183.74999999999997</v>
      </c>
      <c r="I508" s="16">
        <f t="shared" si="8"/>
        <v>183.74999999999997</v>
      </c>
      <c r="J508" s="17"/>
    </row>
    <row r="509" spans="1:10" s="10" customFormat="1" ht="52.5" hidden="1" customHeight="1" x14ac:dyDescent="0.2">
      <c r="A509" s="3">
        <v>6300</v>
      </c>
      <c r="B509" s="3">
        <v>250</v>
      </c>
      <c r="C509" s="3" t="s">
        <v>122</v>
      </c>
      <c r="D509" s="3" t="s">
        <v>267</v>
      </c>
      <c r="E509" s="1" t="s">
        <v>62</v>
      </c>
      <c r="F509" s="3"/>
      <c r="G509" s="4"/>
      <c r="H509" s="4">
        <f>SUM(H503*0.013%)</f>
        <v>6.8249999999999993</v>
      </c>
      <c r="I509" s="16">
        <f t="shared" si="8"/>
        <v>6.8249999999999993</v>
      </c>
      <c r="J509" s="17"/>
    </row>
    <row r="510" spans="1:10" s="10" customFormat="1" ht="52.5" hidden="1" customHeight="1" x14ac:dyDescent="0.2">
      <c r="A510" s="3">
        <v>6300</v>
      </c>
      <c r="B510" s="3">
        <v>290</v>
      </c>
      <c r="C510" s="3" t="s">
        <v>122</v>
      </c>
      <c r="D510" s="3" t="s">
        <v>267</v>
      </c>
      <c r="E510" s="1" t="s">
        <v>63</v>
      </c>
      <c r="F510" s="3"/>
      <c r="G510" s="4"/>
      <c r="H510" s="4">
        <f>SUM(H503*2.412%)</f>
        <v>1266.3</v>
      </c>
      <c r="I510" s="16">
        <f t="shared" si="8"/>
        <v>1266.3</v>
      </c>
      <c r="J510" s="17"/>
    </row>
    <row r="511" spans="1:10" s="10" customFormat="1" ht="52.5" hidden="1" customHeight="1" x14ac:dyDescent="0.2">
      <c r="A511" s="3">
        <v>6100</v>
      </c>
      <c r="B511" s="3">
        <v>160</v>
      </c>
      <c r="C511" s="3" t="s">
        <v>283</v>
      </c>
      <c r="D511" s="3" t="s">
        <v>267</v>
      </c>
      <c r="E511" s="1" t="s">
        <v>284</v>
      </c>
      <c r="F511" s="3">
        <v>2</v>
      </c>
      <c r="G511" s="4"/>
      <c r="H511" s="11">
        <f>SUM(30000*2*2)</f>
        <v>120000</v>
      </c>
      <c r="I511" s="16">
        <f t="shared" si="8"/>
        <v>120000</v>
      </c>
      <c r="J511" s="17"/>
    </row>
    <row r="512" spans="1:10" s="10" customFormat="1" ht="52.5" hidden="1" customHeight="1" x14ac:dyDescent="0.2">
      <c r="A512" s="3">
        <v>6100</v>
      </c>
      <c r="B512" s="3">
        <v>210</v>
      </c>
      <c r="C512" s="3" t="s">
        <v>283</v>
      </c>
      <c r="D512" s="3" t="s">
        <v>267</v>
      </c>
      <c r="E512" s="19" t="s">
        <v>59</v>
      </c>
      <c r="F512" s="3"/>
      <c r="G512" s="4"/>
      <c r="H512" s="4">
        <f>SUM(H511*0.1082)</f>
        <v>12984</v>
      </c>
      <c r="I512" s="16">
        <f t="shared" si="8"/>
        <v>12984</v>
      </c>
      <c r="J512" s="17"/>
    </row>
    <row r="513" spans="1:10" s="10" customFormat="1" ht="52.5" hidden="1" customHeight="1" x14ac:dyDescent="0.2">
      <c r="A513" s="3">
        <v>6100</v>
      </c>
      <c r="B513" s="3">
        <v>220</v>
      </c>
      <c r="C513" s="3" t="s">
        <v>283</v>
      </c>
      <c r="D513" s="3" t="s">
        <v>267</v>
      </c>
      <c r="E513" s="1" t="s">
        <v>60</v>
      </c>
      <c r="F513" s="3"/>
      <c r="G513" s="4"/>
      <c r="H513" s="4">
        <f>SUM(H511*0.0765)</f>
        <v>9180</v>
      </c>
      <c r="I513" s="16">
        <f t="shared" si="8"/>
        <v>9180</v>
      </c>
      <c r="J513" s="17"/>
    </row>
    <row r="514" spans="1:10" s="10" customFormat="1" ht="52.5" hidden="1" customHeight="1" x14ac:dyDescent="0.2">
      <c r="A514" s="3">
        <v>6100</v>
      </c>
      <c r="B514" s="3">
        <v>230</v>
      </c>
      <c r="C514" s="3" t="s">
        <v>283</v>
      </c>
      <c r="D514" s="3" t="s">
        <v>267</v>
      </c>
      <c r="E514" s="1" t="s">
        <v>121</v>
      </c>
      <c r="F514" s="3"/>
      <c r="G514" s="4"/>
      <c r="H514" s="4">
        <f>SUM(9289*2*2)</f>
        <v>37156</v>
      </c>
      <c r="I514" s="16">
        <f t="shared" si="8"/>
        <v>37156</v>
      </c>
      <c r="J514" s="17"/>
    </row>
    <row r="515" spans="1:10" s="10" customFormat="1" ht="52.5" hidden="1" customHeight="1" x14ac:dyDescent="0.2">
      <c r="A515" s="3">
        <v>6100</v>
      </c>
      <c r="B515" s="3">
        <v>231</v>
      </c>
      <c r="C515" s="3" t="s">
        <v>283</v>
      </c>
      <c r="D515" s="3" t="s">
        <v>267</v>
      </c>
      <c r="E515" s="1" t="s">
        <v>25</v>
      </c>
      <c r="F515" s="3"/>
      <c r="G515" s="4"/>
      <c r="H515" s="4">
        <f>SUM(H511*0.0706%)</f>
        <v>84.719999999999985</v>
      </c>
      <c r="I515" s="16">
        <f t="shared" si="8"/>
        <v>84.719999999999985</v>
      </c>
      <c r="J515" s="17"/>
    </row>
    <row r="516" spans="1:10" s="10" customFormat="1" ht="52.5" hidden="1" customHeight="1" x14ac:dyDescent="0.2">
      <c r="A516" s="3">
        <v>6100</v>
      </c>
      <c r="B516" s="3">
        <v>240</v>
      </c>
      <c r="C516" s="3" t="s">
        <v>283</v>
      </c>
      <c r="D516" s="3" t="s">
        <v>267</v>
      </c>
      <c r="E516" s="1" t="s">
        <v>61</v>
      </c>
      <c r="F516" s="3"/>
      <c r="G516" s="4"/>
      <c r="H516" s="4">
        <f>SUM(H511*0.35%)</f>
        <v>419.99999999999994</v>
      </c>
      <c r="I516" s="16">
        <f t="shared" si="8"/>
        <v>419.99999999999994</v>
      </c>
    </row>
    <row r="517" spans="1:10" s="10" customFormat="1" ht="52.5" hidden="1" customHeight="1" x14ac:dyDescent="0.2">
      <c r="A517" s="3">
        <v>6100</v>
      </c>
      <c r="B517" s="3">
        <v>250</v>
      </c>
      <c r="C517" s="3" t="s">
        <v>283</v>
      </c>
      <c r="D517" s="3" t="s">
        <v>267</v>
      </c>
      <c r="E517" s="1" t="s">
        <v>62</v>
      </c>
      <c r="F517" s="3"/>
      <c r="G517" s="4"/>
      <c r="H517" s="4">
        <f>SUM(H511*0.013%)</f>
        <v>15.599999999999998</v>
      </c>
      <c r="I517" s="16">
        <f t="shared" si="8"/>
        <v>15.599999999999998</v>
      </c>
      <c r="J517" s="17"/>
    </row>
    <row r="518" spans="1:10" s="10" customFormat="1" ht="52.5" hidden="1" customHeight="1" x14ac:dyDescent="0.2">
      <c r="A518" s="3">
        <v>6100</v>
      </c>
      <c r="B518" s="3">
        <v>290</v>
      </c>
      <c r="C518" s="3" t="s">
        <v>283</v>
      </c>
      <c r="D518" s="3" t="s">
        <v>267</v>
      </c>
      <c r="E518" s="1" t="s">
        <v>63</v>
      </c>
      <c r="F518" s="3"/>
      <c r="G518" s="4"/>
      <c r="H518" s="4">
        <f>SUM(H511*2.412%)</f>
        <v>2894.4</v>
      </c>
      <c r="I518" s="16">
        <f t="shared" si="8"/>
        <v>2894.4</v>
      </c>
      <c r="J518" s="17"/>
    </row>
    <row r="519" spans="1:10" s="10" customFormat="1" ht="52.5" hidden="1" customHeight="1" x14ac:dyDescent="0.2">
      <c r="A519" s="3">
        <v>7730</v>
      </c>
      <c r="B519" s="40">
        <v>770</v>
      </c>
      <c r="C519" s="29" t="s">
        <v>184</v>
      </c>
      <c r="D519" s="29" t="s">
        <v>267</v>
      </c>
      <c r="E519" s="10" t="s">
        <v>290</v>
      </c>
      <c r="G519" s="4"/>
      <c r="H519" s="11">
        <v>18000000</v>
      </c>
      <c r="I519" s="16">
        <f t="shared" si="8"/>
        <v>18000000</v>
      </c>
      <c r="J519" s="17"/>
    </row>
    <row r="520" spans="1:10" s="10" customFormat="1" ht="52.5" hidden="1" customHeight="1" x14ac:dyDescent="0.2">
      <c r="A520" s="3">
        <v>7500</v>
      </c>
      <c r="B520" s="3">
        <v>160</v>
      </c>
      <c r="C520" s="3" t="s">
        <v>76</v>
      </c>
      <c r="D520" s="3" t="s">
        <v>285</v>
      </c>
      <c r="E520" s="1" t="s">
        <v>287</v>
      </c>
      <c r="F520" s="3">
        <v>2</v>
      </c>
      <c r="G520" s="4"/>
      <c r="H520" s="11">
        <v>70000</v>
      </c>
      <c r="I520" s="16">
        <f t="shared" si="8"/>
        <v>70000</v>
      </c>
      <c r="J520" s="17"/>
    </row>
    <row r="521" spans="1:10" s="10" customFormat="1" ht="52.5" hidden="1" customHeight="1" x14ac:dyDescent="0.2">
      <c r="A521" s="3">
        <v>7500</v>
      </c>
      <c r="B521" s="3">
        <v>160</v>
      </c>
      <c r="C521" s="3" t="s">
        <v>76</v>
      </c>
      <c r="D521" s="3" t="s">
        <v>285</v>
      </c>
      <c r="E521" s="1" t="s">
        <v>286</v>
      </c>
      <c r="F521" s="3">
        <v>1</v>
      </c>
      <c r="G521" s="4"/>
      <c r="H521" s="11">
        <v>35000</v>
      </c>
      <c r="I521" s="16">
        <f t="shared" si="8"/>
        <v>35000</v>
      </c>
      <c r="J521" s="17"/>
    </row>
    <row r="522" spans="1:10" s="10" customFormat="1" ht="52.5" hidden="1" customHeight="1" x14ac:dyDescent="0.2">
      <c r="A522" s="3">
        <v>7500</v>
      </c>
      <c r="B522" s="3">
        <v>210</v>
      </c>
      <c r="C522" s="3" t="s">
        <v>76</v>
      </c>
      <c r="D522" s="3" t="s">
        <v>285</v>
      </c>
      <c r="E522" s="19" t="s">
        <v>59</v>
      </c>
      <c r="F522" s="3"/>
      <c r="G522" s="4"/>
      <c r="H522" s="4">
        <f>SUM(105000*0.1082)</f>
        <v>11361</v>
      </c>
      <c r="I522" s="16">
        <f t="shared" si="8"/>
        <v>11361</v>
      </c>
      <c r="J522" s="17"/>
    </row>
    <row r="523" spans="1:10" s="10" customFormat="1" ht="52.5" hidden="1" customHeight="1" x14ac:dyDescent="0.2">
      <c r="A523" s="3">
        <v>7500</v>
      </c>
      <c r="B523" s="3">
        <v>220</v>
      </c>
      <c r="C523" s="3" t="s">
        <v>76</v>
      </c>
      <c r="D523" s="3" t="s">
        <v>285</v>
      </c>
      <c r="E523" s="1" t="s">
        <v>60</v>
      </c>
      <c r="F523" s="3"/>
      <c r="G523" s="4"/>
      <c r="H523" s="4">
        <f>SUM(105000*0.0765)</f>
        <v>8032.5</v>
      </c>
      <c r="I523" s="16">
        <f t="shared" si="8"/>
        <v>8032.5</v>
      </c>
      <c r="J523" s="17"/>
    </row>
    <row r="524" spans="1:10" s="10" customFormat="1" ht="52.5" hidden="1" customHeight="1" x14ac:dyDescent="0.2">
      <c r="A524" s="3">
        <v>7500</v>
      </c>
      <c r="B524" s="3">
        <v>230</v>
      </c>
      <c r="C524" s="3" t="s">
        <v>76</v>
      </c>
      <c r="D524" s="3" t="s">
        <v>285</v>
      </c>
      <c r="E524" s="1" t="s">
        <v>121</v>
      </c>
      <c r="F524" s="3"/>
      <c r="G524" s="4"/>
      <c r="H524" s="4">
        <f>SUM(9289*3)</f>
        <v>27867</v>
      </c>
      <c r="I524" s="16">
        <f t="shared" si="8"/>
        <v>27867</v>
      </c>
      <c r="J524" s="17"/>
    </row>
    <row r="525" spans="1:10" s="10" customFormat="1" ht="52.5" hidden="1" customHeight="1" x14ac:dyDescent="0.2">
      <c r="A525" s="3">
        <v>7500</v>
      </c>
      <c r="B525" s="3">
        <v>231</v>
      </c>
      <c r="C525" s="3" t="s">
        <v>76</v>
      </c>
      <c r="D525" s="3" t="s">
        <v>285</v>
      </c>
      <c r="E525" s="1" t="s">
        <v>25</v>
      </c>
      <c r="F525" s="3"/>
      <c r="G525" s="4"/>
      <c r="H525" s="4">
        <f>SUM(105000*0.0706%)</f>
        <v>74.13</v>
      </c>
      <c r="I525" s="16">
        <f t="shared" si="8"/>
        <v>74.13</v>
      </c>
      <c r="J525" s="17"/>
    </row>
    <row r="526" spans="1:10" s="10" customFormat="1" ht="52.5" hidden="1" customHeight="1" x14ac:dyDescent="0.2">
      <c r="A526" s="3">
        <v>7500</v>
      </c>
      <c r="B526" s="3">
        <v>240</v>
      </c>
      <c r="C526" s="3" t="s">
        <v>76</v>
      </c>
      <c r="D526" s="3" t="s">
        <v>285</v>
      </c>
      <c r="E526" s="1" t="s">
        <v>61</v>
      </c>
      <c r="F526" s="3"/>
      <c r="G526" s="4"/>
      <c r="H526" s="4">
        <f>SUM(105000*0.35%)</f>
        <v>367.49999999999994</v>
      </c>
      <c r="I526" s="16">
        <f t="shared" si="8"/>
        <v>367.49999999999994</v>
      </c>
      <c r="J526" s="17"/>
    </row>
    <row r="527" spans="1:10" s="10" customFormat="1" ht="52.5" hidden="1" customHeight="1" x14ac:dyDescent="0.2">
      <c r="A527" s="3">
        <v>7500</v>
      </c>
      <c r="B527" s="3">
        <v>250</v>
      </c>
      <c r="C527" s="3" t="s">
        <v>76</v>
      </c>
      <c r="D527" s="3" t="s">
        <v>285</v>
      </c>
      <c r="E527" s="1" t="s">
        <v>62</v>
      </c>
      <c r="F527" s="3"/>
      <c r="G527" s="4"/>
      <c r="H527" s="4">
        <f>SUM(10500*0.013%)</f>
        <v>1.365</v>
      </c>
      <c r="I527" s="16">
        <f t="shared" si="8"/>
        <v>1.365</v>
      </c>
      <c r="J527" s="17"/>
    </row>
    <row r="528" spans="1:10" s="10" customFormat="1" ht="52.5" hidden="1" customHeight="1" x14ac:dyDescent="0.2">
      <c r="A528" s="3">
        <v>7500</v>
      </c>
      <c r="B528" s="3">
        <v>290</v>
      </c>
      <c r="C528" s="3" t="s">
        <v>76</v>
      </c>
      <c r="D528" s="3" t="s">
        <v>285</v>
      </c>
      <c r="E528" s="1" t="s">
        <v>63</v>
      </c>
      <c r="F528" s="3"/>
      <c r="G528" s="4"/>
      <c r="H528" s="4">
        <f>SUM(105000*2.412%)</f>
        <v>2532.6</v>
      </c>
      <c r="I528" s="16">
        <f t="shared" si="8"/>
        <v>2532.6</v>
      </c>
      <c r="J528" s="17"/>
    </row>
    <row r="529" spans="1:10" s="10" customFormat="1" ht="52.5" hidden="1" customHeight="1" x14ac:dyDescent="0.2">
      <c r="A529" s="3">
        <v>7500</v>
      </c>
      <c r="B529" s="3">
        <v>110</v>
      </c>
      <c r="C529" s="3" t="s">
        <v>76</v>
      </c>
      <c r="D529" s="3" t="s">
        <v>285</v>
      </c>
      <c r="E529" s="1" t="s">
        <v>288</v>
      </c>
      <c r="F529" s="3">
        <v>1</v>
      </c>
      <c r="G529" s="4"/>
      <c r="H529" s="11">
        <v>70000</v>
      </c>
      <c r="I529" s="16">
        <f t="shared" si="8"/>
        <v>70000</v>
      </c>
      <c r="J529" s="17"/>
    </row>
    <row r="530" spans="1:10" s="10" customFormat="1" ht="52.5" hidden="1" customHeight="1" x14ac:dyDescent="0.2">
      <c r="A530" s="3">
        <v>7500</v>
      </c>
      <c r="B530" s="3">
        <v>110</v>
      </c>
      <c r="C530" s="3" t="s">
        <v>76</v>
      </c>
      <c r="D530" s="3" t="s">
        <v>285</v>
      </c>
      <c r="E530" s="1" t="s">
        <v>289</v>
      </c>
      <c r="F530" s="3">
        <v>1</v>
      </c>
      <c r="G530" s="4"/>
      <c r="H530" s="11">
        <v>120000</v>
      </c>
      <c r="I530" s="16">
        <f t="shared" si="8"/>
        <v>120000</v>
      </c>
      <c r="J530" s="17"/>
    </row>
    <row r="531" spans="1:10" s="10" customFormat="1" ht="52.5" hidden="1" customHeight="1" x14ac:dyDescent="0.2">
      <c r="A531" s="3">
        <v>7500</v>
      </c>
      <c r="B531" s="3">
        <v>110</v>
      </c>
      <c r="C531" s="3" t="s">
        <v>76</v>
      </c>
      <c r="D531" s="3" t="s">
        <v>285</v>
      </c>
      <c r="E531" s="1" t="s">
        <v>313</v>
      </c>
      <c r="F531" s="3">
        <v>1</v>
      </c>
      <c r="G531" s="4"/>
      <c r="H531" s="11">
        <v>206000</v>
      </c>
      <c r="I531" s="16">
        <f t="shared" si="8"/>
        <v>206000</v>
      </c>
      <c r="J531" s="17"/>
    </row>
    <row r="532" spans="1:10" s="10" customFormat="1" ht="52.5" hidden="1" customHeight="1" x14ac:dyDescent="0.2">
      <c r="A532" s="3">
        <v>7500</v>
      </c>
      <c r="B532" s="3">
        <v>210</v>
      </c>
      <c r="C532" s="3" t="s">
        <v>76</v>
      </c>
      <c r="D532" s="3" t="s">
        <v>285</v>
      </c>
      <c r="E532" s="19" t="s">
        <v>59</v>
      </c>
      <c r="F532" s="3"/>
      <c r="G532" s="4"/>
      <c r="H532" s="4">
        <f>SUM(396000*0.1082)</f>
        <v>42847.200000000004</v>
      </c>
      <c r="I532" s="16">
        <f t="shared" si="8"/>
        <v>42847.200000000004</v>
      </c>
      <c r="J532" s="17"/>
    </row>
    <row r="533" spans="1:10" s="10" customFormat="1" ht="52.5" hidden="1" customHeight="1" x14ac:dyDescent="0.2">
      <c r="A533" s="3">
        <v>7500</v>
      </c>
      <c r="B533" s="3">
        <v>220</v>
      </c>
      <c r="C533" s="3" t="s">
        <v>76</v>
      </c>
      <c r="D533" s="3" t="s">
        <v>285</v>
      </c>
      <c r="E533" s="1" t="s">
        <v>60</v>
      </c>
      <c r="F533" s="3"/>
      <c r="G533" s="4"/>
      <c r="H533" s="4">
        <f>SUM(396000*0.0765)</f>
        <v>30294</v>
      </c>
      <c r="I533" s="16">
        <f t="shared" si="8"/>
        <v>30294</v>
      </c>
      <c r="J533" s="17"/>
    </row>
    <row r="534" spans="1:10" s="10" customFormat="1" ht="52.5" hidden="1" customHeight="1" x14ac:dyDescent="0.2">
      <c r="A534" s="3">
        <v>7500</v>
      </c>
      <c r="B534" s="3">
        <v>230</v>
      </c>
      <c r="C534" s="3" t="s">
        <v>76</v>
      </c>
      <c r="D534" s="3" t="s">
        <v>285</v>
      </c>
      <c r="E534" s="1" t="s">
        <v>121</v>
      </c>
      <c r="F534" s="3"/>
      <c r="G534" s="4"/>
      <c r="H534" s="4">
        <f>SUM(9289*5*2)</f>
        <v>92890</v>
      </c>
      <c r="I534" s="16">
        <f t="shared" si="8"/>
        <v>92890</v>
      </c>
      <c r="J534" s="17"/>
    </row>
    <row r="535" spans="1:10" s="10" customFormat="1" ht="52.5" hidden="1" customHeight="1" x14ac:dyDescent="0.2">
      <c r="A535" s="3">
        <v>7500</v>
      </c>
      <c r="B535" s="3">
        <v>231</v>
      </c>
      <c r="C535" s="3" t="s">
        <v>76</v>
      </c>
      <c r="D535" s="3" t="s">
        <v>285</v>
      </c>
      <c r="E535" s="1" t="s">
        <v>25</v>
      </c>
      <c r="F535" s="3"/>
      <c r="G535" s="4"/>
      <c r="H535" s="4">
        <f>SUM(396000*0.0706%)</f>
        <v>279.57599999999996</v>
      </c>
      <c r="I535" s="16">
        <f t="shared" si="8"/>
        <v>279.57599999999996</v>
      </c>
      <c r="J535" s="17"/>
    </row>
    <row r="536" spans="1:10" s="10" customFormat="1" ht="52.5" hidden="1" customHeight="1" x14ac:dyDescent="0.2">
      <c r="A536" s="3">
        <v>7500</v>
      </c>
      <c r="B536" s="3">
        <v>240</v>
      </c>
      <c r="C536" s="3" t="s">
        <v>76</v>
      </c>
      <c r="D536" s="3" t="s">
        <v>285</v>
      </c>
      <c r="E536" s="1" t="s">
        <v>61</v>
      </c>
      <c r="F536" s="3"/>
      <c r="G536" s="4"/>
      <c r="H536" s="4">
        <f>SUM(396000*0.35%)</f>
        <v>1385.9999999999998</v>
      </c>
      <c r="I536" s="16">
        <f t="shared" si="8"/>
        <v>1385.9999999999998</v>
      </c>
      <c r="J536" s="17"/>
    </row>
    <row r="537" spans="1:10" s="10" customFormat="1" ht="52.5" hidden="1" customHeight="1" x14ac:dyDescent="0.2">
      <c r="A537" s="3">
        <v>7500</v>
      </c>
      <c r="B537" s="3">
        <v>250</v>
      </c>
      <c r="C537" s="3" t="s">
        <v>76</v>
      </c>
      <c r="D537" s="3" t="s">
        <v>285</v>
      </c>
      <c r="E537" s="1" t="s">
        <v>62</v>
      </c>
      <c r="F537" s="3"/>
      <c r="G537" s="4"/>
      <c r="H537" s="4">
        <f>SUM(39600*0.013%)</f>
        <v>5.1479999999999997</v>
      </c>
      <c r="I537" s="16">
        <f t="shared" si="8"/>
        <v>5.1479999999999997</v>
      </c>
      <c r="J537" s="17"/>
    </row>
    <row r="538" spans="1:10" s="10" customFormat="1" ht="52.5" hidden="1" customHeight="1" x14ac:dyDescent="0.2">
      <c r="A538" s="3">
        <v>7500</v>
      </c>
      <c r="B538" s="3">
        <v>290</v>
      </c>
      <c r="C538" s="3" t="s">
        <v>76</v>
      </c>
      <c r="D538" s="3" t="s">
        <v>285</v>
      </c>
      <c r="E538" s="1" t="s">
        <v>63</v>
      </c>
      <c r="F538" s="3"/>
      <c r="G538" s="4"/>
      <c r="H538" s="4">
        <f>SUM(396000*2.412%)</f>
        <v>9551.52</v>
      </c>
      <c r="I538" s="16">
        <f t="shared" si="8"/>
        <v>9551.52</v>
      </c>
    </row>
    <row r="539" spans="1:10" s="10" customFormat="1" ht="52.5" hidden="1" customHeight="1" x14ac:dyDescent="0.2">
      <c r="A539" s="3">
        <v>7500</v>
      </c>
      <c r="B539" s="3">
        <v>160</v>
      </c>
      <c r="C539" s="3" t="s">
        <v>76</v>
      </c>
      <c r="D539" s="3" t="s">
        <v>285</v>
      </c>
      <c r="E539" s="1" t="s">
        <v>306</v>
      </c>
      <c r="F539" s="3">
        <v>1</v>
      </c>
      <c r="G539" s="4"/>
      <c r="H539" s="11">
        <v>72000</v>
      </c>
      <c r="I539" s="16">
        <f t="shared" si="8"/>
        <v>72000</v>
      </c>
    </row>
    <row r="540" spans="1:10" s="10" customFormat="1" ht="52.5" hidden="1" customHeight="1" x14ac:dyDescent="0.2">
      <c r="A540" s="3">
        <v>7500</v>
      </c>
      <c r="B540" s="3">
        <v>210</v>
      </c>
      <c r="C540" s="3" t="s">
        <v>76</v>
      </c>
      <c r="D540" s="3" t="s">
        <v>285</v>
      </c>
      <c r="E540" s="19" t="s">
        <v>59</v>
      </c>
      <c r="F540" s="3"/>
      <c r="G540" s="4"/>
      <c r="H540" s="4">
        <f>SUM(105000*0.1082)</f>
        <v>11361</v>
      </c>
      <c r="I540" s="16">
        <f t="shared" si="8"/>
        <v>11361</v>
      </c>
    </row>
    <row r="541" spans="1:10" s="10" customFormat="1" ht="52.5" hidden="1" customHeight="1" x14ac:dyDescent="0.2">
      <c r="A541" s="3">
        <v>7500</v>
      </c>
      <c r="B541" s="3">
        <v>220</v>
      </c>
      <c r="C541" s="3" t="s">
        <v>76</v>
      </c>
      <c r="D541" s="3" t="s">
        <v>285</v>
      </c>
      <c r="E541" s="1" t="s">
        <v>60</v>
      </c>
      <c r="F541" s="3"/>
      <c r="G541" s="4"/>
      <c r="H541" s="4">
        <f>SUM(105000*0.0765)</f>
        <v>8032.5</v>
      </c>
      <c r="I541" s="16">
        <f t="shared" si="8"/>
        <v>8032.5</v>
      </c>
    </row>
    <row r="542" spans="1:10" s="10" customFormat="1" ht="52.5" hidden="1" customHeight="1" x14ac:dyDescent="0.2">
      <c r="A542" s="3">
        <v>7500</v>
      </c>
      <c r="B542" s="3">
        <v>230</v>
      </c>
      <c r="C542" s="3" t="s">
        <v>76</v>
      </c>
      <c r="D542" s="3" t="s">
        <v>285</v>
      </c>
      <c r="E542" s="1" t="s">
        <v>121</v>
      </c>
      <c r="F542" s="3"/>
      <c r="G542" s="4"/>
      <c r="H542" s="4">
        <f>SUM(9289*2)</f>
        <v>18578</v>
      </c>
      <c r="I542" s="16">
        <f t="shared" si="8"/>
        <v>18578</v>
      </c>
    </row>
    <row r="543" spans="1:10" s="10" customFormat="1" ht="52.5" hidden="1" customHeight="1" x14ac:dyDescent="0.2">
      <c r="A543" s="3">
        <v>7500</v>
      </c>
      <c r="B543" s="3">
        <v>231</v>
      </c>
      <c r="C543" s="3" t="s">
        <v>76</v>
      </c>
      <c r="D543" s="3" t="s">
        <v>285</v>
      </c>
      <c r="E543" s="1" t="s">
        <v>25</v>
      </c>
      <c r="F543" s="3"/>
      <c r="G543" s="4"/>
      <c r="H543" s="4">
        <f>SUM(105000*0.0706%)</f>
        <v>74.13</v>
      </c>
      <c r="I543" s="16">
        <f t="shared" si="8"/>
        <v>74.13</v>
      </c>
    </row>
    <row r="544" spans="1:10" s="10" customFormat="1" ht="52.5" hidden="1" customHeight="1" x14ac:dyDescent="0.2">
      <c r="A544" s="3">
        <v>7500</v>
      </c>
      <c r="B544" s="3">
        <v>240</v>
      </c>
      <c r="C544" s="3" t="s">
        <v>76</v>
      </c>
      <c r="D544" s="3" t="s">
        <v>285</v>
      </c>
      <c r="E544" s="1" t="s">
        <v>61</v>
      </c>
      <c r="F544" s="3"/>
      <c r="G544" s="4"/>
      <c r="H544" s="4">
        <f>SUM(105000*0.35%)</f>
        <v>367.49999999999994</v>
      </c>
      <c r="I544" s="16">
        <f t="shared" si="8"/>
        <v>367.49999999999994</v>
      </c>
    </row>
    <row r="545" spans="1:18" ht="52.5" hidden="1" customHeight="1" x14ac:dyDescent="0.2">
      <c r="A545" s="3">
        <v>7500</v>
      </c>
      <c r="B545" s="3">
        <v>250</v>
      </c>
      <c r="C545" s="3" t="s">
        <v>76</v>
      </c>
      <c r="D545" s="3" t="s">
        <v>285</v>
      </c>
      <c r="E545" s="1" t="s">
        <v>62</v>
      </c>
      <c r="F545" s="3"/>
      <c r="H545" s="4">
        <f>SUM(10500*0.013%)</f>
        <v>1.365</v>
      </c>
      <c r="I545" s="16">
        <f t="shared" si="8"/>
        <v>1.365</v>
      </c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52.5" hidden="1" customHeight="1" x14ac:dyDescent="0.2">
      <c r="A546" s="3">
        <v>7500</v>
      </c>
      <c r="B546" s="3">
        <v>290</v>
      </c>
      <c r="C546" s="3" t="s">
        <v>76</v>
      </c>
      <c r="D546" s="3" t="s">
        <v>285</v>
      </c>
      <c r="E546" s="1" t="s">
        <v>63</v>
      </c>
      <c r="F546" s="3"/>
      <c r="H546" s="4">
        <v>2532.4899999999998</v>
      </c>
      <c r="I546" s="16">
        <f t="shared" si="8"/>
        <v>2532.4899999999998</v>
      </c>
      <c r="J546" s="10"/>
      <c r="K546" s="17"/>
      <c r="L546" s="30">
        <v>0.2</v>
      </c>
      <c r="M546" s="30">
        <v>0.8</v>
      </c>
      <c r="N546" s="10"/>
      <c r="O546" s="10"/>
      <c r="P546" s="10"/>
      <c r="Q546" s="10"/>
      <c r="R546" s="10"/>
    </row>
    <row r="547" spans="1:18" ht="52.5" hidden="1" customHeight="1" x14ac:dyDescent="0.2">
      <c r="A547" s="3" t="s">
        <v>304</v>
      </c>
      <c r="B547" s="3">
        <v>394</v>
      </c>
      <c r="C547" s="28" t="s">
        <v>298</v>
      </c>
      <c r="D547" s="3" t="s">
        <v>298</v>
      </c>
      <c r="E547" s="1" t="s">
        <v>305</v>
      </c>
      <c r="F547" s="3"/>
      <c r="G547" s="4">
        <v>7994819.5199999996</v>
      </c>
      <c r="H547" s="31">
        <v>31979278.07</v>
      </c>
      <c r="I547" s="16">
        <f t="shared" si="8"/>
        <v>39974097.590000004</v>
      </c>
      <c r="J547" s="10"/>
      <c r="K547" s="32" t="s">
        <v>29</v>
      </c>
      <c r="L547" s="33">
        <v>97294639.480000004</v>
      </c>
      <c r="M547" s="33">
        <v>389178557.93000001</v>
      </c>
      <c r="N547" s="17">
        <f>SUM(L547:M547)</f>
        <v>486473197.41000003</v>
      </c>
      <c r="O547" s="10"/>
      <c r="P547" s="10"/>
      <c r="Q547" s="10"/>
      <c r="R547" s="10"/>
    </row>
    <row r="548" spans="1:18" ht="52.5" hidden="1" customHeight="1" x14ac:dyDescent="0.2">
      <c r="A548" s="3">
        <v>7200</v>
      </c>
      <c r="B548" s="3">
        <v>793</v>
      </c>
      <c r="C548" s="3" t="s">
        <v>94</v>
      </c>
      <c r="D548" s="3" t="s">
        <v>285</v>
      </c>
      <c r="E548" s="1" t="s">
        <v>331</v>
      </c>
      <c r="F548" s="3"/>
      <c r="G548" s="4">
        <v>4762141</v>
      </c>
      <c r="H548" s="4">
        <v>16870233</v>
      </c>
      <c r="I548" s="16">
        <f t="shared" si="8"/>
        <v>21632374</v>
      </c>
      <c r="J548" s="10"/>
      <c r="K548" s="32" t="s">
        <v>30</v>
      </c>
      <c r="L548" s="33">
        <v>7994819.5199999996</v>
      </c>
      <c r="M548" s="33">
        <v>31979278.07</v>
      </c>
      <c r="N548" s="17">
        <f>SUM(L548:M548)</f>
        <v>39974097.590000004</v>
      </c>
      <c r="O548" s="10"/>
      <c r="P548" s="10"/>
      <c r="Q548" s="10"/>
      <c r="R548" s="10"/>
    </row>
    <row r="549" spans="1:18" ht="52.5" hidden="1" customHeight="1" x14ac:dyDescent="0.35">
      <c r="A549" s="61" t="s">
        <v>5</v>
      </c>
      <c r="B549" s="61"/>
      <c r="C549" s="61"/>
      <c r="D549" s="61"/>
      <c r="E549" s="61"/>
      <c r="F549" s="61"/>
      <c r="G549" s="4">
        <f>SUM(G10:G548)</f>
        <v>129188670.91224</v>
      </c>
      <c r="H549" s="11">
        <f>SUM(H10:H548)</f>
        <v>420830989.089728</v>
      </c>
      <c r="I549" s="16">
        <f>SUM(G549:H549)</f>
        <v>550019660.00196803</v>
      </c>
      <c r="J549" s="10"/>
      <c r="K549" s="32" t="s">
        <v>32</v>
      </c>
      <c r="L549" s="34">
        <v>5013784</v>
      </c>
      <c r="M549" s="35">
        <f>SUM(N549-L549)</f>
        <v>18558581</v>
      </c>
      <c r="N549" s="34">
        <v>23572365</v>
      </c>
      <c r="O549" s="10"/>
      <c r="P549" s="17">
        <f>SUM(N552-I549)</f>
        <v>-1.9680261611938477E-3</v>
      </c>
      <c r="Q549" s="10"/>
      <c r="R549" s="10"/>
    </row>
    <row r="550" spans="1:18" ht="52.5" hidden="1" customHeight="1" x14ac:dyDescent="0.35">
      <c r="J550" s="10"/>
      <c r="K550" s="32" t="s">
        <v>31</v>
      </c>
      <c r="L550" s="36">
        <f>SUM(L547:L549)</f>
        <v>110303243</v>
      </c>
      <c r="M550" s="36">
        <f>SUM(M547:M549)</f>
        <v>439716417</v>
      </c>
      <c r="N550" s="36">
        <f>SUM(L550:M550)</f>
        <v>550019660</v>
      </c>
      <c r="O550" s="10"/>
      <c r="P550" s="10"/>
      <c r="Q550" s="10"/>
      <c r="R550" s="10"/>
    </row>
    <row r="551" spans="1:18" ht="52.5" hidden="1" customHeight="1" x14ac:dyDescent="0.2">
      <c r="A551" s="62" t="s">
        <v>14</v>
      </c>
      <c r="B551" s="62"/>
      <c r="C551" s="62"/>
      <c r="J551" s="10"/>
      <c r="K551" s="10"/>
      <c r="L551" s="10"/>
      <c r="M551" s="10"/>
      <c r="N551" s="33"/>
      <c r="O551" s="10"/>
      <c r="P551" s="10"/>
      <c r="Q551" s="10"/>
      <c r="R551" s="10"/>
    </row>
    <row r="552" spans="1:18" ht="52.5" hidden="1" customHeight="1" x14ac:dyDescent="0.2">
      <c r="A552" s="37"/>
      <c r="B552" s="37"/>
      <c r="C552" s="38" t="s">
        <v>7</v>
      </c>
      <c r="D552" s="56" t="s">
        <v>6</v>
      </c>
      <c r="E552" s="56"/>
      <c r="F552" s="37"/>
      <c r="G552" s="39"/>
      <c r="J552" s="10"/>
      <c r="K552" s="10"/>
      <c r="L552" s="17">
        <f>SUM(N550*0.2)</f>
        <v>110003932</v>
      </c>
      <c r="M552" s="17">
        <f>SUM(N550*0.8)</f>
        <v>440015728</v>
      </c>
      <c r="N552" s="17">
        <f>SUM(L552:M552)</f>
        <v>550019660</v>
      </c>
      <c r="O552" s="10"/>
      <c r="P552" s="10"/>
      <c r="Q552" s="10"/>
      <c r="R552" s="10"/>
    </row>
    <row r="554" spans="1:18" ht="52.5" customHeight="1" x14ac:dyDescent="0.2">
      <c r="A554" s="55" t="s">
        <v>11</v>
      </c>
      <c r="B554" s="55"/>
      <c r="C554" s="55"/>
      <c r="D554" s="55"/>
      <c r="E554" s="55"/>
      <c r="F554" s="55"/>
      <c r="G554" s="55"/>
    </row>
    <row r="555" spans="1:18" ht="52.5" customHeight="1" x14ac:dyDescent="0.2">
      <c r="I555" s="11"/>
    </row>
  </sheetData>
  <autoFilter ref="A9:N552" xr:uid="{00000000-0009-0000-0000-000000000000}">
    <filterColumn colId="3">
      <filters>
        <filter val="1"/>
      </filters>
    </filterColumn>
  </autoFilter>
  <mergeCells count="9">
    <mergeCell ref="A554:G554"/>
    <mergeCell ref="D552:E552"/>
    <mergeCell ref="A1:D2"/>
    <mergeCell ref="H1:I3"/>
    <mergeCell ref="A3:D4"/>
    <mergeCell ref="A549:F549"/>
    <mergeCell ref="A551:C551"/>
    <mergeCell ref="A7:I7"/>
    <mergeCell ref="A6:I6"/>
  </mergeCells>
  <pageMargins left="0.7" right="0.7" top="0.75" bottom="0.75" header="0.3" footer="0.3"/>
  <pageSetup scale="3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D9630B-119C-40F2-A3DA-70F1F5262772}">
  <ds:schemaRefs>
    <ds:schemaRef ds:uri="http://schemas.openxmlformats.org/package/2006/metadata/core-properties"/>
    <ds:schemaRef ds:uri="http://purl.org/dc/dcmitype/"/>
    <ds:schemaRef ds:uri="6175c4d1-a53c-410c-92b6-74bcb683b4aa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f373230-e173-4e6a-8f42-59bce9da1dd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Amount_for_20__allocation_____110_303_243</vt:lpstr>
      <vt:lpstr>Amount_for_80__allocation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2022-02-09T16:21:27Z</cp:lastPrinted>
  <dcterms:created xsi:type="dcterms:W3CDTF">2021-06-09T18:28:06Z</dcterms:created>
  <dcterms:modified xsi:type="dcterms:W3CDTF">2022-04-11T17:53:12Z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