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1DDDB871-61EC-4A40-A5CA-27CEA37FDB9C}" xr6:coauthVersionLast="47" xr6:coauthVersionMax="47" xr10:uidLastSave="{00000000-0000-0000-0000-000000000000}"/>
  <bookViews>
    <workbookView xWindow="0" yWindow="500" windowWidth="23040" windowHeight="9300" xr2:uid="{00000000-000D-0000-FFFF-FFFF00000000}"/>
  </bookViews>
  <sheets>
    <sheet name="130-22A175" sheetId="1" r:id="rId1"/>
  </sheets>
  <definedNames>
    <definedName name="_xlnm._FilterDatabase" localSheetId="0" hidden="1">'130-22A175'!$A$9:$J$417</definedName>
    <definedName name="Account_Title">'130-22A175'!$E$9</definedName>
    <definedName name="Activity_Number">'130-22A175'!$D$9</definedName>
    <definedName name="Amount_for_1_3_allocation">'130-22A175'!$H$9</definedName>
    <definedName name="Amount_for_2_3_allocation">'130-22A175'!$G$9</definedName>
    <definedName name="FTE__Position">'130-22A175'!$F$9</definedName>
    <definedName name="Function">'130-22A175'!$A$9</definedName>
    <definedName name="Object">'130-22A175'!$B$9</definedName>
    <definedName name="_xlnm.Print_Titles" localSheetId="0">'130-22A175'!$9:$9</definedName>
    <definedName name="Total_allocation">'130-22A175'!$I$9</definedName>
    <definedName name="Use_of__Funds_Number">'130-22A175'!$C$9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2" i="1" l="1"/>
  <c r="H22" i="1" s="1"/>
  <c r="G21" i="1"/>
  <c r="H21" i="1" s="1"/>
  <c r="G20" i="1"/>
  <c r="H20" i="1" s="1"/>
  <c r="G19" i="1"/>
  <c r="H19" i="1" s="1"/>
  <c r="G15" i="1"/>
  <c r="H15" i="1" s="1"/>
  <c r="G353" i="1"/>
  <c r="H353" i="1"/>
  <c r="G137" i="1"/>
  <c r="H137" i="1" s="1"/>
  <c r="G136" i="1"/>
  <c r="H136" i="1" s="1"/>
  <c r="G135" i="1"/>
  <c r="H135" i="1" s="1"/>
  <c r="G134" i="1"/>
  <c r="H134" i="1" s="1"/>
  <c r="G133" i="1"/>
  <c r="H133" i="1" s="1"/>
  <c r="G132" i="1"/>
  <c r="H132" i="1" s="1"/>
  <c r="G16" i="1"/>
  <c r="H16" i="1"/>
  <c r="G17" i="1"/>
  <c r="H17" i="1"/>
  <c r="G404" i="1"/>
  <c r="H404" i="1" s="1"/>
  <c r="G246" i="1" l="1"/>
  <c r="H246" i="1" s="1"/>
  <c r="I246" i="1" l="1"/>
  <c r="G188" i="1" l="1"/>
  <c r="H188" i="1" s="1"/>
  <c r="G187" i="1"/>
  <c r="H187" i="1" s="1"/>
  <c r="G186" i="1"/>
  <c r="H186" i="1" s="1"/>
  <c r="G185" i="1"/>
  <c r="H185" i="1" s="1"/>
  <c r="G347" i="1" l="1"/>
  <c r="H347" i="1" s="1"/>
  <c r="I347" i="1" s="1"/>
  <c r="G352" i="1"/>
  <c r="H352" i="1" s="1"/>
  <c r="G350" i="1"/>
  <c r="H350" i="1" s="1"/>
  <c r="G349" i="1"/>
  <c r="H349" i="1" s="1"/>
  <c r="G348" i="1"/>
  <c r="H348" i="1" s="1"/>
  <c r="G351" i="1"/>
  <c r="H351" i="1" s="1"/>
  <c r="G411" i="1"/>
  <c r="H411" i="1" s="1"/>
  <c r="I411" i="1" s="1"/>
  <c r="G410" i="1"/>
  <c r="H410" i="1" s="1"/>
  <c r="I410" i="1" s="1"/>
  <c r="G409" i="1"/>
  <c r="H409" i="1" s="1"/>
  <c r="I409" i="1" s="1"/>
  <c r="G408" i="1"/>
  <c r="H408" i="1" s="1"/>
  <c r="G407" i="1"/>
  <c r="H407" i="1" s="1"/>
  <c r="I407" i="1" s="1"/>
  <c r="G405" i="1"/>
  <c r="H405" i="1" s="1"/>
  <c r="G406" i="1"/>
  <c r="H406" i="1" s="1"/>
  <c r="G413" i="1"/>
  <c r="H413" i="1" s="1"/>
  <c r="I413" i="1" s="1"/>
  <c r="G412" i="1"/>
  <c r="H412" i="1" s="1"/>
  <c r="G202" i="1"/>
  <c r="H202" i="1" s="1"/>
  <c r="I202" i="1" s="1"/>
  <c r="G198" i="1"/>
  <c r="H198" i="1" s="1"/>
  <c r="G199" i="1"/>
  <c r="I201" i="1"/>
  <c r="I200" i="1"/>
  <c r="G197" i="1"/>
  <c r="I197" i="1" s="1"/>
  <c r="G138" i="1"/>
  <c r="G319" i="1"/>
  <c r="H319" i="1" s="1"/>
  <c r="I319" i="1" s="1"/>
  <c r="G318" i="1"/>
  <c r="H318" i="1" s="1"/>
  <c r="I318" i="1" s="1"/>
  <c r="G317" i="1"/>
  <c r="H317" i="1" s="1"/>
  <c r="I317" i="1" s="1"/>
  <c r="G316" i="1"/>
  <c r="H316" i="1" s="1"/>
  <c r="I316" i="1" s="1"/>
  <c r="G324" i="1"/>
  <c r="H324" i="1" s="1"/>
  <c r="I324" i="1" s="1"/>
  <c r="G323" i="1"/>
  <c r="H323" i="1" s="1"/>
  <c r="G322" i="1"/>
  <c r="H322" i="1" s="1"/>
  <c r="G321" i="1"/>
  <c r="H321" i="1" s="1"/>
  <c r="G320" i="1"/>
  <c r="H320" i="1" s="1"/>
  <c r="G388" i="1"/>
  <c r="H388" i="1" s="1"/>
  <c r="I388" i="1" s="1"/>
  <c r="G387" i="1"/>
  <c r="H387" i="1" s="1"/>
  <c r="I387" i="1" s="1"/>
  <c r="G386" i="1"/>
  <c r="H386" i="1" s="1"/>
  <c r="I386" i="1" s="1"/>
  <c r="G385" i="1"/>
  <c r="H385" i="1" s="1"/>
  <c r="I385" i="1" s="1"/>
  <c r="G384" i="1"/>
  <c r="H384" i="1" s="1"/>
  <c r="I384" i="1" s="1"/>
  <c r="G380" i="1"/>
  <c r="H380" i="1" s="1"/>
  <c r="G383" i="1"/>
  <c r="H383" i="1" s="1"/>
  <c r="G381" i="1"/>
  <c r="H381" i="1" s="1"/>
  <c r="G382" i="1"/>
  <c r="H382" i="1" s="1"/>
  <c r="I406" i="1" l="1"/>
  <c r="I408" i="1"/>
  <c r="I405" i="1"/>
  <c r="H199" i="1"/>
  <c r="I199" i="1" s="1"/>
  <c r="I412" i="1"/>
  <c r="I198" i="1"/>
  <c r="I185" i="1" l="1"/>
  <c r="I188" i="1"/>
  <c r="I186" i="1"/>
  <c r="I187" i="1" l="1"/>
  <c r="G261" i="1"/>
  <c r="H261" i="1" s="1"/>
  <c r="I261" i="1" s="1"/>
  <c r="G268" i="1"/>
  <c r="H268" i="1" s="1"/>
  <c r="I268" i="1" s="1"/>
  <c r="G267" i="1"/>
  <c r="H267" i="1" s="1"/>
  <c r="G266" i="1"/>
  <c r="H266" i="1" s="1"/>
  <c r="I266" i="1" s="1"/>
  <c r="G265" i="1"/>
  <c r="H265" i="1" s="1"/>
  <c r="G264" i="1"/>
  <c r="H264" i="1" s="1"/>
  <c r="I264" i="1" s="1"/>
  <c r="G263" i="1"/>
  <c r="H263" i="1" s="1"/>
  <c r="I263" i="1" s="1"/>
  <c r="G286" i="1"/>
  <c r="H286" i="1" s="1"/>
  <c r="I286" i="1" s="1"/>
  <c r="G285" i="1"/>
  <c r="G284" i="1"/>
  <c r="H284" i="1" s="1"/>
  <c r="I284" i="1" s="1"/>
  <c r="G283" i="1"/>
  <c r="H283" i="1" s="1"/>
  <c r="G282" i="1"/>
  <c r="H282" i="1" s="1"/>
  <c r="G281" i="1"/>
  <c r="H281" i="1" s="1"/>
  <c r="I281" i="1" s="1"/>
  <c r="G280" i="1"/>
  <c r="H280" i="1" s="1"/>
  <c r="I280" i="1" s="1"/>
  <c r="G279" i="1"/>
  <c r="H279" i="1" s="1"/>
  <c r="I279" i="1" s="1"/>
  <c r="G278" i="1"/>
  <c r="H278" i="1" s="1"/>
  <c r="I278" i="1" s="1"/>
  <c r="G277" i="1"/>
  <c r="H277" i="1" s="1"/>
  <c r="I277" i="1" s="1"/>
  <c r="G276" i="1"/>
  <c r="H276" i="1" s="1"/>
  <c r="I276" i="1" s="1"/>
  <c r="G275" i="1"/>
  <c r="H275" i="1" s="1"/>
  <c r="G274" i="1"/>
  <c r="H274" i="1" s="1"/>
  <c r="I274" i="1" s="1"/>
  <c r="G273" i="1"/>
  <c r="H273" i="1" s="1"/>
  <c r="I273" i="1" s="1"/>
  <c r="G272" i="1"/>
  <c r="H272" i="1" s="1"/>
  <c r="I272" i="1" s="1"/>
  <c r="G271" i="1"/>
  <c r="H271" i="1" s="1"/>
  <c r="I271" i="1" s="1"/>
  <c r="G270" i="1"/>
  <c r="H270" i="1" s="1"/>
  <c r="I270" i="1" s="1"/>
  <c r="G269" i="1"/>
  <c r="H269" i="1" s="1"/>
  <c r="I269" i="1" s="1"/>
  <c r="G262" i="1"/>
  <c r="I267" i="1" l="1"/>
  <c r="I265" i="1"/>
  <c r="H262" i="1"/>
  <c r="I262" i="1" s="1"/>
  <c r="I282" i="1"/>
  <c r="H285" i="1"/>
  <c r="I285" i="1" s="1"/>
  <c r="I283" i="1"/>
  <c r="I275" i="1"/>
  <c r="G260" i="1"/>
  <c r="G259" i="1"/>
  <c r="G258" i="1"/>
  <c r="H258" i="1" s="1"/>
  <c r="I258" i="1" s="1"/>
  <c r="G290" i="1"/>
  <c r="H290" i="1" s="1"/>
  <c r="G289" i="1"/>
  <c r="H289" i="1" s="1"/>
  <c r="G288" i="1"/>
  <c r="H288" i="1" s="1"/>
  <c r="G287" i="1"/>
  <c r="H287" i="1" s="1"/>
  <c r="G295" i="1"/>
  <c r="H295" i="1" s="1"/>
  <c r="G361" i="1"/>
  <c r="H361" i="1" s="1"/>
  <c r="G360" i="1"/>
  <c r="G359" i="1"/>
  <c r="H359" i="1" s="1"/>
  <c r="G358" i="1"/>
  <c r="H358" i="1" s="1"/>
  <c r="G357" i="1"/>
  <c r="H357" i="1" s="1"/>
  <c r="H360" i="1"/>
  <c r="G184" i="1"/>
  <c r="H184" i="1" s="1"/>
  <c r="G183" i="1"/>
  <c r="H183" i="1" s="1"/>
  <c r="G182" i="1"/>
  <c r="H182" i="1" s="1"/>
  <c r="G181" i="1"/>
  <c r="H181" i="1" s="1"/>
  <c r="G180" i="1"/>
  <c r="H180" i="1" s="1"/>
  <c r="G179" i="1"/>
  <c r="H179" i="1" s="1"/>
  <c r="G178" i="1"/>
  <c r="H178" i="1" s="1"/>
  <c r="H260" i="1" l="1"/>
  <c r="I260" i="1" s="1"/>
  <c r="H259" i="1"/>
  <c r="I259" i="1" s="1"/>
  <c r="G362" i="1"/>
  <c r="H362" i="1" s="1"/>
  <c r="G366" i="1"/>
  <c r="H366" i="1" s="1"/>
  <c r="G365" i="1"/>
  <c r="H365" i="1" s="1"/>
  <c r="G364" i="1"/>
  <c r="H364" i="1" s="1"/>
  <c r="G363" i="1"/>
  <c r="H363" i="1" s="1"/>
  <c r="G379" i="1"/>
  <c r="H379" i="1" s="1"/>
  <c r="I379" i="1" s="1"/>
  <c r="G378" i="1"/>
  <c r="H378" i="1" s="1"/>
  <c r="I378" i="1" s="1"/>
  <c r="G377" i="1"/>
  <c r="H377" i="1" s="1"/>
  <c r="I377" i="1" s="1"/>
  <c r="G376" i="1"/>
  <c r="H376" i="1" s="1"/>
  <c r="I376" i="1" s="1"/>
  <c r="G375" i="1"/>
  <c r="H375" i="1" s="1"/>
  <c r="I375" i="1" s="1"/>
  <c r="G374" i="1"/>
  <c r="H374" i="1" s="1"/>
  <c r="I374" i="1" s="1"/>
  <c r="G373" i="1"/>
  <c r="H373" i="1" s="1"/>
  <c r="I373" i="1" s="1"/>
  <c r="G372" i="1"/>
  <c r="H372" i="1" s="1"/>
  <c r="G371" i="1"/>
  <c r="H371" i="1" s="1"/>
  <c r="G370" i="1"/>
  <c r="H370" i="1" s="1"/>
  <c r="I370" i="1" s="1"/>
  <c r="G369" i="1"/>
  <c r="H369" i="1" s="1"/>
  <c r="I369" i="1" s="1"/>
  <c r="G368" i="1"/>
  <c r="G367" i="1"/>
  <c r="H367" i="1" s="1"/>
  <c r="I367" i="1" s="1"/>
  <c r="I184" i="1"/>
  <c r="I183" i="1"/>
  <c r="I182" i="1"/>
  <c r="I181" i="1"/>
  <c r="I180" i="1"/>
  <c r="I179" i="1"/>
  <c r="I178" i="1"/>
  <c r="I322" i="1"/>
  <c r="I320" i="1"/>
  <c r="I383" i="1"/>
  <c r="I382" i="1"/>
  <c r="I381" i="1"/>
  <c r="I380" i="1"/>
  <c r="G336" i="1"/>
  <c r="G335" i="1"/>
  <c r="G334" i="1"/>
  <c r="G333" i="1"/>
  <c r="H333" i="1" s="1"/>
  <c r="I333" i="1" s="1"/>
  <c r="G332" i="1"/>
  <c r="H332" i="1" s="1"/>
  <c r="I332" i="1" s="1"/>
  <c r="G331" i="1"/>
  <c r="H331" i="1" s="1"/>
  <c r="I331" i="1" s="1"/>
  <c r="G330" i="1"/>
  <c r="H330" i="1" s="1"/>
  <c r="I330" i="1" s="1"/>
  <c r="G329" i="1"/>
  <c r="H329" i="1" s="1"/>
  <c r="I329" i="1" s="1"/>
  <c r="G328" i="1"/>
  <c r="H328" i="1" s="1"/>
  <c r="I328" i="1" s="1"/>
  <c r="G327" i="1"/>
  <c r="H327" i="1" s="1"/>
  <c r="I327" i="1" s="1"/>
  <c r="G326" i="1"/>
  <c r="H326" i="1" s="1"/>
  <c r="G325" i="1"/>
  <c r="H325" i="1" s="1"/>
  <c r="I325" i="1" s="1"/>
  <c r="H336" i="1"/>
  <c r="I336" i="1" s="1"/>
  <c r="H335" i="1"/>
  <c r="I335" i="1" s="1"/>
  <c r="H334" i="1"/>
  <c r="I334" i="1" s="1"/>
  <c r="H368" i="1" l="1"/>
  <c r="I368" i="1" s="1"/>
  <c r="I371" i="1"/>
  <c r="I372" i="1"/>
  <c r="I323" i="1"/>
  <c r="I321" i="1"/>
  <c r="I326" i="1"/>
  <c r="G346" i="1"/>
  <c r="H346" i="1" s="1"/>
  <c r="G345" i="1"/>
  <c r="H345" i="1" s="1"/>
  <c r="I345" i="1" s="1"/>
  <c r="G250" i="1"/>
  <c r="H250" i="1" s="1"/>
  <c r="G251" i="1"/>
  <c r="H251" i="1" s="1"/>
  <c r="G249" i="1"/>
  <c r="H249" i="1" s="1"/>
  <c r="I249" i="1" s="1"/>
  <c r="G248" i="1"/>
  <c r="H248" i="1" s="1"/>
  <c r="I248" i="1" s="1"/>
  <c r="G244" i="1"/>
  <c r="H244" i="1" s="1"/>
  <c r="I244" i="1" s="1"/>
  <c r="G247" i="1"/>
  <c r="H247" i="1" s="1"/>
  <c r="I247" i="1" s="1"/>
  <c r="G195" i="1"/>
  <c r="H195" i="1" s="1"/>
  <c r="I195" i="1" s="1"/>
  <c r="G189" i="1"/>
  <c r="H189" i="1" s="1"/>
  <c r="G196" i="1"/>
  <c r="H196" i="1" s="1"/>
  <c r="G194" i="1"/>
  <c r="H194" i="1" s="1"/>
  <c r="G193" i="1"/>
  <c r="H193" i="1" s="1"/>
  <c r="G192" i="1"/>
  <c r="H192" i="1" s="1"/>
  <c r="G191" i="1"/>
  <c r="H191" i="1" s="1"/>
  <c r="G190" i="1"/>
  <c r="H190" i="1" s="1"/>
  <c r="G245" i="1"/>
  <c r="H245" i="1" s="1"/>
  <c r="I245" i="1" s="1"/>
  <c r="I250" i="1" l="1"/>
  <c r="I251" i="1"/>
  <c r="G356" i="1"/>
  <c r="H356" i="1" s="1"/>
  <c r="I356" i="1" s="1"/>
  <c r="G14" i="1" l="1"/>
  <c r="H14" i="1" s="1"/>
  <c r="I14" i="1" s="1"/>
  <c r="G13" i="1"/>
  <c r="H13" i="1" s="1"/>
  <c r="I13" i="1" s="1"/>
  <c r="G12" i="1"/>
  <c r="H12" i="1" s="1"/>
  <c r="G11" i="1"/>
  <c r="H11" i="1" s="1"/>
  <c r="G10" i="1"/>
  <c r="G344" i="1"/>
  <c r="H344" i="1" s="1"/>
  <c r="I344" i="1" s="1"/>
  <c r="G343" i="1"/>
  <c r="H343" i="1" s="1"/>
  <c r="G342" i="1"/>
  <c r="H342" i="1" s="1"/>
  <c r="I342" i="1" s="1"/>
  <c r="G341" i="1"/>
  <c r="H341" i="1" s="1"/>
  <c r="I341" i="1" s="1"/>
  <c r="G340" i="1"/>
  <c r="H340" i="1" s="1"/>
  <c r="G339" i="1"/>
  <c r="H339" i="1" s="1"/>
  <c r="G338" i="1"/>
  <c r="H338" i="1" s="1"/>
  <c r="I338" i="1" s="1"/>
  <c r="G337" i="1"/>
  <c r="H337" i="1" s="1"/>
  <c r="I337" i="1" s="1"/>
  <c r="G293" i="1"/>
  <c r="H293" i="1" s="1"/>
  <c r="G49" i="1"/>
  <c r="H49" i="1" s="1"/>
  <c r="G48" i="1"/>
  <c r="H48" i="1" s="1"/>
  <c r="G47" i="1"/>
  <c r="H47" i="1" s="1"/>
  <c r="G46" i="1"/>
  <c r="H46" i="1" s="1"/>
  <c r="G45" i="1"/>
  <c r="H45" i="1" s="1"/>
  <c r="G44" i="1"/>
  <c r="H44" i="1" s="1"/>
  <c r="G43" i="1"/>
  <c r="H43" i="1" s="1"/>
  <c r="G42" i="1"/>
  <c r="H42" i="1" s="1"/>
  <c r="G41" i="1"/>
  <c r="H41" i="1" s="1"/>
  <c r="G40" i="1"/>
  <c r="H40" i="1" s="1"/>
  <c r="G39" i="1"/>
  <c r="H39" i="1" s="1"/>
  <c r="G38" i="1"/>
  <c r="H38" i="1" s="1"/>
  <c r="G37" i="1"/>
  <c r="H37" i="1" s="1"/>
  <c r="G36" i="1"/>
  <c r="H36" i="1" s="1"/>
  <c r="G35" i="1"/>
  <c r="H35" i="1" s="1"/>
  <c r="G34" i="1"/>
  <c r="H34" i="1" s="1"/>
  <c r="G33" i="1"/>
  <c r="H33" i="1" s="1"/>
  <c r="G32" i="1"/>
  <c r="H32" i="1" s="1"/>
  <c r="G31" i="1"/>
  <c r="H31" i="1" s="1"/>
  <c r="G30" i="1"/>
  <c r="H30" i="1" s="1"/>
  <c r="G29" i="1"/>
  <c r="H29" i="1" s="1"/>
  <c r="G28" i="1"/>
  <c r="H28" i="1" s="1"/>
  <c r="G27" i="1"/>
  <c r="H27" i="1" s="1"/>
  <c r="G26" i="1"/>
  <c r="H26" i="1" s="1"/>
  <c r="G25" i="1"/>
  <c r="H25" i="1" s="1"/>
  <c r="G24" i="1"/>
  <c r="H24" i="1" s="1"/>
  <c r="G23" i="1"/>
  <c r="H23" i="1" s="1"/>
  <c r="G18" i="1"/>
  <c r="H18" i="1" s="1"/>
  <c r="G400" i="1"/>
  <c r="H400" i="1" s="1"/>
  <c r="H10" i="1" l="1"/>
  <c r="I11" i="1"/>
  <c r="I12" i="1"/>
  <c r="I343" i="1"/>
  <c r="I340" i="1"/>
  <c r="I339" i="1"/>
  <c r="G401" i="1"/>
  <c r="H401" i="1" s="1"/>
  <c r="G403" i="1"/>
  <c r="H403" i="1" s="1"/>
  <c r="I10" i="1" l="1"/>
  <c r="G399" i="1"/>
  <c r="H399" i="1" s="1"/>
  <c r="I399" i="1" s="1"/>
  <c r="G398" i="1"/>
  <c r="H398" i="1" s="1"/>
  <c r="I398" i="1" s="1"/>
  <c r="G397" i="1"/>
  <c r="H397" i="1" s="1"/>
  <c r="I397" i="1" s="1"/>
  <c r="G396" i="1"/>
  <c r="H396" i="1" s="1"/>
  <c r="G394" i="1"/>
  <c r="H394" i="1" s="1"/>
  <c r="I394" i="1" s="1"/>
  <c r="G392" i="1"/>
  <c r="H392" i="1" s="1"/>
  <c r="I392" i="1" s="1"/>
  <c r="G391" i="1"/>
  <c r="H391" i="1" s="1"/>
  <c r="G390" i="1"/>
  <c r="H390" i="1" s="1"/>
  <c r="G402" i="1"/>
  <c r="H402" i="1" s="1"/>
  <c r="I401" i="1"/>
  <c r="I403" i="1"/>
  <c r="I400" i="1"/>
  <c r="G395" i="1"/>
  <c r="G389" i="1"/>
  <c r="H389" i="1" s="1"/>
  <c r="I389" i="1" s="1"/>
  <c r="G393" i="1"/>
  <c r="H393" i="1" s="1"/>
  <c r="I391" i="1" l="1"/>
  <c r="I396" i="1"/>
  <c r="I390" i="1"/>
  <c r="I402" i="1"/>
  <c r="I393" i="1"/>
  <c r="H395" i="1"/>
  <c r="I395" i="1" s="1"/>
  <c r="I365" i="1"/>
  <c r="I364" i="1"/>
  <c r="G252" i="1"/>
  <c r="H252" i="1" s="1"/>
  <c r="I252" i="1" s="1"/>
  <c r="G291" i="1"/>
  <c r="I290" i="1"/>
  <c r="I289" i="1"/>
  <c r="I288" i="1"/>
  <c r="I287" i="1"/>
  <c r="I295" i="1"/>
  <c r="G243" i="1"/>
  <c r="H243" i="1" l="1"/>
  <c r="I243" i="1" s="1"/>
  <c r="H291" i="1"/>
  <c r="I291" i="1" s="1"/>
  <c r="I363" i="1"/>
  <c r="I366" i="1"/>
  <c r="G242" i="1"/>
  <c r="H242" i="1"/>
  <c r="G229" i="1"/>
  <c r="G228" i="1"/>
  <c r="G227" i="1"/>
  <c r="G226" i="1"/>
  <c r="I354" i="1" l="1"/>
  <c r="G355" i="1"/>
  <c r="H355" i="1" s="1"/>
  <c r="I196" i="1" l="1"/>
  <c r="I190" i="1"/>
  <c r="I189" i="1"/>
  <c r="G125" i="1"/>
  <c r="H125" i="1" s="1"/>
  <c r="G124" i="1"/>
  <c r="H124" i="1" s="1"/>
  <c r="G123" i="1"/>
  <c r="H123" i="1" s="1"/>
  <c r="G122" i="1"/>
  <c r="H122" i="1" s="1"/>
  <c r="I122" i="1" s="1"/>
  <c r="G121" i="1"/>
  <c r="H121" i="1" s="1"/>
  <c r="I292" i="1"/>
  <c r="I293" i="1"/>
  <c r="G315" i="1"/>
  <c r="H315" i="1" s="1"/>
  <c r="I315" i="1" s="1"/>
  <c r="G314" i="1"/>
  <c r="H314" i="1" s="1"/>
  <c r="G313" i="1"/>
  <c r="H313" i="1" s="1"/>
  <c r="I313" i="1" s="1"/>
  <c r="G312" i="1"/>
  <c r="H312" i="1" s="1"/>
  <c r="G310" i="1"/>
  <c r="H310" i="1" s="1"/>
  <c r="I310" i="1" s="1"/>
  <c r="G311" i="1"/>
  <c r="I193" i="1" l="1"/>
  <c r="I194" i="1"/>
  <c r="I192" i="1"/>
  <c r="I191" i="1"/>
  <c r="I121" i="1"/>
  <c r="I125" i="1"/>
  <c r="I124" i="1"/>
  <c r="I123" i="1"/>
  <c r="H311" i="1"/>
  <c r="I311" i="1" s="1"/>
  <c r="I314" i="1"/>
  <c r="I312"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37" i="1"/>
  <c r="I136" i="1"/>
  <c r="I135" i="1"/>
  <c r="I134" i="1"/>
  <c r="I133" i="1"/>
  <c r="I132" i="1"/>
  <c r="I242" i="1" l="1"/>
  <c r="I256" i="1"/>
  <c r="I255" i="1"/>
  <c r="I254" i="1"/>
  <c r="I253" i="1"/>
  <c r="G240" i="1"/>
  <c r="G239" i="1"/>
  <c r="G238" i="1"/>
  <c r="G236" i="1"/>
  <c r="I230" i="1"/>
  <c r="G233" i="1"/>
  <c r="I233" i="1" s="1"/>
  <c r="G232" i="1"/>
  <c r="I232" i="1" s="1"/>
  <c r="G231" i="1"/>
  <c r="I231" i="1" s="1"/>
  <c r="I229" i="1"/>
  <c r="I228" i="1"/>
  <c r="I227" i="1"/>
  <c r="I226" i="1"/>
  <c r="G203" i="1"/>
  <c r="H297" i="1"/>
  <c r="I352" i="1" l="1"/>
  <c r="I351" i="1"/>
  <c r="I350" i="1"/>
  <c r="I349" i="1"/>
  <c r="I348" i="1"/>
  <c r="I173" i="1"/>
  <c r="I172" i="1"/>
  <c r="I171" i="1"/>
  <c r="I170" i="1"/>
  <c r="I169" i="1"/>
  <c r="I167" i="1"/>
  <c r="I166" i="1"/>
  <c r="I165" i="1"/>
  <c r="I164" i="1"/>
  <c r="I163" i="1"/>
  <c r="I162" i="1"/>
  <c r="I161" i="1"/>
  <c r="I160" i="1"/>
  <c r="I159" i="1"/>
  <c r="I158" i="1"/>
  <c r="I157" i="1"/>
  <c r="I156" i="1"/>
  <c r="I168" i="1"/>
  <c r="I155" i="1"/>
  <c r="I154" i="1"/>
  <c r="I153" i="1"/>
  <c r="I152" i="1"/>
  <c r="I151" i="1"/>
  <c r="I150" i="1"/>
  <c r="I149" i="1"/>
  <c r="I148" i="1"/>
  <c r="I147" i="1"/>
  <c r="I146" i="1"/>
  <c r="I145" i="1"/>
  <c r="I142" i="1" l="1"/>
  <c r="I141" i="1"/>
  <c r="I140" i="1"/>
  <c r="I139" i="1"/>
  <c r="I138" i="1"/>
  <c r="I144" i="1"/>
  <c r="I143" i="1"/>
  <c r="I177" i="1"/>
  <c r="I176" i="1"/>
  <c r="H174" i="1"/>
  <c r="G174" i="1"/>
  <c r="H175" i="1"/>
  <c r="G175" i="1"/>
  <c r="I109" i="1"/>
  <c r="I108" i="1"/>
  <c r="I107" i="1"/>
  <c r="I106" i="1"/>
  <c r="I104" i="1"/>
  <c r="I103" i="1"/>
  <c r="I102" i="1"/>
  <c r="I101" i="1"/>
  <c r="I99" i="1"/>
  <c r="I98" i="1"/>
  <c r="I97" i="1"/>
  <c r="I96" i="1"/>
  <c r="H95" i="1"/>
  <c r="I94" i="1"/>
  <c r="I93" i="1"/>
  <c r="I92" i="1"/>
  <c r="I91" i="1"/>
  <c r="H257" i="1"/>
  <c r="G257" i="1"/>
  <c r="I89" i="1"/>
  <c r="I88" i="1"/>
  <c r="I87" i="1"/>
  <c r="I86" i="1"/>
  <c r="I85" i="1"/>
  <c r="I83" i="1"/>
  <c r="I82" i="1"/>
  <c r="I81" i="1"/>
  <c r="I80" i="1"/>
  <c r="I79" i="1"/>
  <c r="I77" i="1"/>
  <c r="I76" i="1"/>
  <c r="I75" i="1"/>
  <c r="I74" i="1"/>
  <c r="I73" i="1"/>
  <c r="H120" i="1"/>
  <c r="G120" i="1"/>
  <c r="H119" i="1"/>
  <c r="G119" i="1"/>
  <c r="H118" i="1"/>
  <c r="G118" i="1"/>
  <c r="H117" i="1"/>
  <c r="G117" i="1"/>
  <c r="H115" i="1"/>
  <c r="G115" i="1"/>
  <c r="H105" i="1"/>
  <c r="G105" i="1"/>
  <c r="H100" i="1"/>
  <c r="G100" i="1"/>
  <c r="G95" i="1"/>
  <c r="H90" i="1"/>
  <c r="G90" i="1"/>
  <c r="I111" i="1"/>
  <c r="I110" i="1"/>
  <c r="H84" i="1"/>
  <c r="G84" i="1"/>
  <c r="I114" i="1"/>
  <c r="I113" i="1"/>
  <c r="I112" i="1"/>
  <c r="H78" i="1"/>
  <c r="G78" i="1"/>
  <c r="H72" i="1"/>
  <c r="G72" i="1"/>
  <c r="I174" i="1" l="1"/>
  <c r="I78" i="1"/>
  <c r="I100" i="1"/>
  <c r="I115" i="1"/>
  <c r="I119" i="1"/>
  <c r="I118" i="1"/>
  <c r="I120" i="1"/>
  <c r="I90" i="1"/>
  <c r="I175" i="1"/>
  <c r="I72" i="1"/>
  <c r="I84" i="1"/>
  <c r="I95" i="1"/>
  <c r="I116" i="1"/>
  <c r="I105" i="1"/>
  <c r="I404" i="1" l="1"/>
  <c r="I361" i="1"/>
  <c r="I360" i="1"/>
  <c r="I359" i="1"/>
  <c r="I358" i="1"/>
  <c r="I357" i="1"/>
  <c r="I257" i="1"/>
  <c r="I355" i="1"/>
  <c r="I362" i="1"/>
  <c r="I241" i="1"/>
  <c r="I240" i="1"/>
  <c r="I239" i="1"/>
  <c r="I238" i="1"/>
  <c r="I237" i="1"/>
  <c r="I236" i="1"/>
  <c r="I235" i="1"/>
  <c r="I234" i="1"/>
  <c r="I353" i="1" l="1"/>
  <c r="H127" i="1"/>
  <c r="G127" i="1"/>
  <c r="G225" i="1" l="1"/>
  <c r="G224" i="1"/>
  <c r="G223" i="1"/>
  <c r="G222" i="1"/>
  <c r="G208" i="1"/>
  <c r="I208" i="1" s="1"/>
  <c r="G207" i="1"/>
  <c r="I207" i="1" s="1"/>
  <c r="G206" i="1"/>
  <c r="I206" i="1" s="1"/>
  <c r="G205" i="1"/>
  <c r="I205" i="1" s="1"/>
  <c r="G204" i="1"/>
  <c r="I203" i="1"/>
  <c r="G214" i="1"/>
  <c r="I214" i="1" s="1"/>
  <c r="G213" i="1"/>
  <c r="I213" i="1" s="1"/>
  <c r="G212" i="1"/>
  <c r="I212" i="1" s="1"/>
  <c r="G211" i="1"/>
  <c r="I211" i="1" s="1"/>
  <c r="G210" i="1"/>
  <c r="I210" i="1" s="1"/>
  <c r="G209" i="1"/>
  <c r="G220" i="1"/>
  <c r="G219" i="1"/>
  <c r="G218" i="1"/>
  <c r="G217" i="1"/>
  <c r="G216" i="1"/>
  <c r="G215" i="1"/>
  <c r="I204" i="1" l="1"/>
  <c r="H294" i="1"/>
  <c r="G294" i="1"/>
  <c r="I70" i="1" l="1"/>
  <c r="I69" i="1"/>
  <c r="I68" i="1"/>
  <c r="I67" i="1"/>
  <c r="I66" i="1"/>
  <c r="I65" i="1"/>
  <c r="I64" i="1" l="1"/>
  <c r="I63" i="1"/>
  <c r="I62" i="1"/>
  <c r="I61" i="1"/>
  <c r="I60" i="1"/>
  <c r="I59" i="1"/>
  <c r="I58" i="1"/>
  <c r="I57" i="1"/>
  <c r="I56" i="1"/>
  <c r="I55" i="1"/>
  <c r="I54" i="1"/>
  <c r="I53" i="1"/>
  <c r="I52" i="1"/>
  <c r="I51" i="1"/>
  <c r="I50" i="1" l="1"/>
  <c r="H309" i="1"/>
  <c r="G309" i="1"/>
  <c r="H308" i="1"/>
  <c r="G308" i="1"/>
  <c r="H307" i="1"/>
  <c r="G307" i="1"/>
  <c r="H306" i="1"/>
  <c r="G306" i="1"/>
  <c r="H305" i="1"/>
  <c r="G305" i="1"/>
  <c r="G414" i="1" s="1"/>
  <c r="I303" i="1" l="1"/>
  <c r="I302" i="1"/>
  <c r="I301" i="1"/>
  <c r="I300" i="1"/>
  <c r="I299" i="1"/>
  <c r="H296" i="1"/>
  <c r="H414" i="1" s="1"/>
  <c r="I225" i="1"/>
  <c r="I224" i="1"/>
  <c r="I223" i="1"/>
  <c r="I222" i="1"/>
  <c r="I221" i="1"/>
  <c r="I220" i="1"/>
  <c r="I219" i="1"/>
  <c r="I218" i="1"/>
  <c r="I217" i="1"/>
  <c r="I216" i="1"/>
  <c r="I215" i="1"/>
  <c r="I209" i="1"/>
  <c r="I346" i="1"/>
  <c r="I126" i="1"/>
  <c r="I117" i="1"/>
  <c r="I131" i="1"/>
  <c r="I130" i="1"/>
  <c r="I129" i="1"/>
  <c r="I128" i="1"/>
  <c r="I127" i="1"/>
  <c r="I71" i="1"/>
  <c r="I294" i="1"/>
  <c r="I309" i="1"/>
  <c r="I308" i="1"/>
  <c r="I307" i="1"/>
  <c r="I306" i="1"/>
  <c r="I305" i="1"/>
  <c r="I297" i="1"/>
  <c r="I298" i="1"/>
  <c r="I296" i="1" l="1"/>
  <c r="I304" i="1"/>
  <c r="I414" i="1" l="1"/>
</calcChain>
</file>

<file path=xl/sharedStrings.xml><?xml version="1.0" encoding="utf-8"?>
<sst xmlns="http://schemas.openxmlformats.org/spreadsheetml/2006/main" count="901" uniqueCount="241">
  <si>
    <t>Function</t>
  </si>
  <si>
    <t>Object</t>
  </si>
  <si>
    <t xml:space="preserve">Account Title </t>
  </si>
  <si>
    <t>FLORIDA DEPARTMENT OF EDUCATION</t>
  </si>
  <si>
    <t>FTE 
Position</t>
  </si>
  <si>
    <t xml:space="preserve">TOTAL </t>
  </si>
  <si>
    <t>Richard Corcoran, Commissioner</t>
  </si>
  <si>
    <t xml:space="preserve">Use of 
Funds
Number**  </t>
  </si>
  <si>
    <t>Activity
Number**</t>
  </si>
  <si>
    <t>**Use of Funds Number and Activity Number should align with the activities reported in the LEA ARP Plan, Application and Assurances.</t>
  </si>
  <si>
    <t xml:space="preserve">Amount for 1/3 allocation </t>
  </si>
  <si>
    <t xml:space="preserve">Amount for 2/3 allocation </t>
  </si>
  <si>
    <t xml:space="preserve">Total allocation </t>
  </si>
  <si>
    <t>ARP ESSER BUDGET NARRATIVE FORM</t>
  </si>
  <si>
    <t>ARP ESSER Lump Sum DOE 101</t>
  </si>
  <si>
    <t>Retirement @11.89%</t>
  </si>
  <si>
    <t>FICA @ 6.20%</t>
  </si>
  <si>
    <t>Medicare @ 1.45%</t>
  </si>
  <si>
    <t>Health Insurance  @ $10,417</t>
  </si>
  <si>
    <t>PGM</t>
  </si>
  <si>
    <t>Workers Comp @ 2.63%</t>
  </si>
  <si>
    <t>Hourly counselors at every traditional  school for 2 years @ approximately $34.60 per hr</t>
  </si>
  <si>
    <t>Hourly Site Coordinators, Hourly Activity Leaders  for After School Enrichment Programs at school sites @ approximately $25 per hr</t>
  </si>
  <si>
    <t>License Fees for software - Afterschool Enrichment Program</t>
  </si>
  <si>
    <t>Transportation for Afterschool Enrichment Program</t>
  </si>
  <si>
    <t>Contracted services for Afterschool Enrichment Program</t>
  </si>
  <si>
    <t>Supplies - SEL Curriculum for Afterschool Enrichment Program</t>
  </si>
  <si>
    <t>Hourly Principal Mentors</t>
  </si>
  <si>
    <t>Teacher Salary- Extra Period Supplement for Eight Period day for K-8, Middle and High Schools for two years to offer additional credits and academic recovery opportunities to students</t>
  </si>
  <si>
    <t>Contracted Services with Teach for America, Inc. (TFA) for school year 21-22 and annual renewals for 22-23 and 23-24 school years. TFA will assist the District by recruiting and training qualified teachers from an ethnically and racially diverse corps of highly sought- after college graduates and experienced professionals with record of achievement. Contract for a cost of $369,000 per year for 3 yrs. The project fee is based on a cost of $3,400 per teacher, per year.</t>
  </si>
  <si>
    <t xml:space="preserve">Salary for Sr. Curriculum Support Specialist  to support the CHESS2THINK Program. 30 % of 1 position @ an average salary of $91,699 for school years 21-22 and 22-23. </t>
  </si>
  <si>
    <t xml:space="preserve">Salary for Sr. Computer Operator to support the CHESS2THINK Program. 30 % of 1 position @ an average salary of $44,902 for school years 21-22 and 22-23. </t>
  </si>
  <si>
    <t xml:space="preserve">Salary for Sr. CAP Advisor  to support the CHESS2THINK Program. 30 % of 1 position @ an average salary of $50,650 for school years 21-22 and 22-23. </t>
  </si>
  <si>
    <t xml:space="preserve">Hourly Interventionist to support the CHESS2THINK Program. 1 position @ approximately $34,814 @ 30 %  per year for school years 21-22 and 22-23. </t>
  </si>
  <si>
    <t>Hourly - Chess Tournament Support Staff. 15 hourly teachers x 4 tournaments, 30% per year for school years 21-22 and 22-23</t>
  </si>
  <si>
    <t xml:space="preserve">Hourly/Overtime  custodians and police security  For 4 Chess tournaments  $12,000 @ 30 %  per year for school years 21-22 and 22-23. </t>
  </si>
  <si>
    <t>Hourly Teachers - CHESS2THINK program facilitators</t>
  </si>
  <si>
    <t xml:space="preserve">Contracted Services- 30% of $45,000 CHESS annual contract </t>
  </si>
  <si>
    <t>Supplies - CHESS supplies. 30% of total annual projected cost of $136,970</t>
  </si>
  <si>
    <t>Student Transportation - 30 % of CHESS program projected annual cost of $30,000</t>
  </si>
  <si>
    <t>Fees - Entrance fees for tournaments @ 30% of projected annual cost of $2,700</t>
  </si>
  <si>
    <t>Printing and Duplicating for CHESS program. 30% of projected annual cost of $3,0000</t>
  </si>
  <si>
    <t>Supplies - Enhanced cleaning and sanitation supplies for 3 yrs</t>
  </si>
  <si>
    <t>Hourly/Overtime custodian support for school sites</t>
  </si>
  <si>
    <t xml:space="preserve">Technology rental fees - Mastery Prep ACT Bootcamp </t>
  </si>
  <si>
    <t>Supplies - Educational Materials, ACT Non-College Reportable School Day</t>
  </si>
  <si>
    <t>Salary - ETO Instructional Supervisors</t>
  </si>
  <si>
    <t>Salary-Assistant Principals @ ETO schools to maintain continuity and support at prior year's level</t>
  </si>
  <si>
    <t>Salary - 1 ETO Administrative Director</t>
  </si>
  <si>
    <t>Supplies - Educational Transformation Office (ETO) Educational Materials and Supplies</t>
  </si>
  <si>
    <t xml:space="preserve">Contracted Services-Social Emotional Learning and Wellness programs </t>
  </si>
  <si>
    <t>Mental Health Coordinators at an approximate average salary of $55,000</t>
  </si>
  <si>
    <t>Stipends will be provided to select school-site administrators to coordinate and lead instructional rounds and be mentors to newly hired administrators.</t>
  </si>
  <si>
    <t xml:space="preserve">Stipend will be provided to an instructional leader to develop and facilitate virtual tutorial sessions for the Florida Educational Leadership Examination.                                            </t>
  </si>
  <si>
    <t>FF&amp;E</t>
  </si>
  <si>
    <t xml:space="preserve">Other Purchased Services - Provide a formalized and structured mentoring program for school site administrators aligned with the needs of M-DCPS and the Florida Principal Standards:  Program licenses for 600.00 x 50 participants.  </t>
  </si>
  <si>
    <t>Other Purchased Services - InteraWorks Education: Professional development and digital platform licenses for Principals and Assistant Principals (80 licenses) needed for increased communication to all stakeholders; digitally and systematically keeping abreast of District goals and adhering to deadlines; prioritizing and executing tasks in alignment to school needs; managing and monitoring virtual classroom instruction to increase student achievement</t>
  </si>
  <si>
    <t xml:space="preserve">Professional and Technical  Services - Cornerstone On-Demand: 24/7 professional development platform that will Increase online professional development offerings for teachers, administrators, and support personnel in lieu of face-to-face sessions.  24/7 unlimited usage for all employee groups.  Over 1000 course offerings that update every 90 days.  </t>
  </si>
  <si>
    <t>Supplies - Materials and books needed to support program implementation (chart paper, sticky notes, markers, books, writing implements, computer supplies, etc.)</t>
  </si>
  <si>
    <t>Printing and duplicating - Production of materials needed to support training (handbooks, packets, handout materials, informational materials, etc.)</t>
  </si>
  <si>
    <t>Retirement</t>
  </si>
  <si>
    <t>Social Security</t>
  </si>
  <si>
    <t>Medicare</t>
  </si>
  <si>
    <t>Workers Compensation</t>
  </si>
  <si>
    <t>Hourly Counselors at Non-ESY centers
212 Hourly Counselors supporting summer programs</t>
  </si>
  <si>
    <t>Administrators: Assistant Principals
178 Full Day AP's support summer school programs</t>
  </si>
  <si>
    <t>Professional and Technical Services - Healthcare Services (COVID Related)</t>
  </si>
  <si>
    <t>Summer Curriculum Materials</t>
  </si>
  <si>
    <t>Summer Curriculum Materials (ESY)</t>
  </si>
  <si>
    <t>Technology Related Rentals Summer Software Licenses/Subscriptions</t>
  </si>
  <si>
    <t>Counselors - 1 F/T  counselors at every traditional school</t>
  </si>
  <si>
    <t>Equipment - Mobile devices for students Approximately 156,000 devices @ an approximate cost of $644 per device</t>
  </si>
  <si>
    <t>Equipment - 360-degree cameras for classroom</t>
  </si>
  <si>
    <t>Hourly Funds for K-12 Interventionists</t>
  </si>
  <si>
    <t>Hourly - Additional  hourly personnel to focus on  CTE career pathways for at-risk-students</t>
  </si>
  <si>
    <t>Transportation - CTE Career Pathways for at-risk-students</t>
  </si>
  <si>
    <t>Administrative cost (not to exceed 5% of grant award)</t>
  </si>
  <si>
    <t>Other Purchased Services - Student Information system</t>
  </si>
  <si>
    <t>Equipment - School network infrastructure upgrade</t>
  </si>
  <si>
    <t>Equipment - Additional carrier to alternate data center (hardware and services )</t>
  </si>
  <si>
    <t>Hourly - Pre-K Paras</t>
  </si>
  <si>
    <t>Supplies</t>
  </si>
  <si>
    <t>Tech related rentals</t>
  </si>
  <si>
    <t>Teacher Salary - 57 VPK teachers @ 55 %</t>
  </si>
  <si>
    <t>Equipment - Interactive Panels</t>
  </si>
  <si>
    <t>Stipend  for teachers for professional development. PD will address new BEST standards, new Learning Managements System, social emotional learning and strategies to address learning loss and accelerate academic recovery</t>
  </si>
  <si>
    <t>Hourly funds for Teachers to assist in the creation of PD modules</t>
  </si>
  <si>
    <t>Supplies for Professional Development</t>
  </si>
  <si>
    <t>Software - Burning Glass software that links to area job market needs</t>
  </si>
  <si>
    <t>Professional services - Universal Student ID Enterprise software</t>
  </si>
  <si>
    <t>Software - GPS Turn by Turn License and Software (890 routes)</t>
  </si>
  <si>
    <t>Equipment - Universal Student ID RFID Scanners for 1100 Buses ($200/unit)</t>
  </si>
  <si>
    <t>Equipment - Universal Student ID Updated Food Service Scanners ($400/unit)</t>
  </si>
  <si>
    <t>Other Purchased services - Universal Student ID - RFID Cards ($1 per card)</t>
  </si>
  <si>
    <t>Equipment - Wi-Fi for 900 school buses</t>
  </si>
  <si>
    <t>Printing and duplicating - PD materials</t>
  </si>
  <si>
    <t>Supplies - PD Materials and Supplies</t>
  </si>
  <si>
    <t>Software - PD registration system software</t>
  </si>
  <si>
    <t>Stipend - Professional Development Summer HEAT Reimagined. Sessions designed to mitigate the loss of leaning and address the need to maintain high quality instruction</t>
  </si>
  <si>
    <t>Stipend - Reading and ESE certification institute</t>
  </si>
  <si>
    <t>Hourly Personnel to increase the number of ESE and Gifted evaluations</t>
  </si>
  <si>
    <t>Contracted Services</t>
  </si>
  <si>
    <t>Health Insurance  @ $10,417 2 positions for 3 yrs</t>
  </si>
  <si>
    <t>Teachers - Approximately 7 teachers for 3 yrs @ average salary $55,118</t>
  </si>
  <si>
    <t>Substitute- Substitute coverage for teachers doing ESOL screening</t>
  </si>
  <si>
    <t>Supplies-Instructional materials and supplies for Afterschool Enrichment Program ( includes baby formula &amp; diapers for 2 centers that have mom and baby in school)</t>
  </si>
  <si>
    <t>Stipend funds to assist with teacher coverage for high need schools</t>
  </si>
  <si>
    <t xml:space="preserve">Hourly funds to assist with teacher coverage for high need schools </t>
  </si>
  <si>
    <t>Other purchased services - New comprehensive Public Relations System that could be accessed anywhere, anytime to be able to function regardless of closures</t>
  </si>
  <si>
    <t>Charter School allocation for activity 1 @ 20% of allocation of $238,477,271. Allocation based on 20-21 Survey 3</t>
  </si>
  <si>
    <t>Charter School allocation for activity 2 @ 80% of allocation of $238,477,271. Allocation based on 20-21 Survey 3</t>
  </si>
  <si>
    <t>Salary - Audit Specialist @ approximate annual salary  $70,141 for 3 yrs</t>
  </si>
  <si>
    <t>Salary - Region Director 1 additional position at each Region for 3 yrs</t>
  </si>
  <si>
    <t>Hourly/Overtime Security Monitors - Support for After School Enrichment Program @ approximately $17hr</t>
  </si>
  <si>
    <t>Teacher Salary- ETO mitigation teachers and instructional support. Approximately 96 teachers @ an approximate average salary of $51,000 1 year</t>
  </si>
  <si>
    <t>Salary- Transformation Reading Coaches for ETO schools. 21 Reading coaches @ average salary $51,883 for 2 yrs</t>
  </si>
  <si>
    <t>Salary - Audit Department Cybersecurity Analyst. Approximate annual salary $74,670 for 3 yrs</t>
  </si>
  <si>
    <t>TAPS Number 
22A175</t>
  </si>
  <si>
    <t>Name of Eligible Recipient</t>
  </si>
  <si>
    <t xml:space="preserve">A) Miami-Dade County Public Schools
      </t>
  </si>
  <si>
    <t>Project Number</t>
  </si>
  <si>
    <t xml:space="preserve">B)
     </t>
  </si>
  <si>
    <r>
      <t>T</t>
    </r>
    <r>
      <rPr>
        <b/>
        <sz val="10"/>
        <color theme="1"/>
        <rFont val="Arial"/>
        <family val="2"/>
      </rPr>
      <t>wo (2) full-time Curriculum Support Specialists will be hired to support leaders participating in virtual Leader-2-Leader program to positively enhance instructional and operational leadership skills. Courses are inclusive of topics that address the unique needs of low-income students, student with disabilities and students experiencing homelessness. (2 CSS @ an average salary of $ 66,224 for 3 yrs)</t>
    </r>
  </si>
  <si>
    <t>Curriculum Support Specialist - After School Enrichment program coordinator. Will work closely with school sites assisting in the development and implementation of After School Enrichment program (approximately $59,144 per year for 2 yrs)</t>
  </si>
  <si>
    <t xml:space="preserve">Other Certified Personnel: ESE Certified personnel (3) Psychologist, (5) Counselor, (2) Social Workers), (5) Physical Therapist, (40) Occupational Therapist, 30 Speech Language Pathologist, (4) Physical Therapy Asst, (1) Occupational Therapy Asst., (6) Curriculum Support Specialists, (25) Program specialists. 26 Days </t>
  </si>
  <si>
    <t xml:space="preserve">Hourly Community Liaison  to support the CHESS2THINK Program.  1 position @ approximately $25,649 @ 30 % per year for school years 21-22 and 22-23. </t>
  </si>
  <si>
    <t>Equipment - Universal Student ID Printers for 335 school sites ($1000/unit)</t>
  </si>
  <si>
    <t>Professional and Technical - New communication system to ensure critical information is released to school sites and community partners in an efficient manner</t>
  </si>
  <si>
    <t xml:space="preserve">Hourly Teachers - Funds to hire hourly teachers to provide students help with at home homework through live on line sessions. Approximate hourly rate $30 </t>
  </si>
  <si>
    <t>Contracted Services - Educational Transformation Office (ETO) contracted tutoring services</t>
  </si>
  <si>
    <t>1.10</t>
  </si>
  <si>
    <t>Salary- Curriculum Support Specialists to support ETO schools - 11 @  average salary of $64,044  for 2 yrs</t>
  </si>
  <si>
    <t>2L.4</t>
  </si>
  <si>
    <t>2L</t>
  </si>
  <si>
    <t>2L.3</t>
  </si>
  <si>
    <t>Contracted services - Part-time Mental Health Professionals to directly support students in school</t>
  </si>
  <si>
    <t>Professional Development - Mental Health Awareness training for staff</t>
  </si>
  <si>
    <t>2L.2</t>
  </si>
  <si>
    <t>2L.5</t>
  </si>
  <si>
    <t>2R.1</t>
  </si>
  <si>
    <t>2S.1</t>
  </si>
  <si>
    <t>Other Purchased services - Implementation of Health Hubs at school sites.</t>
  </si>
  <si>
    <t>2Q</t>
  </si>
  <si>
    <t>2Q.1</t>
  </si>
  <si>
    <t>2K</t>
  </si>
  <si>
    <t>2K.5</t>
  </si>
  <si>
    <t>2K.4</t>
  </si>
  <si>
    <t>2K.3</t>
  </si>
  <si>
    <t>Contracted Services - IXL Learning program that will support mathematic instruction in all grade levels</t>
  </si>
  <si>
    <t xml:space="preserve">Summer  Full day &amp; Hourly Teachers, and Paraprofessionals Stipends
</t>
  </si>
  <si>
    <t>Salary - Bus drivers and Bus Aids Summer</t>
  </si>
  <si>
    <t>Summer Student Transportation - Other costs</t>
  </si>
  <si>
    <t>Recognition Artifacts. 30% of projected annual cost of $6,000</t>
  </si>
  <si>
    <t>2F</t>
  </si>
  <si>
    <t>2F.2</t>
  </si>
  <si>
    <t>2F.3</t>
  </si>
  <si>
    <t>2G.10</t>
  </si>
  <si>
    <t>2G</t>
  </si>
  <si>
    <t>Equipment - CTE Career pathways for at-risk-students. Classrooms enhancements, hardware and software.</t>
  </si>
  <si>
    <t>Equipment - Universal Student ID Large Scale RFID Scanners at school sites (Media Center/Entrances)</t>
  </si>
  <si>
    <t>2G.8</t>
  </si>
  <si>
    <t>2N</t>
  </si>
  <si>
    <t>2N.4</t>
  </si>
  <si>
    <t>2R</t>
  </si>
  <si>
    <t>2R.3</t>
  </si>
  <si>
    <t>2N.6</t>
  </si>
  <si>
    <t>2N.3</t>
  </si>
  <si>
    <t>Temporary Instructor - Substitute coverage for teachers to participate in Professional Development during the school year</t>
  </si>
  <si>
    <t>2N.5</t>
  </si>
  <si>
    <t>2G.6</t>
  </si>
  <si>
    <t>One (1) full-time District Supervisor will be hired to coordinate with district departments and local educational agencies to facilitate Scaled Leadership professional development for school leaders that will address the learning loss among students by administering high-quality assessments; implementing evidence-based instructional strategies; providing information to parents to effectively support students, including in distance learning environments</t>
  </si>
  <si>
    <t>One (1) full-time District Supervisor to support virtual professional development activities for non-instructional personnel. The professional development platform for support staff has been expanded to provide them with access to 24/7 professional growth opportunities.</t>
  </si>
  <si>
    <t>Equipment - Computers Software &amp; Peripheral Devices to support implementation of program goals for OPDE staff and school site administrators leading virtual professional development.</t>
  </si>
  <si>
    <t>Other Purchased Services - Registration fees for participation in high-quality leadership session - FIU Principal and Principal Supervisor Leadership Development Program</t>
  </si>
  <si>
    <t>Other Purchased Services - NSRF-CFG Coaches: Registration fees for participation in a professional learning community focusing on collegial dialogue.</t>
  </si>
  <si>
    <t>2H</t>
  </si>
  <si>
    <t>2H.1</t>
  </si>
  <si>
    <t>Stipend - For Virus Transmission Training for Food Service and Transportation staff @ approximately $200 daily stipend</t>
  </si>
  <si>
    <t>Stipends and supplements - PD stipends, return to work  stipend, vaccinated employees stipend, supplements for additional duties related to COVID 19, other</t>
  </si>
  <si>
    <t>Stipend - Reading Certification Stipend ($1,000 * approximately 6000 teachers)</t>
  </si>
  <si>
    <t>Teacher supplement for implementing Dual Modality ($600 for approximately 7000 teachers)</t>
  </si>
  <si>
    <t>Stipend - Schoology PD @ $300 per teacher  for approximately 13,000 teachers</t>
  </si>
  <si>
    <t>2N.2</t>
  </si>
  <si>
    <t>Hourly funds for teachers to assist in the creation of Summer HEAT PD modules</t>
  </si>
  <si>
    <t>2R.2</t>
  </si>
  <si>
    <t>Hourly funds to assist with Reading and ESE certifications</t>
  </si>
  <si>
    <t>2N.1</t>
  </si>
  <si>
    <t>2P</t>
  </si>
  <si>
    <t>2P.1</t>
  </si>
  <si>
    <t>Equipment - HVAC/ EMS/ Indoor air quality improvements/ Installation cost</t>
  </si>
  <si>
    <t>2O</t>
  </si>
  <si>
    <t>2O.1</t>
  </si>
  <si>
    <t>Repairs and Maintenance for roofing systems repairs and replacement, structural and water intrusion repairs</t>
  </si>
  <si>
    <t>Other Purchased services - Replacement of School Marquees (upgrade from manual marquees to electric / digital)</t>
  </si>
  <si>
    <t>2I</t>
  </si>
  <si>
    <t>2I.1</t>
  </si>
  <si>
    <t>2Q.2</t>
  </si>
  <si>
    <t>2G.7</t>
  </si>
  <si>
    <t>School Network infrastructure upgrade (E-Rate)</t>
  </si>
  <si>
    <t>2K.6</t>
  </si>
  <si>
    <t xml:space="preserve">Stipend - PD for teachers on Cyber Security </t>
  </si>
  <si>
    <t>2K.1</t>
  </si>
  <si>
    <t>2J</t>
  </si>
  <si>
    <t>2J.1</t>
  </si>
  <si>
    <t>Salary - Community Liaison for new online school for 3 yrs @ average salary $58,321</t>
  </si>
  <si>
    <t>Salary - Counselor for new online school for 3 yrs @ average salary $77,734</t>
  </si>
  <si>
    <t>Noncapitalized furniture, fixtures and equipment for new Pre-K classrooms</t>
  </si>
  <si>
    <t>Noncapitalized computer hardware for new Pre-K classrooms</t>
  </si>
  <si>
    <t>License fees - Online content system for newly established M-DCPS online school</t>
  </si>
  <si>
    <t>Equipment - Active Panels and printers for newly established M-DCPS online school</t>
  </si>
  <si>
    <t xml:space="preserve">Technology related supplies for newly established M-DCPS online school </t>
  </si>
  <si>
    <t>Supplies - Material and supplies for newly established M-DCPS on-line school for 3 yrs</t>
  </si>
  <si>
    <t>Hourly Teachers to support newly established M-DCPS online school</t>
  </si>
  <si>
    <t>Administrative support - Registrar for newly established M-DCPS online school (2 positions @ average salary $75,867 for 3 yrs)</t>
  </si>
  <si>
    <t>2K.2</t>
  </si>
  <si>
    <t>2G.11</t>
  </si>
  <si>
    <t>2G.9</t>
  </si>
  <si>
    <t>2F.1</t>
  </si>
  <si>
    <t>Other Purchased services - Automated customer service system</t>
  </si>
  <si>
    <t>2G.1</t>
  </si>
  <si>
    <t>2G.2</t>
  </si>
  <si>
    <t>Printing and duplicating - Emergency communications with parents and employees</t>
  </si>
  <si>
    <t>Postage - Emergency communications to parents and employees</t>
  </si>
  <si>
    <t>2G.3</t>
  </si>
  <si>
    <t>Equipment - Technology improvements for School Board communications</t>
  </si>
  <si>
    <t>2G.4</t>
  </si>
  <si>
    <t>Other purchased services - Online student registration system</t>
  </si>
  <si>
    <t>2G.5</t>
  </si>
  <si>
    <t>2S</t>
  </si>
  <si>
    <t>2S.2</t>
  </si>
  <si>
    <t>ACTIVITY 2 CHARTER</t>
  </si>
  <si>
    <t>ACTIVITY 1 CHARTER</t>
  </si>
  <si>
    <t>ELL Teachers (Non-ESY)
Approx 228 ELL Teachers Full Day. For additional learning opportunities like Winter Academy, Spring Academy and Summer</t>
  </si>
  <si>
    <t>Aides - Paraprofessionals 
Approx. 500 Paraprofessionals for supporting ESY students - For extended learning opportunities like : Winter Academy, Spring Academy and Summer</t>
  </si>
  <si>
    <t>Other Support Personnel: Security Monitors (Full Day, Hourly &amp; Overtime) For extended Learning Opportunities like: Winter Academy, Spring Academy and Summer</t>
  </si>
  <si>
    <t>Other Support Personnel: Summer - Custodians (Hourly &amp; Overtime)For extended Learning Opportunities like: Winter Academy, Spring Academy and Summer</t>
  </si>
  <si>
    <t>City Year Expansion (5 Elementary Schools) - These funds will expand academic and social emotional support to five of our most academically fragile elementary schools through the expansion of the district’s partnership with City Year, a provider of wrap-around and tutoring services.</t>
  </si>
  <si>
    <t>Teachers (Full Day/Hourly/Stipends)
Approx 2,660 Teachers Full Day/Hourly/Stipends. For additional learning opportunities including: Winter Academy, Spring Academy and Summer</t>
  </si>
  <si>
    <t>2L.1</t>
  </si>
  <si>
    <t>Salary for Academic Recovery - Math and Reading Coaches for the neediest schools. Approximately 117 coaches for 2 years</t>
  </si>
  <si>
    <t>Health Insurance  @ $10,417 for 117 positions for 2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</si>
</sst>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numFmts>
  <fonts count="12" x14ac:knownFonts="1">
    <font>
      <sz val="11"/>
      <color theme="1"/>
      <name val="Calibri"/>
      <family val="2"/>
      <scheme val="minor"/>
    </font>
    <font>
      <sz val="11"/>
      <color theme="1"/>
      <name val="Calibri"/>
      <family val="2"/>
      <scheme val="minor"/>
    </font>
    <font>
      <b/>
      <sz val="10"/>
      <name val="Arial"/>
      <family val="2"/>
    </font>
    <font>
      <sz val="11"/>
      <color theme="1"/>
      <name val="Arial"/>
      <family val="2"/>
    </font>
    <font>
      <b/>
      <sz val="11"/>
      <color theme="1"/>
      <name val="Arial"/>
      <family val="2"/>
    </font>
    <font>
      <b/>
      <sz val="18"/>
      <name val="Arial"/>
      <family val="2"/>
    </font>
    <font>
      <sz val="8"/>
      <name val="Arial"/>
      <family val="2"/>
    </font>
    <font>
      <sz val="10"/>
      <name val="Arial"/>
      <family val="2"/>
    </font>
    <font>
      <b/>
      <sz val="10"/>
      <color theme="1"/>
      <name val="Arial"/>
      <family val="2"/>
    </font>
    <font>
      <b/>
      <sz val="10"/>
      <color rgb="FF000000"/>
      <name val="Arial"/>
      <family val="2"/>
    </font>
    <font>
      <sz val="11"/>
      <color rgb="FFFF0000"/>
      <name val="Calibri"/>
      <family val="2"/>
      <scheme val="minor"/>
    </font>
    <font>
      <sz val="10"/>
      <color theme="1"/>
      <name val="Arial"/>
      <family val="2"/>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7" fillId="0" borderId="0"/>
  </cellStyleXfs>
  <cellXfs count="54">
    <xf numFmtId="0" fontId="0" fillId="0" borderId="0" xfId="0"/>
    <xf numFmtId="0" fontId="2" fillId="0" borderId="1" xfId="0" applyFont="1" applyBorder="1" applyAlignment="1">
      <alignment horizontal="center"/>
    </xf>
    <xf numFmtId="0" fontId="2" fillId="0" borderId="1" xfId="0" applyFont="1" applyBorder="1" applyAlignment="1">
      <alignment horizontal="center" wrapText="1"/>
    </xf>
    <xf numFmtId="0" fontId="0" fillId="0" borderId="0" xfId="0" applyAlignment="1"/>
    <xf numFmtId="0" fontId="6" fillId="0" borderId="0" xfId="0" applyFont="1" applyAlignment="1">
      <alignment horizontal="right"/>
    </xf>
    <xf numFmtId="0" fontId="6" fillId="0" borderId="0" xfId="0" applyFont="1" applyAlignment="1"/>
    <xf numFmtId="0" fontId="2" fillId="0" borderId="1" xfId="0" applyFont="1" applyFill="1" applyBorder="1" applyAlignment="1">
      <alignment horizontal="center" wrapText="1"/>
    </xf>
    <xf numFmtId="0" fontId="2" fillId="0" borderId="1" xfId="0" applyFont="1" applyFill="1" applyBorder="1" applyAlignment="1">
      <alignment horizontal="center"/>
    </xf>
    <xf numFmtId="3" fontId="2" fillId="0" borderId="1" xfId="0" applyNumberFormat="1" applyFont="1" applyBorder="1" applyAlignment="1">
      <alignment horizontal="center" wrapText="1"/>
    </xf>
    <xf numFmtId="3" fontId="2" fillId="0" borderId="1" xfId="0" applyNumberFormat="1" applyFont="1" applyFill="1" applyBorder="1" applyAlignment="1">
      <alignment horizontal="center" wrapText="1"/>
    </xf>
    <xf numFmtId="3" fontId="2" fillId="0" borderId="1" xfId="0" applyNumberFormat="1" applyFont="1" applyFill="1" applyBorder="1" applyAlignment="1">
      <alignment horizontal="center"/>
    </xf>
    <xf numFmtId="4" fontId="0" fillId="0" borderId="0" xfId="0" applyNumberFormat="1"/>
    <xf numFmtId="0" fontId="7" fillId="0" borderId="1" xfId="3" applyFont="1" applyBorder="1" applyAlignment="1">
      <alignment horizontal="center" vertical="top"/>
    </xf>
    <xf numFmtId="0" fontId="2" fillId="0" borderId="1" xfId="3" applyFont="1" applyBorder="1" applyAlignment="1">
      <alignment horizontal="center" vertical="top"/>
    </xf>
    <xf numFmtId="0" fontId="2" fillId="0" borderId="1" xfId="3" applyFont="1" applyBorder="1" applyAlignment="1">
      <alignment vertical="top" wrapText="1"/>
    </xf>
    <xf numFmtId="3" fontId="0" fillId="0" borderId="0" xfId="0" applyNumberFormat="1"/>
    <xf numFmtId="4" fontId="0" fillId="0" borderId="0" xfId="0" applyNumberFormat="1" applyFill="1"/>
    <xf numFmtId="0" fontId="0" fillId="0" borderId="0" xfId="0" applyAlignment="1">
      <alignment horizontal="center"/>
    </xf>
    <xf numFmtId="3" fontId="8" fillId="0" borderId="1" xfId="0" applyNumberFormat="1" applyFont="1" applyBorder="1" applyAlignment="1">
      <alignment horizontal="center" wrapText="1"/>
    </xf>
    <xf numFmtId="3" fontId="8" fillId="0" borderId="1" xfId="0" applyNumberFormat="1" applyFont="1" applyBorder="1" applyAlignment="1">
      <alignment horizontal="center" vertical="top" wrapText="1"/>
    </xf>
    <xf numFmtId="0" fontId="8" fillId="0" borderId="1" xfId="0" applyFont="1" applyBorder="1" applyAlignment="1">
      <alignment vertical="top" wrapText="1"/>
    </xf>
    <xf numFmtId="0" fontId="8" fillId="0" borderId="1" xfId="0" applyFont="1" applyFill="1" applyBorder="1" applyAlignment="1">
      <alignment vertical="top" wrapText="1"/>
    </xf>
    <xf numFmtId="0" fontId="11" fillId="0" borderId="0" xfId="0" applyFont="1"/>
    <xf numFmtId="3" fontId="0" fillId="0" borderId="0" xfId="0" applyNumberFormat="1" applyFill="1"/>
    <xf numFmtId="0" fontId="0" fillId="0" borderId="0" xfId="0" applyFill="1"/>
    <xf numFmtId="3" fontId="2" fillId="0" borderId="2" xfId="0" applyNumberFormat="1" applyFont="1" applyFill="1" applyBorder="1" applyAlignment="1">
      <alignment horizontal="center" wrapText="1"/>
    </xf>
    <xf numFmtId="3" fontId="2" fillId="0" borderId="2" xfId="0" applyNumberFormat="1" applyFont="1" applyFill="1" applyBorder="1" applyAlignment="1">
      <alignment horizontal="center"/>
    </xf>
    <xf numFmtId="44" fontId="11" fillId="0" borderId="0" xfId="0" applyNumberFormat="1" applyFont="1" applyFill="1" applyBorder="1"/>
    <xf numFmtId="0" fontId="8" fillId="0" borderId="1" xfId="0" applyFont="1" applyBorder="1"/>
    <xf numFmtId="0" fontId="8" fillId="0" borderId="1" xfId="0" applyFont="1" applyFill="1" applyBorder="1"/>
    <xf numFmtId="49" fontId="2" fillId="0" borderId="1" xfId="0" applyNumberFormat="1" applyFont="1" applyBorder="1" applyAlignment="1">
      <alignment horizontal="center" wrapText="1"/>
    </xf>
    <xf numFmtId="0" fontId="2" fillId="0" borderId="1" xfId="0" applyFont="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vertical="top"/>
    </xf>
    <xf numFmtId="43" fontId="2" fillId="0" borderId="1" xfId="3" applyNumberFormat="1" applyFont="1" applyBorder="1" applyAlignment="1">
      <alignment vertical="top"/>
    </xf>
    <xf numFmtId="3" fontId="2" fillId="0" borderId="1" xfId="2" applyNumberFormat="1" applyFont="1" applyBorder="1" applyAlignment="1">
      <alignment horizontal="center" wrapText="1"/>
    </xf>
    <xf numFmtId="3" fontId="2" fillId="0" borderId="1" xfId="2" applyNumberFormat="1" applyFont="1" applyBorder="1" applyAlignment="1">
      <alignment horizontal="center" vertical="top"/>
    </xf>
    <xf numFmtId="3" fontId="2" fillId="0" borderId="1" xfId="2" applyNumberFormat="1" applyFont="1" applyBorder="1" applyAlignment="1">
      <alignment horizontal="center"/>
    </xf>
    <xf numFmtId="0" fontId="2" fillId="0" borderId="1" xfId="3" applyFont="1" applyBorder="1" applyAlignment="1">
      <alignment vertical="top"/>
    </xf>
    <xf numFmtId="0" fontId="10" fillId="0" borderId="0" xfId="0" applyFont="1" applyAlignment="1">
      <alignment wrapText="1"/>
    </xf>
    <xf numFmtId="0" fontId="9" fillId="0" borderId="1" xfId="0" applyFont="1" applyBorder="1" applyAlignment="1">
      <alignment vertical="top" wrapText="1"/>
    </xf>
    <xf numFmtId="164" fontId="8" fillId="0" borderId="1" xfId="1" applyNumberFormat="1" applyFont="1" applyBorder="1" applyAlignment="1">
      <alignment horizontal="center"/>
    </xf>
    <xf numFmtId="164" fontId="0" fillId="0" borderId="0" xfId="0" applyNumberFormat="1"/>
    <xf numFmtId="44" fontId="0" fillId="0" borderId="0" xfId="1" applyFont="1"/>
    <xf numFmtId="0" fontId="0" fillId="0" borderId="0" xfId="0" applyAlignment="1">
      <alignment horizontal="left" wrapText="1"/>
    </xf>
    <xf numFmtId="0" fontId="6"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1" fillId="2" borderId="2" xfId="0" applyFont="1" applyFill="1" applyBorder="1" applyAlignment="1">
      <alignment horizontal="right" vertical="center"/>
    </xf>
    <xf numFmtId="0" fontId="6" fillId="0" borderId="0" xfId="0" applyFont="1" applyAlignment="1">
      <alignment horizontal="left"/>
    </xf>
    <xf numFmtId="0" fontId="5" fillId="0" borderId="0" xfId="0" applyFont="1" applyAlignment="1">
      <alignment horizontal="center"/>
    </xf>
    <xf numFmtId="0" fontId="3" fillId="0" borderId="0" xfId="0" applyFont="1" applyBorder="1" applyAlignment="1">
      <alignment horizontal="left" vertical="top"/>
    </xf>
    <xf numFmtId="0" fontId="3" fillId="0" borderId="3" xfId="0" applyFont="1" applyBorder="1" applyAlignment="1">
      <alignment horizontal="left" vertical="top"/>
    </xf>
    <xf numFmtId="0" fontId="3" fillId="0" borderId="3" xfId="0" applyFont="1" applyBorder="1" applyAlignment="1">
      <alignment horizontal="left" vertical="top" wrapText="1"/>
    </xf>
  </cellXfs>
  <cellStyles count="4">
    <cellStyle name="Comma" xfId="2" builtinId="3"/>
    <cellStyle name="Currency" xfId="1" builtinId="4"/>
    <cellStyle name="Normal" xfId="0" builtinId="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409575</xdr:colOff>
      <xdr:row>415</xdr:row>
      <xdr:rowOff>1077</xdr:rowOff>
    </xdr:from>
    <xdr:to>
      <xdr:col>8</xdr:col>
      <xdr:colOff>950594</xdr:colOff>
      <xdr:row>417</xdr:row>
      <xdr:rowOff>120015</xdr:rowOff>
    </xdr:to>
    <xdr:pic>
      <xdr:nvPicPr>
        <xdr:cNvPr id="2" name="Picture 3" descr="FDOE Logo_Small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10475" y="7811577"/>
          <a:ext cx="1969769" cy="499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19"/>
  <sheetViews>
    <sheetView tabSelected="1" workbookViewId="0">
      <selection activeCell="I9" sqref="I9"/>
    </sheetView>
  </sheetViews>
  <sheetFormatPr baseColWidth="10" defaultColWidth="8.83203125" defaultRowHeight="15" x14ac:dyDescent="0.2"/>
  <cols>
    <col min="1" max="1" width="8.83203125" bestFit="1" customWidth="1"/>
    <col min="2" max="2" width="7.1640625" customWidth="1"/>
    <col min="3" max="3" width="10.1640625" customWidth="1"/>
    <col min="4" max="4" width="9.6640625" customWidth="1"/>
    <col min="5" max="5" width="44.6640625" customWidth="1"/>
    <col min="6" max="6" width="8.6640625" bestFit="1" customWidth="1"/>
    <col min="7" max="9" width="21.5" customWidth="1"/>
    <col min="10" max="10" width="15.5" hidden="1" customWidth="1"/>
    <col min="11" max="11" width="15.6640625" bestFit="1" customWidth="1"/>
    <col min="12" max="12" width="14.6640625" customWidth="1"/>
    <col min="13" max="13" width="12.5" bestFit="1" customWidth="1"/>
  </cols>
  <sheetData>
    <row r="1" spans="1:10" ht="15" customHeight="1" x14ac:dyDescent="0.2">
      <c r="A1" s="52" t="s">
        <v>119</v>
      </c>
      <c r="B1" s="52"/>
      <c r="C1" s="52"/>
      <c r="D1" s="52"/>
      <c r="H1" s="46" t="s">
        <v>117</v>
      </c>
      <c r="I1" s="47"/>
    </row>
    <row r="2" spans="1:10" x14ac:dyDescent="0.2">
      <c r="A2" s="51" t="s">
        <v>118</v>
      </c>
      <c r="B2" s="51"/>
      <c r="C2" s="51"/>
      <c r="D2" s="51"/>
      <c r="H2" s="47"/>
      <c r="I2" s="47"/>
    </row>
    <row r="3" spans="1:10" ht="15" customHeight="1" x14ac:dyDescent="0.2">
      <c r="A3" s="53" t="s">
        <v>121</v>
      </c>
      <c r="B3" s="52"/>
      <c r="C3" s="52"/>
      <c r="D3" s="52"/>
      <c r="H3" s="47"/>
      <c r="I3" s="47"/>
    </row>
    <row r="4" spans="1:10" x14ac:dyDescent="0.2">
      <c r="A4" s="51" t="s">
        <v>120</v>
      </c>
      <c r="B4" s="51"/>
      <c r="C4" s="51"/>
      <c r="D4" s="51"/>
    </row>
    <row r="6" spans="1:10" ht="23.25" customHeight="1" x14ac:dyDescent="0.25">
      <c r="A6" s="50" t="s">
        <v>3</v>
      </c>
      <c r="B6" s="50"/>
      <c r="C6" s="50"/>
      <c r="D6" s="50"/>
      <c r="E6" s="50"/>
      <c r="F6" s="50"/>
      <c r="G6" s="50"/>
      <c r="H6" s="50"/>
      <c r="I6" s="50"/>
    </row>
    <row r="7" spans="1:10" ht="23.25" customHeight="1" x14ac:dyDescent="0.25">
      <c r="A7" s="50" t="s">
        <v>13</v>
      </c>
      <c r="B7" s="50"/>
      <c r="C7" s="50"/>
      <c r="D7" s="50"/>
      <c r="E7" s="50"/>
      <c r="F7" s="50"/>
      <c r="G7" s="50"/>
      <c r="H7" s="50"/>
      <c r="I7" s="50"/>
    </row>
    <row r="9" spans="1:10" ht="43" x14ac:dyDescent="0.2">
      <c r="A9" s="1" t="s">
        <v>0</v>
      </c>
      <c r="B9" s="1" t="s">
        <v>1</v>
      </c>
      <c r="C9" s="2" t="s">
        <v>7</v>
      </c>
      <c r="D9" s="2" t="s">
        <v>8</v>
      </c>
      <c r="E9" s="1" t="s">
        <v>2</v>
      </c>
      <c r="F9" s="2" t="s">
        <v>4</v>
      </c>
      <c r="G9" s="2" t="s">
        <v>11</v>
      </c>
      <c r="H9" s="6" t="s">
        <v>10</v>
      </c>
      <c r="I9" s="7" t="s">
        <v>12</v>
      </c>
      <c r="J9" s="6" t="s">
        <v>19</v>
      </c>
    </row>
    <row r="10" spans="1:10" ht="56" x14ac:dyDescent="0.2">
      <c r="A10" s="1">
        <v>5100</v>
      </c>
      <c r="B10" s="1">
        <v>150</v>
      </c>
      <c r="C10" s="2">
        <v>1</v>
      </c>
      <c r="D10" s="2">
        <v>1.1000000000000001</v>
      </c>
      <c r="E10" s="31" t="s">
        <v>128</v>
      </c>
      <c r="F10" s="2">
        <v>54.76</v>
      </c>
      <c r="G10" s="8">
        <f>2332815*0.667</f>
        <v>1555987.605</v>
      </c>
      <c r="H10" s="8">
        <f>2332815-G10</f>
        <v>776827.39500000002</v>
      </c>
      <c r="I10" s="10">
        <f t="shared" ref="I10:I50" si="0">G10+H10</f>
        <v>2332815</v>
      </c>
      <c r="J10" s="28">
        <v>54411118</v>
      </c>
    </row>
    <row r="11" spans="1:10" x14ac:dyDescent="0.2">
      <c r="A11" s="1">
        <v>5100</v>
      </c>
      <c r="B11" s="1">
        <v>210</v>
      </c>
      <c r="C11" s="2">
        <v>1</v>
      </c>
      <c r="D11" s="2">
        <v>1.1000000000000001</v>
      </c>
      <c r="E11" s="31" t="s">
        <v>15</v>
      </c>
      <c r="F11" s="2"/>
      <c r="G11" s="8">
        <f>277372*0.667</f>
        <v>185007.12400000001</v>
      </c>
      <c r="H11" s="8">
        <f>277372-G11</f>
        <v>92364.875999999989</v>
      </c>
      <c r="I11" s="10">
        <f t="shared" si="0"/>
        <v>277372</v>
      </c>
      <c r="J11" s="28">
        <v>54411118</v>
      </c>
    </row>
    <row r="12" spans="1:10" x14ac:dyDescent="0.2">
      <c r="A12" s="1">
        <v>5100</v>
      </c>
      <c r="B12" s="1">
        <v>220</v>
      </c>
      <c r="C12" s="2">
        <v>1</v>
      </c>
      <c r="D12" s="2">
        <v>1.1000000000000001</v>
      </c>
      <c r="E12" s="31" t="s">
        <v>16</v>
      </c>
      <c r="F12" s="2"/>
      <c r="G12" s="8">
        <f>144634*0.667</f>
        <v>96470.878000000012</v>
      </c>
      <c r="H12" s="8">
        <f>144634-G12</f>
        <v>48163.121999999988</v>
      </c>
      <c r="I12" s="10">
        <f t="shared" si="0"/>
        <v>144634</v>
      </c>
      <c r="J12" s="28">
        <v>54411118</v>
      </c>
    </row>
    <row r="13" spans="1:10" x14ac:dyDescent="0.2">
      <c r="A13" s="1">
        <v>5100</v>
      </c>
      <c r="B13" s="1">
        <v>221</v>
      </c>
      <c r="C13" s="2">
        <v>1</v>
      </c>
      <c r="D13" s="2">
        <v>1.1000000000000001</v>
      </c>
      <c r="E13" s="31" t="s">
        <v>17</v>
      </c>
      <c r="F13" s="2"/>
      <c r="G13" s="8">
        <f>33826*0.667</f>
        <v>22561.942000000003</v>
      </c>
      <c r="H13" s="8">
        <f>33826-G13</f>
        <v>11264.057999999997</v>
      </c>
      <c r="I13" s="10">
        <f t="shared" si="0"/>
        <v>33826</v>
      </c>
      <c r="J13" s="28">
        <v>54411118</v>
      </c>
    </row>
    <row r="14" spans="1:10" x14ac:dyDescent="0.2">
      <c r="A14" s="1">
        <v>5100</v>
      </c>
      <c r="B14" s="1">
        <v>240</v>
      </c>
      <c r="C14" s="2">
        <v>1</v>
      </c>
      <c r="D14" s="2">
        <v>1.1000000000000001</v>
      </c>
      <c r="E14" s="31" t="s">
        <v>20</v>
      </c>
      <c r="F14" s="2"/>
      <c r="G14" s="8">
        <f>61353*0.667</f>
        <v>40922.451000000001</v>
      </c>
      <c r="H14" s="8">
        <f>61353-G14</f>
        <v>20430.548999999999</v>
      </c>
      <c r="I14" s="10">
        <f t="shared" si="0"/>
        <v>61353</v>
      </c>
      <c r="J14" s="28">
        <v>54411118</v>
      </c>
    </row>
    <row r="15" spans="1:10" ht="56" x14ac:dyDescent="0.2">
      <c r="A15" s="12">
        <v>5100</v>
      </c>
      <c r="B15" s="13">
        <v>120</v>
      </c>
      <c r="C15" s="2">
        <v>1</v>
      </c>
      <c r="D15" s="2">
        <v>1.2</v>
      </c>
      <c r="E15" s="14" t="s">
        <v>237</v>
      </c>
      <c r="F15" s="34">
        <v>409.45467279246975</v>
      </c>
      <c r="G15" s="35">
        <f>(21923841+5655429)*0.667</f>
        <v>18395373.09</v>
      </c>
      <c r="H15" s="8">
        <f>(21923841+5655429)-G15</f>
        <v>9183896.9100000001</v>
      </c>
      <c r="I15" s="10">
        <f t="shared" si="0"/>
        <v>27579270</v>
      </c>
      <c r="J15" s="28">
        <v>54411119</v>
      </c>
    </row>
    <row r="16" spans="1:10" ht="52.5" customHeight="1" x14ac:dyDescent="0.2">
      <c r="A16" s="13">
        <v>5100</v>
      </c>
      <c r="B16" s="13">
        <v>120</v>
      </c>
      <c r="C16" s="2">
        <v>1</v>
      </c>
      <c r="D16" s="2">
        <v>1.2</v>
      </c>
      <c r="E16" s="14" t="s">
        <v>232</v>
      </c>
      <c r="F16" s="34">
        <v>34.837965038099505</v>
      </c>
      <c r="G16" s="35">
        <f>1865364*0.667</f>
        <v>1244197.7880000002</v>
      </c>
      <c r="H16" s="8">
        <f>1865364-G16</f>
        <v>621166.21199999982</v>
      </c>
      <c r="I16" s="10">
        <f t="shared" si="0"/>
        <v>1865364</v>
      </c>
      <c r="J16" s="28">
        <v>54411119</v>
      </c>
    </row>
    <row r="17" spans="1:10" ht="32.25" customHeight="1" x14ac:dyDescent="0.2">
      <c r="A17" s="13">
        <v>5100</v>
      </c>
      <c r="B17" s="13">
        <v>120</v>
      </c>
      <c r="C17" s="2">
        <v>1</v>
      </c>
      <c r="D17" s="2">
        <v>1.2</v>
      </c>
      <c r="E17" s="14" t="s">
        <v>149</v>
      </c>
      <c r="F17" s="34"/>
      <c r="G17" s="35">
        <f>3790530*0.667</f>
        <v>2528283.5100000002</v>
      </c>
      <c r="H17" s="8">
        <f>3790530-G17</f>
        <v>1262246.4899999998</v>
      </c>
      <c r="I17" s="10">
        <f t="shared" si="0"/>
        <v>3790530</v>
      </c>
      <c r="J17" s="28">
        <v>54411119</v>
      </c>
    </row>
    <row r="18" spans="1:10" ht="69.75" customHeight="1" x14ac:dyDescent="0.2">
      <c r="A18" s="13">
        <v>5100</v>
      </c>
      <c r="B18" s="13">
        <v>150</v>
      </c>
      <c r="C18" s="2">
        <v>1</v>
      </c>
      <c r="D18" s="2">
        <v>1.2</v>
      </c>
      <c r="E18" s="14" t="s">
        <v>233</v>
      </c>
      <c r="F18" s="34">
        <v>71.517615176151764</v>
      </c>
      <c r="G18" s="37">
        <f>1873690*0.667</f>
        <v>1249751.23</v>
      </c>
      <c r="H18" s="8">
        <f>1873690-G18</f>
        <v>623938.77</v>
      </c>
      <c r="I18" s="10">
        <f t="shared" si="0"/>
        <v>1873690</v>
      </c>
      <c r="J18" s="28">
        <v>54411119</v>
      </c>
    </row>
    <row r="19" spans="1:10" x14ac:dyDescent="0.2">
      <c r="A19" s="13">
        <v>5100</v>
      </c>
      <c r="B19" s="13">
        <v>210</v>
      </c>
      <c r="C19" s="2">
        <v>1</v>
      </c>
      <c r="D19" s="2">
        <v>1.2</v>
      </c>
      <c r="E19" s="14" t="s">
        <v>60</v>
      </c>
      <c r="F19" s="38"/>
      <c r="G19" s="36">
        <f>(3502012+672431)*0.667</f>
        <v>2784353.4810000001</v>
      </c>
      <c r="H19" s="8">
        <f>(3502012+672431)-G19</f>
        <v>1390089.5189999999</v>
      </c>
      <c r="I19" s="10">
        <f t="shared" si="0"/>
        <v>4174443</v>
      </c>
      <c r="J19" s="28">
        <v>54411119</v>
      </c>
    </row>
    <row r="20" spans="1:10" x14ac:dyDescent="0.2">
      <c r="A20" s="13">
        <v>5100</v>
      </c>
      <c r="B20" s="13">
        <v>220</v>
      </c>
      <c r="C20" s="2">
        <v>1</v>
      </c>
      <c r="D20" s="2">
        <v>1.2</v>
      </c>
      <c r="E20" s="14" t="s">
        <v>61</v>
      </c>
      <c r="F20" s="38"/>
      <c r="G20" s="36">
        <f>(1826112+350637)*0.667</f>
        <v>1451891.5830000001</v>
      </c>
      <c r="H20" s="8">
        <f>(1826112+350637)-G20</f>
        <v>724857.4169999999</v>
      </c>
      <c r="I20" s="10">
        <f t="shared" si="0"/>
        <v>2176749</v>
      </c>
      <c r="J20" s="28">
        <v>54411119</v>
      </c>
    </row>
    <row r="21" spans="1:10" x14ac:dyDescent="0.2">
      <c r="A21" s="13">
        <v>5100</v>
      </c>
      <c r="B21" s="13">
        <v>221</v>
      </c>
      <c r="C21" s="2">
        <v>1</v>
      </c>
      <c r="D21" s="2">
        <v>1.2</v>
      </c>
      <c r="E21" s="14" t="s">
        <v>62</v>
      </c>
      <c r="F21" s="38"/>
      <c r="G21" s="36">
        <f>(427075+82004)*0.667</f>
        <v>339555.69300000003</v>
      </c>
      <c r="H21" s="8">
        <f>(427075+82004)-G21</f>
        <v>169523.30699999997</v>
      </c>
      <c r="I21" s="10">
        <f t="shared" si="0"/>
        <v>509079</v>
      </c>
      <c r="J21" s="28">
        <v>54411119</v>
      </c>
    </row>
    <row r="22" spans="1:10" x14ac:dyDescent="0.2">
      <c r="A22" s="13">
        <v>5100</v>
      </c>
      <c r="B22" s="13">
        <v>240</v>
      </c>
      <c r="C22" s="2">
        <v>1</v>
      </c>
      <c r="D22" s="2">
        <v>1.2</v>
      </c>
      <c r="E22" s="14" t="s">
        <v>63</v>
      </c>
      <c r="F22" s="38"/>
      <c r="G22" s="36">
        <f>(774625+148738)*0.667</f>
        <v>615883.12100000004</v>
      </c>
      <c r="H22" s="8">
        <f>774625+148737-G22</f>
        <v>307478.87899999996</v>
      </c>
      <c r="I22" s="10">
        <f t="shared" si="0"/>
        <v>923362</v>
      </c>
      <c r="J22" s="28">
        <v>54411119</v>
      </c>
    </row>
    <row r="23" spans="1:10" ht="108" customHeight="1" x14ac:dyDescent="0.2">
      <c r="A23" s="13">
        <v>6100</v>
      </c>
      <c r="B23" s="13">
        <v>130</v>
      </c>
      <c r="C23" s="2">
        <v>1</v>
      </c>
      <c r="D23" s="2">
        <v>1.2</v>
      </c>
      <c r="E23" s="14" t="s">
        <v>124</v>
      </c>
      <c r="F23" s="34">
        <v>22.210736827893477</v>
      </c>
      <c r="G23" s="37">
        <f>1263432*0.667</f>
        <v>842709.14400000009</v>
      </c>
      <c r="H23" s="8">
        <f>1263432-G23</f>
        <v>420722.85599999991</v>
      </c>
      <c r="I23" s="10">
        <f t="shared" si="0"/>
        <v>1263432</v>
      </c>
      <c r="J23" s="28">
        <v>54411119</v>
      </c>
    </row>
    <row r="24" spans="1:10" ht="49.5" customHeight="1" x14ac:dyDescent="0.2">
      <c r="A24" s="13">
        <v>6100</v>
      </c>
      <c r="B24" s="13">
        <v>130</v>
      </c>
      <c r="C24" s="2">
        <v>1</v>
      </c>
      <c r="D24" s="2">
        <v>1.2</v>
      </c>
      <c r="E24" s="14" t="s">
        <v>64</v>
      </c>
      <c r="F24" s="34">
        <v>16.090388674655262</v>
      </c>
      <c r="G24" s="37">
        <f>1093721*0.667</f>
        <v>729511.90700000001</v>
      </c>
      <c r="H24" s="8">
        <f>1093721-G24</f>
        <v>364209.09299999999</v>
      </c>
      <c r="I24" s="10">
        <f t="shared" si="0"/>
        <v>1093721</v>
      </c>
      <c r="J24" s="28">
        <v>54411119</v>
      </c>
    </row>
    <row r="25" spans="1:10" x14ac:dyDescent="0.2">
      <c r="A25" s="13">
        <v>6100</v>
      </c>
      <c r="B25" s="13">
        <v>210</v>
      </c>
      <c r="C25" s="2">
        <v>1</v>
      </c>
      <c r="D25" s="2">
        <v>1.2</v>
      </c>
      <c r="E25" s="14" t="s">
        <v>60</v>
      </c>
      <c r="F25" s="38"/>
      <c r="G25" s="36">
        <f>280265*0.667</f>
        <v>186936.755</v>
      </c>
      <c r="H25" s="8">
        <f>280265-G25</f>
        <v>93328.244999999995</v>
      </c>
      <c r="I25" s="10">
        <f t="shared" si="0"/>
        <v>280265</v>
      </c>
      <c r="J25" s="28">
        <v>54411119</v>
      </c>
    </row>
    <row r="26" spans="1:10" x14ac:dyDescent="0.2">
      <c r="A26" s="13">
        <v>6100</v>
      </c>
      <c r="B26" s="13">
        <v>220</v>
      </c>
      <c r="C26" s="2">
        <v>1</v>
      </c>
      <c r="D26" s="2">
        <v>1.2</v>
      </c>
      <c r="E26" s="14" t="s">
        <v>61</v>
      </c>
      <c r="F26" s="38"/>
      <c r="G26" s="36">
        <f>146143*0.667</f>
        <v>97477.381000000008</v>
      </c>
      <c r="H26" s="8">
        <f>146143-G26</f>
        <v>48665.618999999992</v>
      </c>
      <c r="I26" s="10">
        <f t="shared" si="0"/>
        <v>146143</v>
      </c>
      <c r="J26" s="28">
        <v>54411119</v>
      </c>
    </row>
    <row r="27" spans="1:10" x14ac:dyDescent="0.2">
      <c r="A27" s="13">
        <v>6100</v>
      </c>
      <c r="B27" s="13">
        <v>221</v>
      </c>
      <c r="C27" s="2">
        <v>1</v>
      </c>
      <c r="D27" s="2">
        <v>1.2</v>
      </c>
      <c r="E27" s="14" t="s">
        <v>62</v>
      </c>
      <c r="F27" s="38"/>
      <c r="G27" s="36">
        <f>34179*0.667</f>
        <v>22797.393</v>
      </c>
      <c r="H27" s="8">
        <f>34179-G27</f>
        <v>11381.607</v>
      </c>
      <c r="I27" s="10">
        <f t="shared" si="0"/>
        <v>34179</v>
      </c>
      <c r="J27" s="28">
        <v>54411119</v>
      </c>
    </row>
    <row r="28" spans="1:10" x14ac:dyDescent="0.2">
      <c r="A28" s="13">
        <v>6100</v>
      </c>
      <c r="B28" s="13">
        <v>240</v>
      </c>
      <c r="C28" s="2">
        <v>1</v>
      </c>
      <c r="D28" s="2">
        <v>1.2</v>
      </c>
      <c r="E28" s="14" t="s">
        <v>63</v>
      </c>
      <c r="F28" s="38"/>
      <c r="G28" s="36">
        <f>61992*0.667</f>
        <v>41348.664000000004</v>
      </c>
      <c r="H28" s="8">
        <f>61992-G28</f>
        <v>20643.335999999996</v>
      </c>
      <c r="I28" s="10">
        <f t="shared" si="0"/>
        <v>61992</v>
      </c>
      <c r="J28" s="28">
        <v>54411119</v>
      </c>
    </row>
    <row r="29" spans="1:10" ht="15" customHeight="1" x14ac:dyDescent="0.2">
      <c r="A29" s="13">
        <v>6300</v>
      </c>
      <c r="B29" s="13">
        <v>110</v>
      </c>
      <c r="C29" s="2">
        <v>1</v>
      </c>
      <c r="D29" s="2">
        <v>1.2</v>
      </c>
      <c r="E29" s="14" t="s">
        <v>65</v>
      </c>
      <c r="F29" s="34">
        <v>25.865212919905847</v>
      </c>
      <c r="G29" s="36">
        <f>2090501*0.667</f>
        <v>1394364.1670000001</v>
      </c>
      <c r="H29" s="8">
        <f>2090501-G29</f>
        <v>696136.83299999987</v>
      </c>
      <c r="I29" s="10">
        <f t="shared" si="0"/>
        <v>2090501</v>
      </c>
      <c r="J29" s="28">
        <v>54411119</v>
      </c>
    </row>
    <row r="30" spans="1:10" x14ac:dyDescent="0.2">
      <c r="A30" s="13">
        <v>6300</v>
      </c>
      <c r="B30" s="13">
        <v>210</v>
      </c>
      <c r="C30" s="2">
        <v>1</v>
      </c>
      <c r="D30" s="2">
        <v>1.2</v>
      </c>
      <c r="E30" s="14" t="s">
        <v>60</v>
      </c>
      <c r="F30" s="38"/>
      <c r="G30" s="36">
        <f>248561*0.667</f>
        <v>165790.18700000001</v>
      </c>
      <c r="H30" s="8">
        <f>248561-G30</f>
        <v>82770.812999999995</v>
      </c>
      <c r="I30" s="10">
        <f t="shared" si="0"/>
        <v>248561</v>
      </c>
      <c r="J30" s="28">
        <v>54411119</v>
      </c>
    </row>
    <row r="31" spans="1:10" x14ac:dyDescent="0.2">
      <c r="A31" s="13">
        <v>6300</v>
      </c>
      <c r="B31" s="13">
        <v>220</v>
      </c>
      <c r="C31" s="2">
        <v>1</v>
      </c>
      <c r="D31" s="2">
        <v>1.2</v>
      </c>
      <c r="E31" s="14" t="s">
        <v>61</v>
      </c>
      <c r="F31" s="38"/>
      <c r="G31" s="36">
        <f>129611*0.667</f>
        <v>86450.537000000011</v>
      </c>
      <c r="H31" s="8">
        <f>129611-G31</f>
        <v>43160.462999999989</v>
      </c>
      <c r="I31" s="10">
        <f t="shared" si="0"/>
        <v>129611</v>
      </c>
      <c r="J31" s="28">
        <v>54411119</v>
      </c>
    </row>
    <row r="32" spans="1:10" x14ac:dyDescent="0.2">
      <c r="A32" s="13">
        <v>6300</v>
      </c>
      <c r="B32" s="13">
        <v>221</v>
      </c>
      <c r="C32" s="2">
        <v>1</v>
      </c>
      <c r="D32" s="2">
        <v>1.2</v>
      </c>
      <c r="E32" s="14" t="s">
        <v>62</v>
      </c>
      <c r="F32" s="38"/>
      <c r="G32" s="36">
        <f>30312*0.667</f>
        <v>20218.103999999999</v>
      </c>
      <c r="H32" s="8">
        <f>30312-G32</f>
        <v>10093.896000000001</v>
      </c>
      <c r="I32" s="10">
        <f t="shared" si="0"/>
        <v>30312</v>
      </c>
      <c r="J32" s="28">
        <v>54411119</v>
      </c>
    </row>
    <row r="33" spans="1:15" x14ac:dyDescent="0.2">
      <c r="A33" s="13">
        <v>6300</v>
      </c>
      <c r="B33" s="13">
        <v>240</v>
      </c>
      <c r="C33" s="2">
        <v>1</v>
      </c>
      <c r="D33" s="2">
        <v>1.2</v>
      </c>
      <c r="E33" s="14" t="s">
        <v>63</v>
      </c>
      <c r="F33" s="38"/>
      <c r="G33" s="36">
        <f>54979*0.667</f>
        <v>36670.993000000002</v>
      </c>
      <c r="H33" s="8">
        <f>54979-G33</f>
        <v>18308.006999999998</v>
      </c>
      <c r="I33" s="10">
        <f t="shared" si="0"/>
        <v>54979</v>
      </c>
      <c r="J33" s="28">
        <v>54411119</v>
      </c>
    </row>
    <row r="34" spans="1:15" ht="56.25" customHeight="1" x14ac:dyDescent="0.2">
      <c r="A34" s="13">
        <v>7900</v>
      </c>
      <c r="B34" s="13">
        <v>160</v>
      </c>
      <c r="C34" s="2">
        <v>1</v>
      </c>
      <c r="D34" s="2">
        <v>1.2</v>
      </c>
      <c r="E34" s="14" t="s">
        <v>234</v>
      </c>
      <c r="F34" s="34">
        <v>28.783979189356252</v>
      </c>
      <c r="G34" s="37">
        <f>625842*0.667</f>
        <v>417436.614</v>
      </c>
      <c r="H34" s="8">
        <f>625842-G34</f>
        <v>208405.386</v>
      </c>
      <c r="I34" s="10">
        <f t="shared" si="0"/>
        <v>625842</v>
      </c>
      <c r="J34" s="28">
        <v>54411119</v>
      </c>
    </row>
    <row r="35" spans="1:15" ht="24.75" customHeight="1" x14ac:dyDescent="0.2">
      <c r="A35" s="13">
        <v>7900</v>
      </c>
      <c r="B35" s="13">
        <v>160</v>
      </c>
      <c r="C35" s="2">
        <v>1</v>
      </c>
      <c r="D35" s="2">
        <v>1.2</v>
      </c>
      <c r="E35" s="14" t="s">
        <v>235</v>
      </c>
      <c r="F35" s="34">
        <v>16.260331140231635</v>
      </c>
      <c r="G35" s="37">
        <f>334929*0.667</f>
        <v>223397.64300000001</v>
      </c>
      <c r="H35" s="8">
        <f>334929-G35</f>
        <v>111531.35699999999</v>
      </c>
      <c r="I35" s="10">
        <f t="shared" si="0"/>
        <v>334929</v>
      </c>
      <c r="J35" s="28">
        <v>54411119</v>
      </c>
    </row>
    <row r="36" spans="1:15" x14ac:dyDescent="0.2">
      <c r="A36" s="13">
        <v>7900</v>
      </c>
      <c r="B36" s="13">
        <v>210</v>
      </c>
      <c r="C36" s="2">
        <v>1</v>
      </c>
      <c r="D36" s="2">
        <v>1.2</v>
      </c>
      <c r="E36" s="14" t="s">
        <v>60</v>
      </c>
      <c r="F36" s="38"/>
      <c r="G36" s="36">
        <f>114236*0.667</f>
        <v>76195.412000000011</v>
      </c>
      <c r="H36" s="8">
        <f>114236-G36</f>
        <v>38040.587999999989</v>
      </c>
      <c r="I36" s="10">
        <f t="shared" si="0"/>
        <v>114236</v>
      </c>
      <c r="J36" s="28">
        <v>54411119</v>
      </c>
    </row>
    <row r="37" spans="1:15" x14ac:dyDescent="0.2">
      <c r="A37" s="13">
        <v>7900</v>
      </c>
      <c r="B37" s="13">
        <v>220</v>
      </c>
      <c r="C37" s="2">
        <v>1</v>
      </c>
      <c r="D37" s="2">
        <v>1.2</v>
      </c>
      <c r="E37" s="14" t="s">
        <v>61</v>
      </c>
      <c r="F37" s="38"/>
      <c r="G37" s="36">
        <f>59568*0.667</f>
        <v>39731.856</v>
      </c>
      <c r="H37" s="8">
        <f>59568-G37</f>
        <v>19836.144</v>
      </c>
      <c r="I37" s="10">
        <f t="shared" si="0"/>
        <v>59568</v>
      </c>
      <c r="J37" s="28">
        <v>54411119</v>
      </c>
    </row>
    <row r="38" spans="1:15" x14ac:dyDescent="0.2">
      <c r="A38" s="13">
        <v>7900</v>
      </c>
      <c r="B38" s="13">
        <v>221</v>
      </c>
      <c r="C38" s="2">
        <v>1</v>
      </c>
      <c r="D38" s="2">
        <v>1.2</v>
      </c>
      <c r="E38" s="14" t="s">
        <v>62</v>
      </c>
      <c r="F38" s="38"/>
      <c r="G38" s="36">
        <f>13931*0.667</f>
        <v>9291.9770000000008</v>
      </c>
      <c r="H38" s="8">
        <f>13931-G38</f>
        <v>4639.0229999999992</v>
      </c>
      <c r="I38" s="10">
        <f t="shared" si="0"/>
        <v>13931</v>
      </c>
      <c r="J38" s="28">
        <v>54411119</v>
      </c>
    </row>
    <row r="39" spans="1:15" x14ac:dyDescent="0.2">
      <c r="A39" s="13">
        <v>7900</v>
      </c>
      <c r="B39" s="13">
        <v>240</v>
      </c>
      <c r="C39" s="2">
        <v>1</v>
      </c>
      <c r="D39" s="2">
        <v>1.2</v>
      </c>
      <c r="E39" s="14" t="s">
        <v>63</v>
      </c>
      <c r="F39" s="38"/>
      <c r="G39" s="36">
        <f>25267*0.667</f>
        <v>16853.089</v>
      </c>
      <c r="H39" s="8">
        <f>25267-G39</f>
        <v>8413.9110000000001</v>
      </c>
      <c r="I39" s="10">
        <f t="shared" si="0"/>
        <v>25267</v>
      </c>
      <c r="J39" s="28">
        <v>54411119</v>
      </c>
    </row>
    <row r="40" spans="1:15" ht="28" x14ac:dyDescent="0.2">
      <c r="A40" s="13">
        <v>5100</v>
      </c>
      <c r="B40" s="13">
        <v>310</v>
      </c>
      <c r="C40" s="2">
        <v>1</v>
      </c>
      <c r="D40" s="2">
        <v>1.2</v>
      </c>
      <c r="E40" s="14" t="s">
        <v>66</v>
      </c>
      <c r="F40" s="38"/>
      <c r="G40" s="36">
        <f>1110000*0.667</f>
        <v>740370</v>
      </c>
      <c r="H40" s="8">
        <f>1110000-G40</f>
        <v>369630</v>
      </c>
      <c r="I40" s="10">
        <f t="shared" si="0"/>
        <v>1110000</v>
      </c>
      <c r="J40" s="28">
        <v>54411119</v>
      </c>
    </row>
    <row r="41" spans="1:15" ht="15" customHeight="1" x14ac:dyDescent="0.2">
      <c r="A41" s="13">
        <v>7800</v>
      </c>
      <c r="B41" s="13">
        <v>150</v>
      </c>
      <c r="C41" s="2">
        <v>1</v>
      </c>
      <c r="D41" s="2">
        <v>1.2</v>
      </c>
      <c r="E41" s="14" t="s">
        <v>150</v>
      </c>
      <c r="F41" s="38"/>
      <c r="G41" s="36">
        <f>2000000*0.667</f>
        <v>1334000</v>
      </c>
      <c r="H41" s="8">
        <f>2000000-G41</f>
        <v>666000</v>
      </c>
      <c r="I41" s="10">
        <f t="shared" si="0"/>
        <v>2000000</v>
      </c>
      <c r="J41" s="28">
        <v>54411119</v>
      </c>
    </row>
    <row r="42" spans="1:15" ht="15" customHeight="1" x14ac:dyDescent="0.2">
      <c r="A42" s="13">
        <v>7800</v>
      </c>
      <c r="B42" s="13">
        <v>210</v>
      </c>
      <c r="C42" s="2">
        <v>1</v>
      </c>
      <c r="D42" s="2">
        <v>1.2</v>
      </c>
      <c r="E42" s="14" t="s">
        <v>60</v>
      </c>
      <c r="F42" s="38"/>
      <c r="G42" s="36">
        <f>237800*0.667</f>
        <v>158612.6</v>
      </c>
      <c r="H42" s="8">
        <f>237800-G42</f>
        <v>79187.399999999994</v>
      </c>
      <c r="I42" s="10">
        <f t="shared" si="0"/>
        <v>237800</v>
      </c>
      <c r="J42" s="28">
        <v>54411119</v>
      </c>
    </row>
    <row r="43" spans="1:15" ht="15" customHeight="1" x14ac:dyDescent="0.2">
      <c r="A43" s="13">
        <v>7800</v>
      </c>
      <c r="B43" s="13">
        <v>220</v>
      </c>
      <c r="C43" s="2">
        <v>1</v>
      </c>
      <c r="D43" s="2">
        <v>1.2</v>
      </c>
      <c r="E43" s="14" t="s">
        <v>61</v>
      </c>
      <c r="F43" s="38"/>
      <c r="G43" s="36">
        <f>124000*0.667</f>
        <v>82708</v>
      </c>
      <c r="H43" s="8">
        <f>124000-G43</f>
        <v>41292</v>
      </c>
      <c r="I43" s="10">
        <f t="shared" si="0"/>
        <v>124000</v>
      </c>
      <c r="J43" s="28">
        <v>54411119</v>
      </c>
    </row>
    <row r="44" spans="1:15" ht="15" customHeight="1" x14ac:dyDescent="0.2">
      <c r="A44" s="13">
        <v>7800</v>
      </c>
      <c r="B44" s="13">
        <v>221</v>
      </c>
      <c r="C44" s="2">
        <v>1</v>
      </c>
      <c r="D44" s="2">
        <v>1.2</v>
      </c>
      <c r="E44" s="14" t="s">
        <v>62</v>
      </c>
      <c r="F44" s="38"/>
      <c r="G44" s="36">
        <f>29000*0.667</f>
        <v>19343</v>
      </c>
      <c r="H44" s="8">
        <f>29000-G44</f>
        <v>9657</v>
      </c>
      <c r="I44" s="10">
        <f t="shared" si="0"/>
        <v>29000</v>
      </c>
      <c r="J44" s="28">
        <v>54411119</v>
      </c>
    </row>
    <row r="45" spans="1:15" ht="15" customHeight="1" x14ac:dyDescent="0.2">
      <c r="A45" s="13">
        <v>7800</v>
      </c>
      <c r="B45" s="13">
        <v>240</v>
      </c>
      <c r="C45" s="2">
        <v>1</v>
      </c>
      <c r="D45" s="2">
        <v>1.2</v>
      </c>
      <c r="E45" s="14" t="s">
        <v>63</v>
      </c>
      <c r="F45" s="38"/>
      <c r="G45" s="36">
        <f>56000*0.667</f>
        <v>37352</v>
      </c>
      <c r="H45" s="8">
        <f>56000-G45</f>
        <v>18648</v>
      </c>
      <c r="I45" s="10">
        <f t="shared" si="0"/>
        <v>56000</v>
      </c>
      <c r="J45" s="28">
        <v>54411119</v>
      </c>
    </row>
    <row r="46" spans="1:15" x14ac:dyDescent="0.2">
      <c r="A46" s="13">
        <v>7800</v>
      </c>
      <c r="B46" s="13">
        <v>330</v>
      </c>
      <c r="C46" s="2">
        <v>1</v>
      </c>
      <c r="D46" s="2">
        <v>1.2</v>
      </c>
      <c r="E46" s="14" t="s">
        <v>151</v>
      </c>
      <c r="F46" s="38"/>
      <c r="G46" s="36">
        <f>414458*0.667</f>
        <v>276443.48600000003</v>
      </c>
      <c r="H46" s="8">
        <f>414458-G46</f>
        <v>138014.51399999997</v>
      </c>
      <c r="I46" s="10">
        <f t="shared" si="0"/>
        <v>414458</v>
      </c>
      <c r="J46" s="28">
        <v>54411119</v>
      </c>
    </row>
    <row r="47" spans="1:15" x14ac:dyDescent="0.2">
      <c r="A47" s="13">
        <v>5100</v>
      </c>
      <c r="B47" s="13">
        <v>510</v>
      </c>
      <c r="C47" s="2">
        <v>1</v>
      </c>
      <c r="D47" s="2">
        <v>1.2</v>
      </c>
      <c r="E47" s="14" t="s">
        <v>67</v>
      </c>
      <c r="F47" s="38"/>
      <c r="G47" s="36">
        <f>11711082*0.667</f>
        <v>7811291.6940000001</v>
      </c>
      <c r="H47" s="8">
        <f>(11711082-311.4)-G47</f>
        <v>3899478.9059999995</v>
      </c>
      <c r="I47" s="10">
        <f t="shared" si="0"/>
        <v>11710770.6</v>
      </c>
      <c r="J47" s="28">
        <v>54411119</v>
      </c>
    </row>
    <row r="48" spans="1:15" x14ac:dyDescent="0.2">
      <c r="A48" s="13">
        <v>6130</v>
      </c>
      <c r="B48" s="13">
        <v>510</v>
      </c>
      <c r="C48" s="2">
        <v>1</v>
      </c>
      <c r="D48" s="2">
        <v>1.2</v>
      </c>
      <c r="E48" s="14" t="s">
        <v>68</v>
      </c>
      <c r="F48" s="38"/>
      <c r="G48" s="36">
        <f>45824*0.667</f>
        <v>30564.608</v>
      </c>
      <c r="H48" s="8">
        <f>45824-G48</f>
        <v>15259.392</v>
      </c>
      <c r="I48" s="10">
        <f t="shared" si="0"/>
        <v>45824</v>
      </c>
      <c r="J48" s="28">
        <v>54411119</v>
      </c>
      <c r="M48" s="15"/>
      <c r="O48" s="15"/>
    </row>
    <row r="49" spans="1:10" ht="15" customHeight="1" x14ac:dyDescent="0.2">
      <c r="A49" s="13">
        <v>5100</v>
      </c>
      <c r="B49" s="13">
        <v>369</v>
      </c>
      <c r="C49" s="2">
        <v>1</v>
      </c>
      <c r="D49" s="2">
        <v>1.2</v>
      </c>
      <c r="E49" s="14" t="s">
        <v>69</v>
      </c>
      <c r="F49" s="38"/>
      <c r="G49" s="36">
        <f>688200*0.667</f>
        <v>459029.4</v>
      </c>
      <c r="H49" s="8">
        <f>688200-G49</f>
        <v>229170.59999999998</v>
      </c>
      <c r="I49" s="10">
        <f t="shared" si="0"/>
        <v>688200</v>
      </c>
      <c r="J49" s="28">
        <v>54411119</v>
      </c>
    </row>
    <row r="50" spans="1:10" ht="57" customHeight="1" x14ac:dyDescent="0.2">
      <c r="A50" s="1">
        <v>5100</v>
      </c>
      <c r="B50" s="1">
        <v>150</v>
      </c>
      <c r="C50" s="2">
        <v>1</v>
      </c>
      <c r="D50" s="2">
        <v>1.3</v>
      </c>
      <c r="E50" s="31" t="s">
        <v>22</v>
      </c>
      <c r="F50" s="2">
        <v>336.75</v>
      </c>
      <c r="G50" s="8">
        <v>5977285</v>
      </c>
      <c r="H50" s="8">
        <v>5977285</v>
      </c>
      <c r="I50" s="10">
        <f t="shared" si="0"/>
        <v>11954570</v>
      </c>
      <c r="J50" s="28">
        <v>54411120</v>
      </c>
    </row>
    <row r="51" spans="1:10" x14ac:dyDescent="0.2">
      <c r="A51" s="1">
        <v>5100</v>
      </c>
      <c r="B51" s="1">
        <v>210</v>
      </c>
      <c r="C51" s="2">
        <v>1</v>
      </c>
      <c r="D51" s="2">
        <v>1.3</v>
      </c>
      <c r="E51" s="31" t="s">
        <v>15</v>
      </c>
      <c r="F51" s="2"/>
      <c r="G51" s="8">
        <v>710699</v>
      </c>
      <c r="H51" s="8">
        <v>710699</v>
      </c>
      <c r="I51" s="10">
        <f t="shared" ref="I51:I173" si="1">G51+H51</f>
        <v>1421398</v>
      </c>
      <c r="J51" s="28">
        <v>54411120</v>
      </c>
    </row>
    <row r="52" spans="1:10" x14ac:dyDescent="0.2">
      <c r="A52" s="1">
        <v>5100</v>
      </c>
      <c r="B52" s="1">
        <v>220</v>
      </c>
      <c r="C52" s="2">
        <v>1</v>
      </c>
      <c r="D52" s="2">
        <v>1.3</v>
      </c>
      <c r="E52" s="31" t="s">
        <v>16</v>
      </c>
      <c r="F52" s="2"/>
      <c r="G52" s="8">
        <v>370592</v>
      </c>
      <c r="H52" s="8">
        <v>370592</v>
      </c>
      <c r="I52" s="10">
        <f t="shared" si="1"/>
        <v>741184</v>
      </c>
      <c r="J52" s="28">
        <v>54411120</v>
      </c>
    </row>
    <row r="53" spans="1:10" x14ac:dyDescent="0.2">
      <c r="A53" s="1">
        <v>5100</v>
      </c>
      <c r="B53" s="1">
        <v>221</v>
      </c>
      <c r="C53" s="2">
        <v>1</v>
      </c>
      <c r="D53" s="2">
        <v>1.3</v>
      </c>
      <c r="E53" s="31" t="s">
        <v>17</v>
      </c>
      <c r="F53" s="2"/>
      <c r="G53" s="8">
        <v>86671</v>
      </c>
      <c r="H53" s="8">
        <v>86671</v>
      </c>
      <c r="I53" s="10">
        <f t="shared" si="1"/>
        <v>173342</v>
      </c>
      <c r="J53" s="28">
        <v>54411120</v>
      </c>
    </row>
    <row r="54" spans="1:10" x14ac:dyDescent="0.2">
      <c r="A54" s="1">
        <v>5100</v>
      </c>
      <c r="B54" s="1">
        <v>240</v>
      </c>
      <c r="C54" s="2">
        <v>1</v>
      </c>
      <c r="D54" s="2">
        <v>1.3</v>
      </c>
      <c r="E54" s="31" t="s">
        <v>20</v>
      </c>
      <c r="F54" s="2"/>
      <c r="G54" s="8">
        <v>157203</v>
      </c>
      <c r="H54" s="8">
        <v>157203</v>
      </c>
      <c r="I54" s="10">
        <f t="shared" si="1"/>
        <v>314406</v>
      </c>
      <c r="J54" s="28">
        <v>54411120</v>
      </c>
    </row>
    <row r="55" spans="1:10" ht="42" x14ac:dyDescent="0.2">
      <c r="A55" s="1">
        <v>7900</v>
      </c>
      <c r="B55" s="1">
        <v>150</v>
      </c>
      <c r="C55" s="2">
        <v>1</v>
      </c>
      <c r="D55" s="2">
        <v>1.3</v>
      </c>
      <c r="E55" s="31" t="s">
        <v>113</v>
      </c>
      <c r="F55" s="2">
        <v>49.71</v>
      </c>
      <c r="G55" s="8">
        <v>600000</v>
      </c>
      <c r="H55" s="8">
        <v>600000</v>
      </c>
      <c r="I55" s="10">
        <f t="shared" si="1"/>
        <v>1200000</v>
      </c>
      <c r="J55" s="28">
        <v>54411120</v>
      </c>
    </row>
    <row r="56" spans="1:10" x14ac:dyDescent="0.2">
      <c r="A56" s="1">
        <v>7900</v>
      </c>
      <c r="B56" s="1">
        <v>210</v>
      </c>
      <c r="C56" s="2">
        <v>1</v>
      </c>
      <c r="D56" s="2">
        <v>1.3</v>
      </c>
      <c r="E56" s="31" t="s">
        <v>15</v>
      </c>
      <c r="F56" s="2"/>
      <c r="G56" s="8">
        <v>71340</v>
      </c>
      <c r="H56" s="8">
        <v>71340</v>
      </c>
      <c r="I56" s="10">
        <f t="shared" si="1"/>
        <v>142680</v>
      </c>
      <c r="J56" s="28">
        <v>54411120</v>
      </c>
    </row>
    <row r="57" spans="1:10" x14ac:dyDescent="0.2">
      <c r="A57" s="1">
        <v>7900</v>
      </c>
      <c r="B57" s="1">
        <v>220</v>
      </c>
      <c r="C57" s="2">
        <v>1</v>
      </c>
      <c r="D57" s="2">
        <v>1.3</v>
      </c>
      <c r="E57" s="31" t="s">
        <v>16</v>
      </c>
      <c r="F57" s="2"/>
      <c r="G57" s="8">
        <v>37200</v>
      </c>
      <c r="H57" s="8">
        <v>37200</v>
      </c>
      <c r="I57" s="10">
        <f t="shared" si="1"/>
        <v>74400</v>
      </c>
      <c r="J57" s="28">
        <v>54411120</v>
      </c>
    </row>
    <row r="58" spans="1:10" x14ac:dyDescent="0.2">
      <c r="A58" s="1">
        <v>7900</v>
      </c>
      <c r="B58" s="1">
        <v>221</v>
      </c>
      <c r="C58" s="2">
        <v>1</v>
      </c>
      <c r="D58" s="2">
        <v>1.3</v>
      </c>
      <c r="E58" s="31" t="s">
        <v>17</v>
      </c>
      <c r="F58" s="2"/>
      <c r="G58" s="8">
        <v>8700</v>
      </c>
      <c r="H58" s="8">
        <v>8700</v>
      </c>
      <c r="I58" s="10">
        <f t="shared" si="1"/>
        <v>17400</v>
      </c>
      <c r="J58" s="28">
        <v>54411120</v>
      </c>
    </row>
    <row r="59" spans="1:10" x14ac:dyDescent="0.2">
      <c r="A59" s="1">
        <v>7900</v>
      </c>
      <c r="B59" s="1">
        <v>240</v>
      </c>
      <c r="C59" s="2">
        <v>1</v>
      </c>
      <c r="D59" s="2">
        <v>1.3</v>
      </c>
      <c r="E59" s="31" t="s">
        <v>20</v>
      </c>
      <c r="F59" s="2"/>
      <c r="G59" s="8">
        <v>15780</v>
      </c>
      <c r="H59" s="8">
        <v>15780</v>
      </c>
      <c r="I59" s="10">
        <f t="shared" si="1"/>
        <v>31560</v>
      </c>
      <c r="J59" s="28">
        <v>54411120</v>
      </c>
    </row>
    <row r="60" spans="1:10" ht="28" x14ac:dyDescent="0.2">
      <c r="A60" s="1">
        <v>5100</v>
      </c>
      <c r="B60" s="1">
        <v>310</v>
      </c>
      <c r="C60" s="2">
        <v>1</v>
      </c>
      <c r="D60" s="2">
        <v>1.3</v>
      </c>
      <c r="E60" s="31" t="s">
        <v>25</v>
      </c>
      <c r="F60" s="2"/>
      <c r="G60" s="8">
        <v>376400</v>
      </c>
      <c r="H60" s="8">
        <v>376400</v>
      </c>
      <c r="I60" s="10">
        <f t="shared" si="1"/>
        <v>752800</v>
      </c>
      <c r="J60" s="28">
        <v>54411120</v>
      </c>
    </row>
    <row r="61" spans="1:10" x14ac:dyDescent="0.2">
      <c r="A61" s="1">
        <v>7800</v>
      </c>
      <c r="B61" s="1">
        <v>332</v>
      </c>
      <c r="C61" s="2">
        <v>1</v>
      </c>
      <c r="D61" s="2">
        <v>1.3</v>
      </c>
      <c r="E61" s="31" t="s">
        <v>24</v>
      </c>
      <c r="F61" s="2"/>
      <c r="G61" s="8">
        <v>699000</v>
      </c>
      <c r="H61" s="8">
        <v>699000</v>
      </c>
      <c r="I61" s="10">
        <f t="shared" si="1"/>
        <v>1398000</v>
      </c>
      <c r="J61" s="28">
        <v>54411120</v>
      </c>
    </row>
    <row r="62" spans="1:10" ht="28" x14ac:dyDescent="0.2">
      <c r="A62" s="1">
        <v>5100</v>
      </c>
      <c r="B62" s="1">
        <v>369</v>
      </c>
      <c r="C62" s="2">
        <v>1</v>
      </c>
      <c r="D62" s="2">
        <v>1.3</v>
      </c>
      <c r="E62" s="31" t="s">
        <v>23</v>
      </c>
      <c r="F62" s="2"/>
      <c r="G62" s="8">
        <v>1495</v>
      </c>
      <c r="H62" s="8">
        <v>1495</v>
      </c>
      <c r="I62" s="10">
        <f t="shared" si="1"/>
        <v>2990</v>
      </c>
      <c r="J62" s="28">
        <v>54411120</v>
      </c>
    </row>
    <row r="63" spans="1:10" ht="56" x14ac:dyDescent="0.2">
      <c r="A63" s="1">
        <v>5100</v>
      </c>
      <c r="B63" s="1">
        <v>510</v>
      </c>
      <c r="C63" s="2">
        <v>1</v>
      </c>
      <c r="D63" s="2">
        <v>1.3</v>
      </c>
      <c r="E63" s="31" t="s">
        <v>105</v>
      </c>
      <c r="F63" s="2"/>
      <c r="G63" s="8">
        <v>613410</v>
      </c>
      <c r="H63" s="9">
        <v>613410</v>
      </c>
      <c r="I63" s="10">
        <f t="shared" si="1"/>
        <v>1226820</v>
      </c>
      <c r="J63" s="28">
        <v>54411120</v>
      </c>
    </row>
    <row r="64" spans="1:10" ht="28" x14ac:dyDescent="0.2">
      <c r="A64" s="1">
        <v>6300</v>
      </c>
      <c r="B64" s="1">
        <v>510</v>
      </c>
      <c r="C64" s="2">
        <v>1</v>
      </c>
      <c r="D64" s="2">
        <v>1.3</v>
      </c>
      <c r="E64" s="31" t="s">
        <v>26</v>
      </c>
      <c r="F64" s="2"/>
      <c r="G64" s="8">
        <v>191552</v>
      </c>
      <c r="H64" s="9">
        <v>191552</v>
      </c>
      <c r="I64" s="10">
        <f t="shared" si="1"/>
        <v>383104</v>
      </c>
      <c r="J64" s="28">
        <v>54411120</v>
      </c>
    </row>
    <row r="65" spans="1:10" ht="70" x14ac:dyDescent="0.2">
      <c r="A65" s="1">
        <v>6300</v>
      </c>
      <c r="B65" s="1">
        <v>168</v>
      </c>
      <c r="C65" s="2">
        <v>1</v>
      </c>
      <c r="D65" s="2">
        <v>1.3</v>
      </c>
      <c r="E65" s="31" t="s">
        <v>123</v>
      </c>
      <c r="F65" s="2">
        <v>1</v>
      </c>
      <c r="G65" s="8">
        <v>59144</v>
      </c>
      <c r="H65" s="9">
        <v>59144</v>
      </c>
      <c r="I65" s="10">
        <f t="shared" si="1"/>
        <v>118288</v>
      </c>
      <c r="J65" s="28">
        <v>54411120</v>
      </c>
    </row>
    <row r="66" spans="1:10" x14ac:dyDescent="0.2">
      <c r="A66" s="1">
        <v>6300</v>
      </c>
      <c r="B66" s="1">
        <v>210</v>
      </c>
      <c r="C66" s="2">
        <v>1</v>
      </c>
      <c r="D66" s="2">
        <v>1.3</v>
      </c>
      <c r="E66" s="31" t="s">
        <v>15</v>
      </c>
      <c r="F66" s="2"/>
      <c r="G66" s="8">
        <v>7032</v>
      </c>
      <c r="H66" s="9">
        <v>7032</v>
      </c>
      <c r="I66" s="10">
        <f t="shared" si="1"/>
        <v>14064</v>
      </c>
      <c r="J66" s="28">
        <v>54411120</v>
      </c>
    </row>
    <row r="67" spans="1:10" x14ac:dyDescent="0.2">
      <c r="A67" s="1">
        <v>6300</v>
      </c>
      <c r="B67" s="1">
        <v>220</v>
      </c>
      <c r="C67" s="2">
        <v>1</v>
      </c>
      <c r="D67" s="2">
        <v>1.3</v>
      </c>
      <c r="E67" s="31" t="s">
        <v>16</v>
      </c>
      <c r="F67" s="2"/>
      <c r="G67" s="8">
        <v>3667</v>
      </c>
      <c r="H67" s="9">
        <v>3667</v>
      </c>
      <c r="I67" s="10">
        <f t="shared" si="1"/>
        <v>7334</v>
      </c>
      <c r="J67" s="28">
        <v>54411120</v>
      </c>
    </row>
    <row r="68" spans="1:10" x14ac:dyDescent="0.2">
      <c r="A68" s="1">
        <v>6300</v>
      </c>
      <c r="B68" s="1">
        <v>221</v>
      </c>
      <c r="C68" s="2">
        <v>1</v>
      </c>
      <c r="D68" s="2">
        <v>1.3</v>
      </c>
      <c r="E68" s="31" t="s">
        <v>17</v>
      </c>
      <c r="F68" s="2"/>
      <c r="G68" s="8">
        <v>858</v>
      </c>
      <c r="H68" s="9">
        <v>858</v>
      </c>
      <c r="I68" s="10">
        <f t="shared" si="1"/>
        <v>1716</v>
      </c>
      <c r="J68" s="28">
        <v>54411120</v>
      </c>
    </row>
    <row r="69" spans="1:10" x14ac:dyDescent="0.2">
      <c r="A69" s="1">
        <v>6300</v>
      </c>
      <c r="B69" s="1">
        <v>232</v>
      </c>
      <c r="C69" s="2">
        <v>1</v>
      </c>
      <c r="D69" s="2">
        <v>1.3</v>
      </c>
      <c r="E69" s="31" t="s">
        <v>18</v>
      </c>
      <c r="F69" s="2"/>
      <c r="G69" s="8">
        <v>10417</v>
      </c>
      <c r="H69" s="9">
        <v>10417</v>
      </c>
      <c r="I69" s="10">
        <f t="shared" si="1"/>
        <v>20834</v>
      </c>
      <c r="J69" s="28">
        <v>54411120</v>
      </c>
    </row>
    <row r="70" spans="1:10" x14ac:dyDescent="0.2">
      <c r="A70" s="1">
        <v>6300</v>
      </c>
      <c r="B70" s="1">
        <v>240</v>
      </c>
      <c r="C70" s="2">
        <v>1</v>
      </c>
      <c r="D70" s="2">
        <v>1.3</v>
      </c>
      <c r="E70" s="31" t="s">
        <v>20</v>
      </c>
      <c r="F70" s="2"/>
      <c r="G70" s="8">
        <v>1555</v>
      </c>
      <c r="H70" s="9">
        <v>1555</v>
      </c>
      <c r="I70" s="10">
        <f t="shared" si="1"/>
        <v>3110</v>
      </c>
      <c r="J70" s="28">
        <v>54411120</v>
      </c>
    </row>
    <row r="71" spans="1:10" ht="42" x14ac:dyDescent="0.2">
      <c r="A71" s="1">
        <v>5100</v>
      </c>
      <c r="B71" s="1">
        <v>310</v>
      </c>
      <c r="C71" s="2">
        <v>1</v>
      </c>
      <c r="D71" s="2">
        <v>1.4</v>
      </c>
      <c r="E71" s="31" t="s">
        <v>148</v>
      </c>
      <c r="F71" s="2"/>
      <c r="G71" s="8">
        <v>3999250</v>
      </c>
      <c r="H71" s="9">
        <v>0</v>
      </c>
      <c r="I71" s="10">
        <f t="shared" ref="I71:I102" si="2">G71+H71</f>
        <v>3999250</v>
      </c>
      <c r="J71" s="28">
        <v>54411174</v>
      </c>
    </row>
    <row r="72" spans="1:10" ht="56" x14ac:dyDescent="0.2">
      <c r="A72" s="1">
        <v>6100</v>
      </c>
      <c r="B72" s="1">
        <v>137</v>
      </c>
      <c r="C72" s="2">
        <v>1</v>
      </c>
      <c r="D72" s="2">
        <v>1.5</v>
      </c>
      <c r="E72" s="31" t="s">
        <v>31</v>
      </c>
      <c r="F72" s="2">
        <v>0.3</v>
      </c>
      <c r="G72" s="8">
        <f>44902*0.3</f>
        <v>13470.6</v>
      </c>
      <c r="H72" s="8">
        <f>44902*0.3</f>
        <v>13470.6</v>
      </c>
      <c r="I72" s="10">
        <f t="shared" si="2"/>
        <v>26941.200000000001</v>
      </c>
      <c r="J72" s="28">
        <v>54411176</v>
      </c>
    </row>
    <row r="73" spans="1:10" x14ac:dyDescent="0.2">
      <c r="A73" s="1">
        <v>6100</v>
      </c>
      <c r="B73" s="1">
        <v>210</v>
      </c>
      <c r="C73" s="2">
        <v>1</v>
      </c>
      <c r="D73" s="2">
        <v>1.5</v>
      </c>
      <c r="E73" s="31" t="s">
        <v>15</v>
      </c>
      <c r="F73" s="2"/>
      <c r="G73" s="8">
        <v>1602</v>
      </c>
      <c r="H73" s="8">
        <v>1602</v>
      </c>
      <c r="I73" s="10">
        <f t="shared" si="2"/>
        <v>3204</v>
      </c>
      <c r="J73" s="28">
        <v>54411176</v>
      </c>
    </row>
    <row r="74" spans="1:10" x14ac:dyDescent="0.2">
      <c r="A74" s="1">
        <v>6100</v>
      </c>
      <c r="B74" s="1">
        <v>220</v>
      </c>
      <c r="C74" s="2">
        <v>1</v>
      </c>
      <c r="D74" s="2">
        <v>1.5</v>
      </c>
      <c r="E74" s="31" t="s">
        <v>16</v>
      </c>
      <c r="F74" s="2"/>
      <c r="G74" s="8">
        <v>835</v>
      </c>
      <c r="H74" s="8">
        <v>835</v>
      </c>
      <c r="I74" s="10">
        <f t="shared" si="2"/>
        <v>1670</v>
      </c>
      <c r="J74" s="28">
        <v>54411176</v>
      </c>
    </row>
    <row r="75" spans="1:10" x14ac:dyDescent="0.2">
      <c r="A75" s="1">
        <v>6100</v>
      </c>
      <c r="B75" s="1">
        <v>221</v>
      </c>
      <c r="C75" s="2">
        <v>1</v>
      </c>
      <c r="D75" s="2">
        <v>1.5</v>
      </c>
      <c r="E75" s="31" t="s">
        <v>17</v>
      </c>
      <c r="F75" s="2"/>
      <c r="G75" s="8">
        <v>195</v>
      </c>
      <c r="H75" s="8">
        <v>195</v>
      </c>
      <c r="I75" s="10">
        <f t="shared" si="2"/>
        <v>390</v>
      </c>
      <c r="J75" s="28">
        <v>54411176</v>
      </c>
    </row>
    <row r="76" spans="1:10" x14ac:dyDescent="0.2">
      <c r="A76" s="1">
        <v>6100</v>
      </c>
      <c r="B76" s="1">
        <v>232</v>
      </c>
      <c r="C76" s="2">
        <v>1</v>
      </c>
      <c r="D76" s="2">
        <v>1.5</v>
      </c>
      <c r="E76" s="31" t="s">
        <v>18</v>
      </c>
      <c r="F76" s="2">
        <v>0.3</v>
      </c>
      <c r="G76" s="8">
        <v>3125</v>
      </c>
      <c r="H76" s="8">
        <v>3125</v>
      </c>
      <c r="I76" s="10">
        <f t="shared" si="2"/>
        <v>6250</v>
      </c>
      <c r="J76" s="28">
        <v>54411176</v>
      </c>
    </row>
    <row r="77" spans="1:10" x14ac:dyDescent="0.2">
      <c r="A77" s="1">
        <v>6100</v>
      </c>
      <c r="B77" s="1">
        <v>240</v>
      </c>
      <c r="C77" s="2">
        <v>1</v>
      </c>
      <c r="D77" s="2">
        <v>1.5</v>
      </c>
      <c r="E77" s="31" t="s">
        <v>20</v>
      </c>
      <c r="F77" s="2"/>
      <c r="G77" s="8">
        <v>354</v>
      </c>
      <c r="H77" s="8">
        <v>354</v>
      </c>
      <c r="I77" s="10">
        <f t="shared" si="2"/>
        <v>708</v>
      </c>
      <c r="J77" s="28">
        <v>54411176</v>
      </c>
    </row>
    <row r="78" spans="1:10" ht="56" x14ac:dyDescent="0.2">
      <c r="A78" s="1">
        <v>6100</v>
      </c>
      <c r="B78" s="1">
        <v>168</v>
      </c>
      <c r="C78" s="2">
        <v>1</v>
      </c>
      <c r="D78" s="2">
        <v>1.5</v>
      </c>
      <c r="E78" s="31" t="s">
        <v>30</v>
      </c>
      <c r="F78" s="2">
        <v>0.3</v>
      </c>
      <c r="G78" s="8">
        <f>91699*0.3</f>
        <v>27509.7</v>
      </c>
      <c r="H78" s="8">
        <f>91699*0.3</f>
        <v>27509.7</v>
      </c>
      <c r="I78" s="10">
        <f t="shared" si="2"/>
        <v>55019.4</v>
      </c>
      <c r="J78" s="28">
        <v>54411176</v>
      </c>
    </row>
    <row r="79" spans="1:10" x14ac:dyDescent="0.2">
      <c r="A79" s="1">
        <v>6100</v>
      </c>
      <c r="B79" s="1">
        <v>210</v>
      </c>
      <c r="C79" s="2">
        <v>1</v>
      </c>
      <c r="D79" s="2">
        <v>1.5</v>
      </c>
      <c r="E79" s="31" t="s">
        <v>15</v>
      </c>
      <c r="F79" s="2"/>
      <c r="G79" s="8">
        <v>3271</v>
      </c>
      <c r="H79" s="8">
        <v>3271</v>
      </c>
      <c r="I79" s="10">
        <f t="shared" si="2"/>
        <v>6542</v>
      </c>
      <c r="J79" s="28">
        <v>54411176</v>
      </c>
    </row>
    <row r="80" spans="1:10" x14ac:dyDescent="0.2">
      <c r="A80" s="1">
        <v>6100</v>
      </c>
      <c r="B80" s="1">
        <v>220</v>
      </c>
      <c r="C80" s="2">
        <v>1</v>
      </c>
      <c r="D80" s="2">
        <v>1.5</v>
      </c>
      <c r="E80" s="31" t="s">
        <v>16</v>
      </c>
      <c r="F80" s="2"/>
      <c r="G80" s="8">
        <v>1706</v>
      </c>
      <c r="H80" s="8">
        <v>1706</v>
      </c>
      <c r="I80" s="10">
        <f t="shared" si="2"/>
        <v>3412</v>
      </c>
      <c r="J80" s="28">
        <v>54411176</v>
      </c>
    </row>
    <row r="81" spans="1:10" x14ac:dyDescent="0.2">
      <c r="A81" s="1">
        <v>6100</v>
      </c>
      <c r="B81" s="1">
        <v>221</v>
      </c>
      <c r="C81" s="2">
        <v>1</v>
      </c>
      <c r="D81" s="2">
        <v>1.5</v>
      </c>
      <c r="E81" s="31" t="s">
        <v>17</v>
      </c>
      <c r="F81" s="2"/>
      <c r="G81" s="8">
        <v>399</v>
      </c>
      <c r="H81" s="8">
        <v>399</v>
      </c>
      <c r="I81" s="10">
        <f t="shared" si="2"/>
        <v>798</v>
      </c>
      <c r="J81" s="28">
        <v>54411176</v>
      </c>
    </row>
    <row r="82" spans="1:10" x14ac:dyDescent="0.2">
      <c r="A82" s="1">
        <v>6100</v>
      </c>
      <c r="B82" s="1">
        <v>232</v>
      </c>
      <c r="C82" s="2">
        <v>1</v>
      </c>
      <c r="D82" s="2">
        <v>1.5</v>
      </c>
      <c r="E82" s="31" t="s">
        <v>18</v>
      </c>
      <c r="F82" s="2"/>
      <c r="G82" s="8">
        <v>3125</v>
      </c>
      <c r="H82" s="8">
        <v>3125</v>
      </c>
      <c r="I82" s="10">
        <f t="shared" si="2"/>
        <v>6250</v>
      </c>
      <c r="J82" s="28">
        <v>54411176</v>
      </c>
    </row>
    <row r="83" spans="1:10" x14ac:dyDescent="0.2">
      <c r="A83" s="1">
        <v>6100</v>
      </c>
      <c r="B83" s="1">
        <v>240</v>
      </c>
      <c r="C83" s="2">
        <v>1</v>
      </c>
      <c r="D83" s="2">
        <v>1.5</v>
      </c>
      <c r="E83" s="31" t="s">
        <v>20</v>
      </c>
      <c r="F83" s="2"/>
      <c r="G83" s="8">
        <v>724</v>
      </c>
      <c r="H83" s="8">
        <v>724</v>
      </c>
      <c r="I83" s="10">
        <f t="shared" si="2"/>
        <v>1448</v>
      </c>
      <c r="J83" s="28">
        <v>54411176</v>
      </c>
    </row>
    <row r="84" spans="1:10" ht="56" x14ac:dyDescent="0.2">
      <c r="A84" s="1">
        <v>6100</v>
      </c>
      <c r="B84" s="1">
        <v>152</v>
      </c>
      <c r="C84" s="2">
        <v>1</v>
      </c>
      <c r="D84" s="2">
        <v>1.5</v>
      </c>
      <c r="E84" s="31" t="s">
        <v>32</v>
      </c>
      <c r="F84" s="2">
        <v>0.3</v>
      </c>
      <c r="G84" s="8">
        <f>50650*0.3</f>
        <v>15195</v>
      </c>
      <c r="H84" s="8">
        <f>50650*0.3</f>
        <v>15195</v>
      </c>
      <c r="I84" s="10">
        <f t="shared" si="2"/>
        <v>30390</v>
      </c>
      <c r="J84" s="28">
        <v>54411176</v>
      </c>
    </row>
    <row r="85" spans="1:10" x14ac:dyDescent="0.2">
      <c r="A85" s="1">
        <v>6100</v>
      </c>
      <c r="B85" s="1">
        <v>210</v>
      </c>
      <c r="C85" s="2">
        <v>1</v>
      </c>
      <c r="D85" s="2">
        <v>1.5</v>
      </c>
      <c r="E85" s="31" t="s">
        <v>15</v>
      </c>
      <c r="F85" s="2"/>
      <c r="G85" s="8">
        <v>1807</v>
      </c>
      <c r="H85" s="8">
        <v>1807</v>
      </c>
      <c r="I85" s="10">
        <f t="shared" si="2"/>
        <v>3614</v>
      </c>
      <c r="J85" s="28">
        <v>54411176</v>
      </c>
    </row>
    <row r="86" spans="1:10" x14ac:dyDescent="0.2">
      <c r="A86" s="1">
        <v>6100</v>
      </c>
      <c r="B86" s="1">
        <v>220</v>
      </c>
      <c r="C86" s="2">
        <v>1</v>
      </c>
      <c r="D86" s="2">
        <v>1.5</v>
      </c>
      <c r="E86" s="31" t="s">
        <v>16</v>
      </c>
      <c r="F86" s="2"/>
      <c r="G86" s="8">
        <v>942</v>
      </c>
      <c r="H86" s="8">
        <v>942</v>
      </c>
      <c r="I86" s="10">
        <f t="shared" si="2"/>
        <v>1884</v>
      </c>
      <c r="J86" s="28">
        <v>54411176</v>
      </c>
    </row>
    <row r="87" spans="1:10" x14ac:dyDescent="0.2">
      <c r="A87" s="1">
        <v>6100</v>
      </c>
      <c r="B87" s="1">
        <v>221</v>
      </c>
      <c r="C87" s="2">
        <v>1</v>
      </c>
      <c r="D87" s="2">
        <v>1.5</v>
      </c>
      <c r="E87" s="31" t="s">
        <v>17</v>
      </c>
      <c r="F87" s="2"/>
      <c r="G87" s="8">
        <v>220</v>
      </c>
      <c r="H87" s="8">
        <v>220</v>
      </c>
      <c r="I87" s="10">
        <f t="shared" si="2"/>
        <v>440</v>
      </c>
      <c r="J87" s="28">
        <v>54411176</v>
      </c>
    </row>
    <row r="88" spans="1:10" x14ac:dyDescent="0.2">
      <c r="A88" s="1">
        <v>6100</v>
      </c>
      <c r="B88" s="1">
        <v>232</v>
      </c>
      <c r="C88" s="2">
        <v>1</v>
      </c>
      <c r="D88" s="2">
        <v>1.5</v>
      </c>
      <c r="E88" s="31" t="s">
        <v>18</v>
      </c>
      <c r="F88" s="2">
        <v>0.3</v>
      </c>
      <c r="G88" s="8">
        <v>3125</v>
      </c>
      <c r="H88" s="8">
        <v>3125</v>
      </c>
      <c r="I88" s="10">
        <f t="shared" si="2"/>
        <v>6250</v>
      </c>
      <c r="J88" s="28">
        <v>54411176</v>
      </c>
    </row>
    <row r="89" spans="1:10" x14ac:dyDescent="0.2">
      <c r="A89" s="1">
        <v>6100</v>
      </c>
      <c r="B89" s="1">
        <v>240</v>
      </c>
      <c r="C89" s="2">
        <v>1</v>
      </c>
      <c r="D89" s="2">
        <v>1.5</v>
      </c>
      <c r="E89" s="31" t="s">
        <v>20</v>
      </c>
      <c r="F89" s="2"/>
      <c r="G89" s="8">
        <v>400</v>
      </c>
      <c r="H89" s="8">
        <v>400</v>
      </c>
      <c r="I89" s="10">
        <f t="shared" si="2"/>
        <v>800</v>
      </c>
      <c r="J89" s="28">
        <v>54411176</v>
      </c>
    </row>
    <row r="90" spans="1:10" ht="42" x14ac:dyDescent="0.2">
      <c r="A90" s="1">
        <v>6100</v>
      </c>
      <c r="B90" s="1">
        <v>150</v>
      </c>
      <c r="C90" s="2">
        <v>1</v>
      </c>
      <c r="D90" s="2">
        <v>1.5</v>
      </c>
      <c r="E90" s="31" t="s">
        <v>33</v>
      </c>
      <c r="F90" s="2">
        <v>0.3</v>
      </c>
      <c r="G90" s="8">
        <f>34814*0.3</f>
        <v>10444.199999999999</v>
      </c>
      <c r="H90" s="8">
        <f>34814*0.3</f>
        <v>10444.199999999999</v>
      </c>
      <c r="I90" s="10">
        <f t="shared" si="2"/>
        <v>20888.399999999998</v>
      </c>
      <c r="J90" s="28">
        <v>54411176</v>
      </c>
    </row>
    <row r="91" spans="1:10" x14ac:dyDescent="0.2">
      <c r="A91" s="1">
        <v>6100</v>
      </c>
      <c r="B91" s="1">
        <v>210</v>
      </c>
      <c r="C91" s="2">
        <v>1</v>
      </c>
      <c r="D91" s="2">
        <v>1.5</v>
      </c>
      <c r="E91" s="31" t="s">
        <v>15</v>
      </c>
      <c r="F91" s="2"/>
      <c r="G91" s="8">
        <v>1242</v>
      </c>
      <c r="H91" s="8">
        <v>1242</v>
      </c>
      <c r="I91" s="10">
        <f t="shared" si="2"/>
        <v>2484</v>
      </c>
      <c r="J91" s="28">
        <v>54411176</v>
      </c>
    </row>
    <row r="92" spans="1:10" x14ac:dyDescent="0.2">
      <c r="A92" s="1">
        <v>6100</v>
      </c>
      <c r="B92" s="1">
        <v>220</v>
      </c>
      <c r="C92" s="2">
        <v>1</v>
      </c>
      <c r="D92" s="2">
        <v>1.5</v>
      </c>
      <c r="E92" s="31" t="s">
        <v>16</v>
      </c>
      <c r="F92" s="2"/>
      <c r="G92" s="8">
        <v>648</v>
      </c>
      <c r="H92" s="8">
        <v>1242</v>
      </c>
      <c r="I92" s="10">
        <f t="shared" si="2"/>
        <v>1890</v>
      </c>
      <c r="J92" s="28">
        <v>54411176</v>
      </c>
    </row>
    <row r="93" spans="1:10" x14ac:dyDescent="0.2">
      <c r="A93" s="1">
        <v>6100</v>
      </c>
      <c r="B93" s="1">
        <v>221</v>
      </c>
      <c r="C93" s="2">
        <v>1</v>
      </c>
      <c r="D93" s="2">
        <v>1.5</v>
      </c>
      <c r="E93" s="31" t="s">
        <v>17</v>
      </c>
      <c r="F93" s="2"/>
      <c r="G93" s="8">
        <v>151</v>
      </c>
      <c r="H93" s="8">
        <v>1242</v>
      </c>
      <c r="I93" s="10">
        <f t="shared" si="2"/>
        <v>1393</v>
      </c>
      <c r="J93" s="28">
        <v>54411176</v>
      </c>
    </row>
    <row r="94" spans="1:10" x14ac:dyDescent="0.2">
      <c r="A94" s="1">
        <v>6100</v>
      </c>
      <c r="B94" s="1">
        <v>240</v>
      </c>
      <c r="C94" s="2">
        <v>1</v>
      </c>
      <c r="D94" s="2">
        <v>1.5</v>
      </c>
      <c r="E94" s="31" t="s">
        <v>20</v>
      </c>
      <c r="F94" s="2"/>
      <c r="G94" s="8">
        <v>275</v>
      </c>
      <c r="H94" s="8">
        <v>1242</v>
      </c>
      <c r="I94" s="10">
        <f t="shared" si="2"/>
        <v>1517</v>
      </c>
      <c r="J94" s="28">
        <v>54411176</v>
      </c>
    </row>
    <row r="95" spans="1:10" ht="56" x14ac:dyDescent="0.2">
      <c r="A95" s="1">
        <v>6100</v>
      </c>
      <c r="B95" s="1">
        <v>150</v>
      </c>
      <c r="C95" s="2">
        <v>1</v>
      </c>
      <c r="D95" s="2">
        <v>1.5</v>
      </c>
      <c r="E95" s="31" t="s">
        <v>125</v>
      </c>
      <c r="F95" s="2">
        <v>0.3</v>
      </c>
      <c r="G95" s="8">
        <f>25649*0.3</f>
        <v>7694.7</v>
      </c>
      <c r="H95" s="8">
        <f>25649*0.3</f>
        <v>7694.7</v>
      </c>
      <c r="I95" s="10">
        <f t="shared" si="2"/>
        <v>15389.4</v>
      </c>
      <c r="J95" s="28">
        <v>54411176</v>
      </c>
    </row>
    <row r="96" spans="1:10" x14ac:dyDescent="0.2">
      <c r="A96" s="1">
        <v>6100</v>
      </c>
      <c r="B96" s="1">
        <v>210</v>
      </c>
      <c r="C96" s="2">
        <v>1</v>
      </c>
      <c r="D96" s="2">
        <v>1.5</v>
      </c>
      <c r="E96" s="31" t="s">
        <v>15</v>
      </c>
      <c r="F96" s="2"/>
      <c r="G96" s="8">
        <v>915</v>
      </c>
      <c r="H96" s="8">
        <v>915</v>
      </c>
      <c r="I96" s="10">
        <f t="shared" si="2"/>
        <v>1830</v>
      </c>
      <c r="J96" s="28">
        <v>54411176</v>
      </c>
    </row>
    <row r="97" spans="1:10" x14ac:dyDescent="0.2">
      <c r="A97" s="1">
        <v>6100</v>
      </c>
      <c r="B97" s="1">
        <v>220</v>
      </c>
      <c r="C97" s="2">
        <v>1</v>
      </c>
      <c r="D97" s="2">
        <v>1.5</v>
      </c>
      <c r="E97" s="31" t="s">
        <v>16</v>
      </c>
      <c r="F97" s="2"/>
      <c r="G97" s="8">
        <v>477</v>
      </c>
      <c r="H97" s="8">
        <v>477</v>
      </c>
      <c r="I97" s="10">
        <f t="shared" si="2"/>
        <v>954</v>
      </c>
      <c r="J97" s="28">
        <v>54411176</v>
      </c>
    </row>
    <row r="98" spans="1:10" x14ac:dyDescent="0.2">
      <c r="A98" s="1">
        <v>6100</v>
      </c>
      <c r="B98" s="1">
        <v>221</v>
      </c>
      <c r="C98" s="2">
        <v>1</v>
      </c>
      <c r="D98" s="2">
        <v>1.5</v>
      </c>
      <c r="E98" s="31" t="s">
        <v>17</v>
      </c>
      <c r="F98" s="2"/>
      <c r="G98" s="8">
        <v>112</v>
      </c>
      <c r="H98" s="8">
        <v>112</v>
      </c>
      <c r="I98" s="10">
        <f t="shared" si="2"/>
        <v>224</v>
      </c>
      <c r="J98" s="28">
        <v>54411176</v>
      </c>
    </row>
    <row r="99" spans="1:10" x14ac:dyDescent="0.2">
      <c r="A99" s="1">
        <v>6100</v>
      </c>
      <c r="B99" s="1">
        <v>240</v>
      </c>
      <c r="C99" s="2">
        <v>1</v>
      </c>
      <c r="D99" s="2">
        <v>1.5</v>
      </c>
      <c r="E99" s="31" t="s">
        <v>20</v>
      </c>
      <c r="F99" s="2"/>
      <c r="G99" s="8">
        <v>202</v>
      </c>
      <c r="H99" s="8">
        <v>202</v>
      </c>
      <c r="I99" s="10">
        <f t="shared" si="2"/>
        <v>404</v>
      </c>
      <c r="J99" s="28">
        <v>54411176</v>
      </c>
    </row>
    <row r="100" spans="1:10" ht="42" x14ac:dyDescent="0.2">
      <c r="A100" s="1">
        <v>6100</v>
      </c>
      <c r="B100" s="1">
        <v>150</v>
      </c>
      <c r="C100" s="2">
        <v>1</v>
      </c>
      <c r="D100" s="2">
        <v>1.5</v>
      </c>
      <c r="E100" s="31" t="s">
        <v>34</v>
      </c>
      <c r="F100" s="2">
        <v>0.3</v>
      </c>
      <c r="G100" s="8">
        <f>30240*0.3</f>
        <v>9072</v>
      </c>
      <c r="H100" s="8">
        <f>30240*0.3</f>
        <v>9072</v>
      </c>
      <c r="I100" s="10">
        <f t="shared" si="2"/>
        <v>18144</v>
      </c>
      <c r="J100" s="28">
        <v>54411176</v>
      </c>
    </row>
    <row r="101" spans="1:10" x14ac:dyDescent="0.2">
      <c r="A101" s="1">
        <v>6100</v>
      </c>
      <c r="B101" s="1">
        <v>210</v>
      </c>
      <c r="C101" s="2">
        <v>1</v>
      </c>
      <c r="D101" s="2">
        <v>1.5</v>
      </c>
      <c r="E101" s="31" t="s">
        <v>15</v>
      </c>
      <c r="F101" s="2"/>
      <c r="G101" s="8">
        <v>1079</v>
      </c>
      <c r="H101" s="8">
        <v>1079</v>
      </c>
      <c r="I101" s="10">
        <f t="shared" si="2"/>
        <v>2158</v>
      </c>
      <c r="J101" s="28">
        <v>54411176</v>
      </c>
    </row>
    <row r="102" spans="1:10" x14ac:dyDescent="0.2">
      <c r="A102" s="1">
        <v>6100</v>
      </c>
      <c r="B102" s="1">
        <v>220</v>
      </c>
      <c r="C102" s="2">
        <v>1</v>
      </c>
      <c r="D102" s="2">
        <v>1.5</v>
      </c>
      <c r="E102" s="31" t="s">
        <v>16</v>
      </c>
      <c r="F102" s="2"/>
      <c r="G102" s="8">
        <v>562</v>
      </c>
      <c r="H102" s="8">
        <v>562</v>
      </c>
      <c r="I102" s="10">
        <f t="shared" si="2"/>
        <v>1124</v>
      </c>
      <c r="J102" s="28">
        <v>54411176</v>
      </c>
    </row>
    <row r="103" spans="1:10" x14ac:dyDescent="0.2">
      <c r="A103" s="1">
        <v>6100</v>
      </c>
      <c r="B103" s="1">
        <v>221</v>
      </c>
      <c r="C103" s="2">
        <v>1</v>
      </c>
      <c r="D103" s="2">
        <v>1.5</v>
      </c>
      <c r="E103" s="31" t="s">
        <v>17</v>
      </c>
      <c r="F103" s="2"/>
      <c r="G103" s="8">
        <v>132</v>
      </c>
      <c r="H103" s="8">
        <v>132</v>
      </c>
      <c r="I103" s="10">
        <f t="shared" ref="I103:I134" si="3">G103+H103</f>
        <v>264</v>
      </c>
      <c r="J103" s="28">
        <v>54411176</v>
      </c>
    </row>
    <row r="104" spans="1:10" x14ac:dyDescent="0.2">
      <c r="A104" s="1">
        <v>6100</v>
      </c>
      <c r="B104" s="1">
        <v>240</v>
      </c>
      <c r="C104" s="2">
        <v>1</v>
      </c>
      <c r="D104" s="2">
        <v>1.5</v>
      </c>
      <c r="E104" s="31" t="s">
        <v>20</v>
      </c>
      <c r="F104" s="2"/>
      <c r="G104" s="8">
        <v>239</v>
      </c>
      <c r="H104" s="8">
        <v>239</v>
      </c>
      <c r="I104" s="10">
        <f t="shared" si="3"/>
        <v>478</v>
      </c>
      <c r="J104" s="28">
        <v>54411176</v>
      </c>
    </row>
    <row r="105" spans="1:10" ht="42" x14ac:dyDescent="0.2">
      <c r="A105" s="1">
        <v>7900</v>
      </c>
      <c r="B105" s="1">
        <v>150</v>
      </c>
      <c r="C105" s="2">
        <v>1</v>
      </c>
      <c r="D105" s="2">
        <v>1.5</v>
      </c>
      <c r="E105" s="31" t="s">
        <v>35</v>
      </c>
      <c r="F105" s="2">
        <v>0.3</v>
      </c>
      <c r="G105" s="8">
        <f>12000*0.3</f>
        <v>3600</v>
      </c>
      <c r="H105" s="8">
        <f>12000*0.3</f>
        <v>3600</v>
      </c>
      <c r="I105" s="10">
        <f t="shared" si="3"/>
        <v>7200</v>
      </c>
      <c r="J105" s="28">
        <v>54411176</v>
      </c>
    </row>
    <row r="106" spans="1:10" x14ac:dyDescent="0.2">
      <c r="A106" s="1">
        <v>7900</v>
      </c>
      <c r="B106" s="1">
        <v>210</v>
      </c>
      <c r="C106" s="2">
        <v>1</v>
      </c>
      <c r="D106" s="2">
        <v>1.5</v>
      </c>
      <c r="E106" s="31" t="s">
        <v>15</v>
      </c>
      <c r="F106" s="2"/>
      <c r="G106" s="8">
        <v>428</v>
      </c>
      <c r="H106" s="8">
        <v>428</v>
      </c>
      <c r="I106" s="10">
        <f t="shared" si="3"/>
        <v>856</v>
      </c>
      <c r="J106" s="28">
        <v>54411176</v>
      </c>
    </row>
    <row r="107" spans="1:10" x14ac:dyDescent="0.2">
      <c r="A107" s="1">
        <v>7900</v>
      </c>
      <c r="B107" s="1">
        <v>220</v>
      </c>
      <c r="C107" s="2">
        <v>1</v>
      </c>
      <c r="D107" s="2">
        <v>1.5</v>
      </c>
      <c r="E107" s="31" t="s">
        <v>16</v>
      </c>
      <c r="F107" s="2"/>
      <c r="G107" s="8">
        <v>223</v>
      </c>
      <c r="H107" s="8">
        <v>223</v>
      </c>
      <c r="I107" s="10">
        <f t="shared" si="3"/>
        <v>446</v>
      </c>
      <c r="J107" s="28">
        <v>54411176</v>
      </c>
    </row>
    <row r="108" spans="1:10" x14ac:dyDescent="0.2">
      <c r="A108" s="1">
        <v>7900</v>
      </c>
      <c r="B108" s="1">
        <v>221</v>
      </c>
      <c r="C108" s="2">
        <v>1</v>
      </c>
      <c r="D108" s="2">
        <v>1.5</v>
      </c>
      <c r="E108" s="31" t="s">
        <v>17</v>
      </c>
      <c r="F108" s="2"/>
      <c r="G108" s="8">
        <v>52</v>
      </c>
      <c r="H108" s="8">
        <v>52</v>
      </c>
      <c r="I108" s="10">
        <f t="shared" si="3"/>
        <v>104</v>
      </c>
      <c r="J108" s="28">
        <v>54411176</v>
      </c>
    </row>
    <row r="109" spans="1:10" x14ac:dyDescent="0.2">
      <c r="A109" s="1">
        <v>7900</v>
      </c>
      <c r="B109" s="1">
        <v>240</v>
      </c>
      <c r="C109" s="2">
        <v>1</v>
      </c>
      <c r="D109" s="2">
        <v>1.5</v>
      </c>
      <c r="E109" s="31" t="s">
        <v>20</v>
      </c>
      <c r="F109" s="2"/>
      <c r="G109" s="8">
        <v>95</v>
      </c>
      <c r="H109" s="8">
        <v>95</v>
      </c>
      <c r="I109" s="10">
        <f t="shared" si="3"/>
        <v>190</v>
      </c>
      <c r="J109" s="28">
        <v>54411176</v>
      </c>
    </row>
    <row r="110" spans="1:10" ht="28" x14ac:dyDescent="0.2">
      <c r="A110" s="1">
        <v>6100</v>
      </c>
      <c r="B110" s="1">
        <v>150</v>
      </c>
      <c r="C110" s="2">
        <v>1</v>
      </c>
      <c r="D110" s="2">
        <v>1.5</v>
      </c>
      <c r="E110" s="31" t="s">
        <v>36</v>
      </c>
      <c r="F110" s="2">
        <v>15</v>
      </c>
      <c r="G110" s="8">
        <v>319828</v>
      </c>
      <c r="H110" s="8">
        <v>319828</v>
      </c>
      <c r="I110" s="10">
        <f t="shared" si="3"/>
        <v>639656</v>
      </c>
      <c r="J110" s="28">
        <v>54411176</v>
      </c>
    </row>
    <row r="111" spans="1:10" x14ac:dyDescent="0.2">
      <c r="A111" s="1">
        <v>6100</v>
      </c>
      <c r="B111" s="1">
        <v>210</v>
      </c>
      <c r="C111" s="2">
        <v>1</v>
      </c>
      <c r="D111" s="2">
        <v>1.5</v>
      </c>
      <c r="E111" s="31" t="s">
        <v>15</v>
      </c>
      <c r="F111" s="2"/>
      <c r="G111" s="8">
        <v>38027</v>
      </c>
      <c r="H111" s="8">
        <v>38027</v>
      </c>
      <c r="I111" s="10">
        <f t="shared" si="3"/>
        <v>76054</v>
      </c>
      <c r="J111" s="28">
        <v>54411176</v>
      </c>
    </row>
    <row r="112" spans="1:10" x14ac:dyDescent="0.2">
      <c r="A112" s="1">
        <v>6100</v>
      </c>
      <c r="B112" s="1">
        <v>220</v>
      </c>
      <c r="C112" s="2">
        <v>1</v>
      </c>
      <c r="D112" s="2">
        <v>1.5</v>
      </c>
      <c r="E112" s="31" t="s">
        <v>16</v>
      </c>
      <c r="F112" s="2"/>
      <c r="G112" s="8">
        <v>19828</v>
      </c>
      <c r="H112" s="8">
        <v>19828</v>
      </c>
      <c r="I112" s="10">
        <f t="shared" si="3"/>
        <v>39656</v>
      </c>
      <c r="J112" s="28">
        <v>54411176</v>
      </c>
    </row>
    <row r="113" spans="1:14" x14ac:dyDescent="0.2">
      <c r="A113" s="1">
        <v>6100</v>
      </c>
      <c r="B113" s="1">
        <v>221</v>
      </c>
      <c r="C113" s="2">
        <v>1</v>
      </c>
      <c r="D113" s="2">
        <v>1.5</v>
      </c>
      <c r="E113" s="31" t="s">
        <v>17</v>
      </c>
      <c r="F113" s="2"/>
      <c r="G113" s="8">
        <v>4638</v>
      </c>
      <c r="H113" s="8">
        <v>4638</v>
      </c>
      <c r="I113" s="10">
        <f t="shared" si="3"/>
        <v>9276</v>
      </c>
      <c r="J113" s="28">
        <v>54411176</v>
      </c>
    </row>
    <row r="114" spans="1:14" x14ac:dyDescent="0.2">
      <c r="A114" s="1">
        <v>6100</v>
      </c>
      <c r="B114" s="1">
        <v>240</v>
      </c>
      <c r="C114" s="2">
        <v>1</v>
      </c>
      <c r="D114" s="2">
        <v>1.5</v>
      </c>
      <c r="E114" s="31" t="s">
        <v>20</v>
      </c>
      <c r="F114" s="2"/>
      <c r="G114" s="8">
        <v>8411</v>
      </c>
      <c r="H114" s="8">
        <v>8411</v>
      </c>
      <c r="I114" s="10">
        <f t="shared" si="3"/>
        <v>16822</v>
      </c>
      <c r="J114" s="28">
        <v>54411176</v>
      </c>
    </row>
    <row r="115" spans="1:14" ht="28" x14ac:dyDescent="0.2">
      <c r="A115" s="1">
        <v>6100</v>
      </c>
      <c r="B115" s="1">
        <v>310</v>
      </c>
      <c r="C115" s="2">
        <v>1</v>
      </c>
      <c r="D115" s="2">
        <v>1.5</v>
      </c>
      <c r="E115" s="31" t="s">
        <v>37</v>
      </c>
      <c r="F115" s="2"/>
      <c r="G115" s="8">
        <f>45000*0.3</f>
        <v>13500</v>
      </c>
      <c r="H115" s="8">
        <f>45000*0.3</f>
        <v>13500</v>
      </c>
      <c r="I115" s="10">
        <f t="shared" si="3"/>
        <v>27000</v>
      </c>
      <c r="J115" s="28">
        <v>54411176</v>
      </c>
    </row>
    <row r="116" spans="1:14" ht="28" x14ac:dyDescent="0.2">
      <c r="A116" s="1">
        <v>6100</v>
      </c>
      <c r="B116" s="1">
        <v>510</v>
      </c>
      <c r="C116" s="2">
        <v>1</v>
      </c>
      <c r="D116" s="2">
        <v>1.5</v>
      </c>
      <c r="E116" s="31" t="s">
        <v>38</v>
      </c>
      <c r="F116" s="2"/>
      <c r="G116" s="8">
        <v>41018</v>
      </c>
      <c r="H116" s="8">
        <v>41018</v>
      </c>
      <c r="I116" s="10">
        <f t="shared" si="3"/>
        <v>82036</v>
      </c>
      <c r="J116" s="28">
        <v>54411176</v>
      </c>
    </row>
    <row r="117" spans="1:14" ht="28" x14ac:dyDescent="0.2">
      <c r="A117" s="1">
        <v>7800</v>
      </c>
      <c r="B117" s="1">
        <v>332</v>
      </c>
      <c r="C117" s="2">
        <v>1</v>
      </c>
      <c r="D117" s="2">
        <v>1.5</v>
      </c>
      <c r="E117" s="31" t="s">
        <v>39</v>
      </c>
      <c r="F117" s="2"/>
      <c r="G117" s="8">
        <f>30000*0.3</f>
        <v>9000</v>
      </c>
      <c r="H117" s="8">
        <f>30000*0.3</f>
        <v>9000</v>
      </c>
      <c r="I117" s="10">
        <f t="shared" si="3"/>
        <v>18000</v>
      </c>
      <c r="J117" s="28">
        <v>54411176</v>
      </c>
    </row>
    <row r="118" spans="1:14" ht="28" x14ac:dyDescent="0.2">
      <c r="A118" s="1">
        <v>6100</v>
      </c>
      <c r="B118" s="1">
        <v>370</v>
      </c>
      <c r="C118" s="2">
        <v>1</v>
      </c>
      <c r="D118" s="2">
        <v>1.5</v>
      </c>
      <c r="E118" s="31" t="s">
        <v>40</v>
      </c>
      <c r="F118" s="2"/>
      <c r="G118" s="8">
        <f>2700*0.3</f>
        <v>810</v>
      </c>
      <c r="H118" s="8">
        <f>2700*0.3</f>
        <v>810</v>
      </c>
      <c r="I118" s="10">
        <f t="shared" si="3"/>
        <v>1620</v>
      </c>
      <c r="J118" s="28">
        <v>54411176</v>
      </c>
    </row>
    <row r="119" spans="1:14" ht="28" x14ac:dyDescent="0.2">
      <c r="A119" s="1">
        <v>6100</v>
      </c>
      <c r="B119" s="1">
        <v>399</v>
      </c>
      <c r="C119" s="2">
        <v>1</v>
      </c>
      <c r="D119" s="2">
        <v>1.5</v>
      </c>
      <c r="E119" s="31" t="s">
        <v>41</v>
      </c>
      <c r="F119" s="2"/>
      <c r="G119" s="8">
        <f>3000*0.3</f>
        <v>900</v>
      </c>
      <c r="H119" s="8">
        <f>3000*0.3</f>
        <v>900</v>
      </c>
      <c r="I119" s="10">
        <f t="shared" si="3"/>
        <v>1800</v>
      </c>
      <c r="J119" s="28">
        <v>54411176</v>
      </c>
      <c r="N119" s="17"/>
    </row>
    <row r="120" spans="1:14" ht="28" x14ac:dyDescent="0.2">
      <c r="A120" s="1">
        <v>6100</v>
      </c>
      <c r="B120" s="1">
        <v>510</v>
      </c>
      <c r="C120" s="2">
        <v>1</v>
      </c>
      <c r="D120" s="2">
        <v>1.5</v>
      </c>
      <c r="E120" s="31" t="s">
        <v>152</v>
      </c>
      <c r="F120" s="2"/>
      <c r="G120" s="8">
        <f>6000*0.3</f>
        <v>1800</v>
      </c>
      <c r="H120" s="8">
        <f>6000*0.3</f>
        <v>1800</v>
      </c>
      <c r="I120" s="10">
        <f t="shared" si="3"/>
        <v>3600</v>
      </c>
      <c r="J120" s="28">
        <v>54411176</v>
      </c>
    </row>
    <row r="121" spans="1:14" x14ac:dyDescent="0.2">
      <c r="A121" s="1">
        <v>5100</v>
      </c>
      <c r="B121" s="1">
        <v>150</v>
      </c>
      <c r="C121" s="2">
        <v>1</v>
      </c>
      <c r="D121" s="2">
        <v>1.6</v>
      </c>
      <c r="E121" s="31" t="s">
        <v>73</v>
      </c>
      <c r="F121" s="2">
        <v>499.57</v>
      </c>
      <c r="G121" s="8">
        <f>21282434*0.667</f>
        <v>14195383.478</v>
      </c>
      <c r="H121" s="9">
        <f>21282434-G121</f>
        <v>7087050.5219999999</v>
      </c>
      <c r="I121" s="10">
        <f t="shared" si="3"/>
        <v>21282434</v>
      </c>
      <c r="J121" s="28">
        <v>54411223</v>
      </c>
    </row>
    <row r="122" spans="1:14" x14ac:dyDescent="0.2">
      <c r="A122" s="1">
        <v>5100</v>
      </c>
      <c r="B122" s="1">
        <v>210</v>
      </c>
      <c r="C122" s="2">
        <v>1</v>
      </c>
      <c r="D122" s="2">
        <v>1.6</v>
      </c>
      <c r="E122" s="31" t="s">
        <v>15</v>
      </c>
      <c r="F122" s="2"/>
      <c r="G122" s="8">
        <f>2530481*0.667</f>
        <v>1687830.827</v>
      </c>
      <c r="H122" s="9">
        <f>2530481-G122</f>
        <v>842650.17299999995</v>
      </c>
      <c r="I122" s="10">
        <f t="shared" si="3"/>
        <v>2530481</v>
      </c>
      <c r="J122" s="28">
        <v>54411223</v>
      </c>
    </row>
    <row r="123" spans="1:14" x14ac:dyDescent="0.2">
      <c r="A123" s="1">
        <v>5100</v>
      </c>
      <c r="B123" s="1">
        <v>220</v>
      </c>
      <c r="C123" s="2">
        <v>1</v>
      </c>
      <c r="D123" s="2">
        <v>1.6</v>
      </c>
      <c r="E123" s="31" t="s">
        <v>16</v>
      </c>
      <c r="F123" s="2"/>
      <c r="G123" s="8">
        <f>1319512*0.667</f>
        <v>880114.50400000007</v>
      </c>
      <c r="H123" s="9">
        <f>1319512-G123</f>
        <v>439397.49599999993</v>
      </c>
      <c r="I123" s="10">
        <f t="shared" si="3"/>
        <v>1319512</v>
      </c>
      <c r="J123" s="28">
        <v>54411223</v>
      </c>
    </row>
    <row r="124" spans="1:14" x14ac:dyDescent="0.2">
      <c r="A124" s="1">
        <v>5100</v>
      </c>
      <c r="B124" s="1">
        <v>221</v>
      </c>
      <c r="C124" s="2">
        <v>1</v>
      </c>
      <c r="D124" s="2">
        <v>1.6</v>
      </c>
      <c r="E124" s="31" t="s">
        <v>17</v>
      </c>
      <c r="F124" s="2"/>
      <c r="G124" s="8">
        <f>308595*0.667</f>
        <v>205832.86500000002</v>
      </c>
      <c r="H124" s="9">
        <f>308595-G124</f>
        <v>102762.13499999998</v>
      </c>
      <c r="I124" s="10">
        <f t="shared" si="3"/>
        <v>308595</v>
      </c>
      <c r="J124" s="28">
        <v>54411223</v>
      </c>
    </row>
    <row r="125" spans="1:14" x14ac:dyDescent="0.2">
      <c r="A125" s="1">
        <v>5100</v>
      </c>
      <c r="B125" s="1">
        <v>240</v>
      </c>
      <c r="C125" s="2">
        <v>1</v>
      </c>
      <c r="D125" s="2">
        <v>1.6</v>
      </c>
      <c r="E125" s="31" t="s">
        <v>20</v>
      </c>
      <c r="F125" s="2"/>
      <c r="G125" s="8">
        <f>559728*0.667</f>
        <v>373338.576</v>
      </c>
      <c r="H125" s="9">
        <f>559728-G125</f>
        <v>186389.424</v>
      </c>
      <c r="I125" s="10">
        <f t="shared" si="3"/>
        <v>559728</v>
      </c>
      <c r="J125" s="28">
        <v>54411223</v>
      </c>
    </row>
    <row r="126" spans="1:14" ht="84" x14ac:dyDescent="0.2">
      <c r="A126" s="1">
        <v>5100</v>
      </c>
      <c r="B126" s="1">
        <v>310</v>
      </c>
      <c r="C126" s="2">
        <v>1</v>
      </c>
      <c r="D126" s="2">
        <v>1.7</v>
      </c>
      <c r="E126" s="32" t="s">
        <v>236</v>
      </c>
      <c r="F126" s="2"/>
      <c r="G126" s="8">
        <v>500000</v>
      </c>
      <c r="H126" s="9">
        <v>500000</v>
      </c>
      <c r="I126" s="10">
        <f t="shared" si="3"/>
        <v>1000000</v>
      </c>
      <c r="J126" s="28">
        <v>54411224</v>
      </c>
    </row>
    <row r="127" spans="1:14" ht="56" x14ac:dyDescent="0.2">
      <c r="A127" s="1">
        <v>5100</v>
      </c>
      <c r="B127" s="1">
        <v>144</v>
      </c>
      <c r="C127" s="2">
        <v>1</v>
      </c>
      <c r="D127" s="2">
        <v>1.8</v>
      </c>
      <c r="E127" s="31" t="s">
        <v>28</v>
      </c>
      <c r="F127" s="2">
        <v>641.98</v>
      </c>
      <c r="G127" s="8">
        <f>32741262/2</f>
        <v>16370631</v>
      </c>
      <c r="H127" s="8">
        <f>32741262/2</f>
        <v>16370631</v>
      </c>
      <c r="I127" s="10">
        <f t="shared" si="3"/>
        <v>32741262</v>
      </c>
      <c r="J127" s="28">
        <v>54411225</v>
      </c>
    </row>
    <row r="128" spans="1:14" x14ac:dyDescent="0.2">
      <c r="A128" s="1">
        <v>5100</v>
      </c>
      <c r="B128" s="1">
        <v>210</v>
      </c>
      <c r="C128" s="2">
        <v>1</v>
      </c>
      <c r="D128" s="2">
        <v>1.8</v>
      </c>
      <c r="E128" s="31" t="s">
        <v>15</v>
      </c>
      <c r="F128" s="2"/>
      <c r="G128" s="8">
        <v>1946468</v>
      </c>
      <c r="H128" s="8">
        <v>1946468</v>
      </c>
      <c r="I128" s="10">
        <f t="shared" si="3"/>
        <v>3892936</v>
      </c>
      <c r="J128" s="28">
        <v>54411225</v>
      </c>
    </row>
    <row r="129" spans="1:10" x14ac:dyDescent="0.2">
      <c r="A129" s="1">
        <v>5100</v>
      </c>
      <c r="B129" s="1">
        <v>220</v>
      </c>
      <c r="C129" s="2">
        <v>1</v>
      </c>
      <c r="D129" s="2">
        <v>1.8</v>
      </c>
      <c r="E129" s="31" t="s">
        <v>16</v>
      </c>
      <c r="F129" s="2"/>
      <c r="G129" s="8">
        <v>1014979</v>
      </c>
      <c r="H129" s="8">
        <v>1014979</v>
      </c>
      <c r="I129" s="10">
        <f t="shared" si="3"/>
        <v>2029958</v>
      </c>
      <c r="J129" s="28">
        <v>54411225</v>
      </c>
    </row>
    <row r="130" spans="1:10" x14ac:dyDescent="0.2">
      <c r="A130" s="1">
        <v>5100</v>
      </c>
      <c r="B130" s="1">
        <v>221</v>
      </c>
      <c r="C130" s="2">
        <v>1</v>
      </c>
      <c r="D130" s="2">
        <v>1.8</v>
      </c>
      <c r="E130" s="31" t="s">
        <v>17</v>
      </c>
      <c r="F130" s="2"/>
      <c r="G130" s="8">
        <v>237374</v>
      </c>
      <c r="H130" s="8">
        <v>237374</v>
      </c>
      <c r="I130" s="10">
        <f t="shared" si="3"/>
        <v>474748</v>
      </c>
      <c r="J130" s="28">
        <v>54411225</v>
      </c>
    </row>
    <row r="131" spans="1:10" x14ac:dyDescent="0.2">
      <c r="A131" s="1">
        <v>5100</v>
      </c>
      <c r="B131" s="1">
        <v>240</v>
      </c>
      <c r="C131" s="2">
        <v>1</v>
      </c>
      <c r="D131" s="2">
        <v>1.8</v>
      </c>
      <c r="E131" s="31" t="s">
        <v>20</v>
      </c>
      <c r="F131" s="2"/>
      <c r="G131" s="8">
        <v>430548</v>
      </c>
      <c r="H131" s="8">
        <v>430548</v>
      </c>
      <c r="I131" s="10">
        <f t="shared" si="3"/>
        <v>861096</v>
      </c>
      <c r="J131" s="28">
        <v>54411225</v>
      </c>
    </row>
    <row r="132" spans="1:10" ht="42" x14ac:dyDescent="0.2">
      <c r="A132" s="1">
        <v>5100</v>
      </c>
      <c r="B132" s="1">
        <v>144</v>
      </c>
      <c r="C132" s="2">
        <v>1</v>
      </c>
      <c r="D132" s="2">
        <v>1.9</v>
      </c>
      <c r="E132" s="31" t="s">
        <v>239</v>
      </c>
      <c r="F132" s="2">
        <v>117</v>
      </c>
      <c r="G132" s="8">
        <f>14040000*0.667</f>
        <v>9364680</v>
      </c>
      <c r="H132" s="8">
        <f>14040000-G132</f>
        <v>4675320</v>
      </c>
      <c r="I132" s="10">
        <f t="shared" si="3"/>
        <v>14040000</v>
      </c>
      <c r="J132" s="28">
        <v>54411226</v>
      </c>
    </row>
    <row r="133" spans="1:10" x14ac:dyDescent="0.2">
      <c r="A133" s="1">
        <v>5100</v>
      </c>
      <c r="B133" s="1">
        <v>210</v>
      </c>
      <c r="C133" s="2">
        <v>1</v>
      </c>
      <c r="D133" s="2">
        <v>1.9</v>
      </c>
      <c r="E133" s="31" t="s">
        <v>15</v>
      </c>
      <c r="F133" s="2"/>
      <c r="G133" s="8">
        <f>1669356*0.667</f>
        <v>1113460.452</v>
      </c>
      <c r="H133" s="8">
        <f>1669356-G133</f>
        <v>555895.54799999995</v>
      </c>
      <c r="I133" s="10">
        <f t="shared" si="3"/>
        <v>1669356</v>
      </c>
      <c r="J133" s="28">
        <v>54411226</v>
      </c>
    </row>
    <row r="134" spans="1:10" x14ac:dyDescent="0.2">
      <c r="A134" s="1">
        <v>5100</v>
      </c>
      <c r="B134" s="1">
        <v>220</v>
      </c>
      <c r="C134" s="2">
        <v>1</v>
      </c>
      <c r="D134" s="2">
        <v>1.9</v>
      </c>
      <c r="E134" s="31" t="s">
        <v>16</v>
      </c>
      <c r="F134" s="2"/>
      <c r="G134" s="8">
        <f>870480*0.667</f>
        <v>580610.16</v>
      </c>
      <c r="H134" s="8">
        <f>870480-G134</f>
        <v>289869.83999999997</v>
      </c>
      <c r="I134" s="10">
        <f t="shared" si="3"/>
        <v>870480</v>
      </c>
      <c r="J134" s="28">
        <v>54411226</v>
      </c>
    </row>
    <row r="135" spans="1:10" x14ac:dyDescent="0.2">
      <c r="A135" s="1">
        <v>5100</v>
      </c>
      <c r="B135" s="1">
        <v>221</v>
      </c>
      <c r="C135" s="2">
        <v>1</v>
      </c>
      <c r="D135" s="2">
        <v>1.9</v>
      </c>
      <c r="E135" s="31" t="s">
        <v>17</v>
      </c>
      <c r="F135" s="2"/>
      <c r="G135" s="8">
        <f>203580*0.667</f>
        <v>135787.86000000002</v>
      </c>
      <c r="H135" s="8">
        <f>203580-G135</f>
        <v>67792.139999999985</v>
      </c>
      <c r="I135" s="10">
        <f t="shared" ref="I135:I137" si="4">G135+H135</f>
        <v>203580</v>
      </c>
      <c r="J135" s="28">
        <v>54411226</v>
      </c>
    </row>
    <row r="136" spans="1:10" ht="28" x14ac:dyDescent="0.2">
      <c r="A136" s="1">
        <v>5100</v>
      </c>
      <c r="B136" s="1">
        <v>232</v>
      </c>
      <c r="C136" s="2">
        <v>1</v>
      </c>
      <c r="D136" s="2">
        <v>1.9</v>
      </c>
      <c r="E136" s="31" t="s">
        <v>240</v>
      </c>
      <c r="F136" s="2"/>
      <c r="G136" s="8">
        <f>2437578*0.667</f>
        <v>1625864.5260000001</v>
      </c>
      <c r="H136" s="8">
        <f>2437578-G136</f>
        <v>811713.47399999993</v>
      </c>
      <c r="I136" s="10">
        <f t="shared" si="4"/>
        <v>2437578</v>
      </c>
      <c r="J136" s="28">
        <v>54411226</v>
      </c>
    </row>
    <row r="137" spans="1:10" x14ac:dyDescent="0.2">
      <c r="A137" s="1">
        <v>5100</v>
      </c>
      <c r="B137" s="1">
        <v>240</v>
      </c>
      <c r="C137" s="2">
        <v>1</v>
      </c>
      <c r="D137" s="2">
        <v>1.9</v>
      </c>
      <c r="E137" s="31" t="s">
        <v>20</v>
      </c>
      <c r="F137" s="2"/>
      <c r="G137" s="8">
        <f>369252*0.667</f>
        <v>246291.084</v>
      </c>
      <c r="H137" s="8">
        <f>369252-G137</f>
        <v>122960.916</v>
      </c>
      <c r="I137" s="10">
        <f t="shared" si="4"/>
        <v>369252</v>
      </c>
      <c r="J137" s="28">
        <v>54411226</v>
      </c>
    </row>
    <row r="138" spans="1:10" ht="42" x14ac:dyDescent="0.2">
      <c r="A138" s="1">
        <v>5100</v>
      </c>
      <c r="B138" s="1">
        <v>144</v>
      </c>
      <c r="C138" s="2">
        <v>1</v>
      </c>
      <c r="D138" s="30" t="s">
        <v>130</v>
      </c>
      <c r="E138" s="31" t="s">
        <v>114</v>
      </c>
      <c r="F138" s="2">
        <v>96</v>
      </c>
      <c r="G138" s="8">
        <f>(96*51200)</f>
        <v>4915200</v>
      </c>
      <c r="H138" s="8"/>
      <c r="I138" s="10">
        <f t="shared" si="1"/>
        <v>4915200</v>
      </c>
      <c r="J138" s="28">
        <v>54411265</v>
      </c>
    </row>
    <row r="139" spans="1:10" x14ac:dyDescent="0.2">
      <c r="A139" s="1">
        <v>5100</v>
      </c>
      <c r="B139" s="1">
        <v>210</v>
      </c>
      <c r="C139" s="2">
        <v>1</v>
      </c>
      <c r="D139" s="30" t="s">
        <v>130</v>
      </c>
      <c r="E139" s="31" t="s">
        <v>15</v>
      </c>
      <c r="F139" s="2"/>
      <c r="G139" s="8">
        <v>584417</v>
      </c>
      <c r="H139" s="8"/>
      <c r="I139" s="10">
        <f t="shared" si="1"/>
        <v>584417</v>
      </c>
      <c r="J139" s="28">
        <v>54411265</v>
      </c>
    </row>
    <row r="140" spans="1:10" x14ac:dyDescent="0.2">
      <c r="A140" s="1">
        <v>5100</v>
      </c>
      <c r="B140" s="1">
        <v>220</v>
      </c>
      <c r="C140" s="2">
        <v>1</v>
      </c>
      <c r="D140" s="30" t="s">
        <v>130</v>
      </c>
      <c r="E140" s="31" t="s">
        <v>16</v>
      </c>
      <c r="F140" s="2"/>
      <c r="G140" s="8">
        <v>304742</v>
      </c>
      <c r="H140" s="8"/>
      <c r="I140" s="10">
        <f t="shared" si="1"/>
        <v>304742</v>
      </c>
      <c r="J140" s="28">
        <v>54411265</v>
      </c>
    </row>
    <row r="141" spans="1:10" x14ac:dyDescent="0.2">
      <c r="A141" s="1">
        <v>5100</v>
      </c>
      <c r="B141" s="1">
        <v>221</v>
      </c>
      <c r="C141" s="2">
        <v>1</v>
      </c>
      <c r="D141" s="30" t="s">
        <v>130</v>
      </c>
      <c r="E141" s="31" t="s">
        <v>17</v>
      </c>
      <c r="F141" s="2"/>
      <c r="G141" s="8">
        <v>71270</v>
      </c>
      <c r="H141" s="8"/>
      <c r="I141" s="10">
        <f t="shared" si="1"/>
        <v>71270</v>
      </c>
      <c r="J141" s="28">
        <v>54411265</v>
      </c>
    </row>
    <row r="142" spans="1:10" x14ac:dyDescent="0.2">
      <c r="A142" s="1">
        <v>5100</v>
      </c>
      <c r="B142" s="1">
        <v>232</v>
      </c>
      <c r="C142" s="2">
        <v>1</v>
      </c>
      <c r="D142" s="30" t="s">
        <v>130</v>
      </c>
      <c r="E142" s="31" t="s">
        <v>18</v>
      </c>
      <c r="F142" s="2"/>
      <c r="G142" s="8">
        <v>1000032</v>
      </c>
      <c r="H142" s="8"/>
      <c r="I142" s="10">
        <f t="shared" si="1"/>
        <v>1000032</v>
      </c>
      <c r="J142" s="28">
        <v>54411265</v>
      </c>
    </row>
    <row r="143" spans="1:10" x14ac:dyDescent="0.2">
      <c r="A143" s="1">
        <v>5100</v>
      </c>
      <c r="B143" s="1">
        <v>240</v>
      </c>
      <c r="C143" s="2">
        <v>1</v>
      </c>
      <c r="D143" s="30" t="s">
        <v>130</v>
      </c>
      <c r="E143" s="31" t="s">
        <v>20</v>
      </c>
      <c r="F143" s="2"/>
      <c r="G143" s="8">
        <v>129270</v>
      </c>
      <c r="H143" s="8"/>
      <c r="I143" s="10">
        <f t="shared" si="1"/>
        <v>129270</v>
      </c>
      <c r="J143" s="28">
        <v>54411265</v>
      </c>
    </row>
    <row r="144" spans="1:10" ht="42" x14ac:dyDescent="0.2">
      <c r="A144" s="1">
        <v>6300</v>
      </c>
      <c r="B144" s="1">
        <v>168</v>
      </c>
      <c r="C144" s="2">
        <v>1</v>
      </c>
      <c r="D144" s="2">
        <v>1.1100000000000001</v>
      </c>
      <c r="E144" s="31" t="s">
        <v>131</v>
      </c>
      <c r="F144" s="2">
        <v>11</v>
      </c>
      <c r="G144" s="8">
        <v>704484</v>
      </c>
      <c r="H144" s="8">
        <v>704484</v>
      </c>
      <c r="I144" s="10">
        <f t="shared" si="1"/>
        <v>1408968</v>
      </c>
      <c r="J144" s="28">
        <v>54411266</v>
      </c>
    </row>
    <row r="145" spans="1:10" x14ac:dyDescent="0.2">
      <c r="A145" s="1">
        <v>6300</v>
      </c>
      <c r="B145" s="1">
        <v>210</v>
      </c>
      <c r="C145" s="2">
        <v>1</v>
      </c>
      <c r="D145" s="2">
        <v>1.1100000000000001</v>
      </c>
      <c r="E145" s="31" t="s">
        <v>15</v>
      </c>
      <c r="F145" s="2"/>
      <c r="G145" s="8">
        <v>83762</v>
      </c>
      <c r="H145" s="8">
        <v>83762</v>
      </c>
      <c r="I145" s="10">
        <f t="shared" si="1"/>
        <v>167524</v>
      </c>
      <c r="J145" s="28">
        <v>54411266</v>
      </c>
    </row>
    <row r="146" spans="1:10" x14ac:dyDescent="0.2">
      <c r="A146" s="1">
        <v>6300</v>
      </c>
      <c r="B146" s="1">
        <v>220</v>
      </c>
      <c r="C146" s="2">
        <v>1</v>
      </c>
      <c r="D146" s="2">
        <v>1.1100000000000001</v>
      </c>
      <c r="E146" s="31" t="s">
        <v>16</v>
      </c>
      <c r="F146" s="2"/>
      <c r="G146" s="8">
        <v>43673</v>
      </c>
      <c r="H146" s="8">
        <v>43673</v>
      </c>
      <c r="I146" s="10">
        <f t="shared" si="1"/>
        <v>87346</v>
      </c>
      <c r="J146" s="28">
        <v>54411266</v>
      </c>
    </row>
    <row r="147" spans="1:10" x14ac:dyDescent="0.2">
      <c r="A147" s="1">
        <v>6300</v>
      </c>
      <c r="B147" s="1">
        <v>221</v>
      </c>
      <c r="C147" s="2">
        <v>1</v>
      </c>
      <c r="D147" s="2">
        <v>1.1100000000000001</v>
      </c>
      <c r="E147" s="31" t="s">
        <v>17</v>
      </c>
      <c r="F147" s="2"/>
      <c r="G147" s="8">
        <v>10220</v>
      </c>
      <c r="H147" s="8">
        <v>10220</v>
      </c>
      <c r="I147" s="10">
        <f t="shared" si="1"/>
        <v>20440</v>
      </c>
      <c r="J147" s="28">
        <v>54411266</v>
      </c>
    </row>
    <row r="148" spans="1:10" x14ac:dyDescent="0.2">
      <c r="A148" s="1">
        <v>6300</v>
      </c>
      <c r="B148" s="1">
        <v>232</v>
      </c>
      <c r="C148" s="2">
        <v>1</v>
      </c>
      <c r="D148" s="2">
        <v>1.1100000000000001</v>
      </c>
      <c r="E148" s="31" t="s">
        <v>18</v>
      </c>
      <c r="F148" s="2"/>
      <c r="G148" s="8">
        <v>114587</v>
      </c>
      <c r="H148" s="8">
        <v>114587</v>
      </c>
      <c r="I148" s="10">
        <f t="shared" si="1"/>
        <v>229174</v>
      </c>
      <c r="J148" s="28">
        <v>54411266</v>
      </c>
    </row>
    <row r="149" spans="1:10" x14ac:dyDescent="0.2">
      <c r="A149" s="1">
        <v>6300</v>
      </c>
      <c r="B149" s="1">
        <v>240</v>
      </c>
      <c r="C149" s="2">
        <v>1</v>
      </c>
      <c r="D149" s="2">
        <v>1.1100000000000001</v>
      </c>
      <c r="E149" s="31" t="s">
        <v>20</v>
      </c>
      <c r="F149" s="2"/>
      <c r="G149" s="8">
        <v>18517</v>
      </c>
      <c r="H149" s="8">
        <v>18517</v>
      </c>
      <c r="I149" s="10">
        <f t="shared" si="1"/>
        <v>37034</v>
      </c>
      <c r="J149" s="28">
        <v>54411266</v>
      </c>
    </row>
    <row r="150" spans="1:10" ht="42" x14ac:dyDescent="0.2">
      <c r="A150" s="1">
        <v>6300</v>
      </c>
      <c r="B150" s="1">
        <v>144</v>
      </c>
      <c r="C150" s="2">
        <v>1</v>
      </c>
      <c r="D150" s="2">
        <v>1.1100000000000001</v>
      </c>
      <c r="E150" s="31" t="s">
        <v>115</v>
      </c>
      <c r="F150" s="2">
        <v>21</v>
      </c>
      <c r="G150" s="8">
        <v>1089543</v>
      </c>
      <c r="H150" s="8">
        <v>1089543</v>
      </c>
      <c r="I150" s="10">
        <f t="shared" si="1"/>
        <v>2179086</v>
      </c>
      <c r="J150" s="28">
        <v>54411266</v>
      </c>
    </row>
    <row r="151" spans="1:10" x14ac:dyDescent="0.2">
      <c r="A151" s="1">
        <v>6300</v>
      </c>
      <c r="B151" s="1">
        <v>210</v>
      </c>
      <c r="C151" s="2">
        <v>1</v>
      </c>
      <c r="D151" s="2">
        <v>1.1100000000000001</v>
      </c>
      <c r="E151" s="31" t="s">
        <v>15</v>
      </c>
      <c r="F151" s="2"/>
      <c r="G151" s="8">
        <v>129547</v>
      </c>
      <c r="H151" s="8">
        <v>129547</v>
      </c>
      <c r="I151" s="10">
        <f t="shared" si="1"/>
        <v>259094</v>
      </c>
      <c r="J151" s="28">
        <v>54411266</v>
      </c>
    </row>
    <row r="152" spans="1:10" x14ac:dyDescent="0.2">
      <c r="A152" s="1">
        <v>6300</v>
      </c>
      <c r="B152" s="1">
        <v>220</v>
      </c>
      <c r="C152" s="2">
        <v>1</v>
      </c>
      <c r="D152" s="2">
        <v>1.1100000000000001</v>
      </c>
      <c r="E152" s="31" t="s">
        <v>16</v>
      </c>
      <c r="F152" s="2"/>
      <c r="G152" s="8">
        <v>67552</v>
      </c>
      <c r="H152" s="8">
        <v>67552</v>
      </c>
      <c r="I152" s="10">
        <f t="shared" si="1"/>
        <v>135104</v>
      </c>
      <c r="J152" s="28">
        <v>54411266</v>
      </c>
    </row>
    <row r="153" spans="1:10" x14ac:dyDescent="0.2">
      <c r="A153" s="1">
        <v>6300</v>
      </c>
      <c r="B153" s="1">
        <v>221</v>
      </c>
      <c r="C153" s="2">
        <v>1</v>
      </c>
      <c r="D153" s="2">
        <v>1.1100000000000001</v>
      </c>
      <c r="E153" s="31" t="s">
        <v>17</v>
      </c>
      <c r="F153" s="2"/>
      <c r="G153" s="8">
        <v>15798</v>
      </c>
      <c r="H153" s="8">
        <v>15798</v>
      </c>
      <c r="I153" s="10">
        <f t="shared" si="1"/>
        <v>31596</v>
      </c>
      <c r="J153" s="28">
        <v>54411266</v>
      </c>
    </row>
    <row r="154" spans="1:10" x14ac:dyDescent="0.2">
      <c r="A154" s="1">
        <v>6300</v>
      </c>
      <c r="B154" s="1">
        <v>232</v>
      </c>
      <c r="C154" s="2">
        <v>1</v>
      </c>
      <c r="D154" s="2">
        <v>1.1100000000000001</v>
      </c>
      <c r="E154" s="31" t="s">
        <v>18</v>
      </c>
      <c r="F154" s="2"/>
      <c r="G154" s="8">
        <v>218757</v>
      </c>
      <c r="H154" s="8">
        <v>218757</v>
      </c>
      <c r="I154" s="10">
        <f t="shared" si="1"/>
        <v>437514</v>
      </c>
      <c r="J154" s="28">
        <v>54411266</v>
      </c>
    </row>
    <row r="155" spans="1:10" x14ac:dyDescent="0.2">
      <c r="A155" s="1">
        <v>6300</v>
      </c>
      <c r="B155" s="1">
        <v>240</v>
      </c>
      <c r="C155" s="2">
        <v>1</v>
      </c>
      <c r="D155" s="2">
        <v>1.1100000000000001</v>
      </c>
      <c r="E155" s="31" t="s">
        <v>20</v>
      </c>
      <c r="F155" s="2"/>
      <c r="G155" s="8">
        <v>28655</v>
      </c>
      <c r="H155" s="8">
        <v>28655</v>
      </c>
      <c r="I155" s="10">
        <f t="shared" si="1"/>
        <v>57310</v>
      </c>
      <c r="J155" s="28">
        <v>54411266</v>
      </c>
    </row>
    <row r="156" spans="1:10" ht="28" x14ac:dyDescent="0.2">
      <c r="A156" s="1">
        <v>7300</v>
      </c>
      <c r="B156" s="1">
        <v>105</v>
      </c>
      <c r="C156" s="2">
        <v>1</v>
      </c>
      <c r="D156" s="2">
        <v>1.1100000000000001</v>
      </c>
      <c r="E156" s="31" t="s">
        <v>47</v>
      </c>
      <c r="F156" s="2">
        <v>5</v>
      </c>
      <c r="G156" s="8">
        <v>395010</v>
      </c>
      <c r="H156" s="8">
        <v>395010</v>
      </c>
      <c r="I156" s="10">
        <f t="shared" si="1"/>
        <v>790020</v>
      </c>
      <c r="J156" s="28">
        <v>54411266</v>
      </c>
    </row>
    <row r="157" spans="1:10" x14ac:dyDescent="0.2">
      <c r="A157" s="1">
        <v>7300</v>
      </c>
      <c r="B157" s="1">
        <v>210</v>
      </c>
      <c r="C157" s="2">
        <v>1</v>
      </c>
      <c r="D157" s="2">
        <v>1.1100000000000001</v>
      </c>
      <c r="E157" s="31" t="s">
        <v>15</v>
      </c>
      <c r="F157" s="2"/>
      <c r="G157" s="8">
        <v>46967</v>
      </c>
      <c r="H157" s="8">
        <v>46967</v>
      </c>
      <c r="I157" s="10">
        <f t="shared" si="1"/>
        <v>93934</v>
      </c>
      <c r="J157" s="28">
        <v>54411266</v>
      </c>
    </row>
    <row r="158" spans="1:10" x14ac:dyDescent="0.2">
      <c r="A158" s="1">
        <v>7300</v>
      </c>
      <c r="B158" s="1">
        <v>220</v>
      </c>
      <c r="C158" s="2">
        <v>1</v>
      </c>
      <c r="D158" s="2">
        <v>1.1100000000000001</v>
      </c>
      <c r="E158" s="31" t="s">
        <v>16</v>
      </c>
      <c r="F158" s="2"/>
      <c r="G158" s="8">
        <v>24491</v>
      </c>
      <c r="H158" s="8">
        <v>24491</v>
      </c>
      <c r="I158" s="10">
        <f t="shared" si="1"/>
        <v>48982</v>
      </c>
      <c r="J158" s="28">
        <v>54411266</v>
      </c>
    </row>
    <row r="159" spans="1:10" x14ac:dyDescent="0.2">
      <c r="A159" s="1">
        <v>7300</v>
      </c>
      <c r="B159" s="1">
        <v>221</v>
      </c>
      <c r="C159" s="2">
        <v>1</v>
      </c>
      <c r="D159" s="2">
        <v>1.1100000000000001</v>
      </c>
      <c r="E159" s="31" t="s">
        <v>17</v>
      </c>
      <c r="F159" s="2"/>
      <c r="G159" s="8">
        <v>5728</v>
      </c>
      <c r="H159" s="8">
        <v>5728</v>
      </c>
      <c r="I159" s="10">
        <f t="shared" si="1"/>
        <v>11456</v>
      </c>
      <c r="J159" s="28">
        <v>54411266</v>
      </c>
    </row>
    <row r="160" spans="1:10" x14ac:dyDescent="0.2">
      <c r="A160" s="1">
        <v>7300</v>
      </c>
      <c r="B160" s="1">
        <v>232</v>
      </c>
      <c r="C160" s="2">
        <v>1</v>
      </c>
      <c r="D160" s="2">
        <v>1.1100000000000001</v>
      </c>
      <c r="E160" s="31" t="s">
        <v>18</v>
      </c>
      <c r="F160" s="2"/>
      <c r="G160" s="8">
        <v>52085</v>
      </c>
      <c r="H160" s="8">
        <v>52085</v>
      </c>
      <c r="I160" s="10">
        <f t="shared" si="1"/>
        <v>104170</v>
      </c>
      <c r="J160" s="28">
        <v>54411266</v>
      </c>
    </row>
    <row r="161" spans="1:11" x14ac:dyDescent="0.2">
      <c r="A161" s="1">
        <v>7300</v>
      </c>
      <c r="B161" s="1">
        <v>240</v>
      </c>
      <c r="C161" s="2">
        <v>1</v>
      </c>
      <c r="D161" s="2">
        <v>1.1100000000000001</v>
      </c>
      <c r="E161" s="31" t="s">
        <v>20</v>
      </c>
      <c r="F161" s="2"/>
      <c r="G161" s="8">
        <v>10389</v>
      </c>
      <c r="H161" s="8">
        <v>10389</v>
      </c>
      <c r="I161" s="10">
        <f t="shared" si="1"/>
        <v>20778</v>
      </c>
      <c r="J161" s="28">
        <v>54411266</v>
      </c>
    </row>
    <row r="162" spans="1:11" x14ac:dyDescent="0.2">
      <c r="A162" s="1">
        <v>6300</v>
      </c>
      <c r="B162" s="1">
        <v>126</v>
      </c>
      <c r="C162" s="2">
        <v>1</v>
      </c>
      <c r="D162" s="2">
        <v>1.1100000000000001</v>
      </c>
      <c r="E162" s="31" t="s">
        <v>46</v>
      </c>
      <c r="F162" s="2">
        <v>3</v>
      </c>
      <c r="G162" s="8">
        <v>227007</v>
      </c>
      <c r="H162" s="8">
        <v>227007</v>
      </c>
      <c r="I162" s="10">
        <f t="shared" si="1"/>
        <v>454014</v>
      </c>
      <c r="J162" s="28">
        <v>54411266</v>
      </c>
    </row>
    <row r="163" spans="1:11" x14ac:dyDescent="0.2">
      <c r="A163" s="1">
        <v>6300</v>
      </c>
      <c r="B163" s="1">
        <v>210</v>
      </c>
      <c r="C163" s="2">
        <v>1</v>
      </c>
      <c r="D163" s="2">
        <v>1.1100000000000001</v>
      </c>
      <c r="E163" s="31" t="s">
        <v>15</v>
      </c>
      <c r="F163" s="2"/>
      <c r="G163" s="8">
        <v>26991</v>
      </c>
      <c r="H163" s="8">
        <v>26991</v>
      </c>
      <c r="I163" s="10">
        <f t="shared" si="1"/>
        <v>53982</v>
      </c>
      <c r="J163" s="28">
        <v>54411266</v>
      </c>
    </row>
    <row r="164" spans="1:11" x14ac:dyDescent="0.2">
      <c r="A164" s="1">
        <v>6300</v>
      </c>
      <c r="B164" s="1">
        <v>220</v>
      </c>
      <c r="C164" s="2">
        <v>1</v>
      </c>
      <c r="D164" s="2">
        <v>1.1100000000000001</v>
      </c>
      <c r="E164" s="31" t="s">
        <v>16</v>
      </c>
      <c r="F164" s="2"/>
      <c r="G164" s="8">
        <v>14074</v>
      </c>
      <c r="H164" s="8">
        <v>14074</v>
      </c>
      <c r="I164" s="10">
        <f t="shared" si="1"/>
        <v>28148</v>
      </c>
      <c r="J164" s="28">
        <v>54411266</v>
      </c>
      <c r="K164" s="43"/>
    </row>
    <row r="165" spans="1:11" x14ac:dyDescent="0.2">
      <c r="A165" s="1">
        <v>6300</v>
      </c>
      <c r="B165" s="1">
        <v>221</v>
      </c>
      <c r="C165" s="2">
        <v>1</v>
      </c>
      <c r="D165" s="2">
        <v>1.1100000000000001</v>
      </c>
      <c r="E165" s="31" t="s">
        <v>17</v>
      </c>
      <c r="F165" s="2"/>
      <c r="G165" s="8">
        <v>3292</v>
      </c>
      <c r="H165" s="8">
        <v>3292</v>
      </c>
      <c r="I165" s="10">
        <f t="shared" si="1"/>
        <v>6584</v>
      </c>
      <c r="J165" s="28">
        <v>54411266</v>
      </c>
    </row>
    <row r="166" spans="1:11" x14ac:dyDescent="0.2">
      <c r="A166" s="1">
        <v>6300</v>
      </c>
      <c r="B166" s="1">
        <v>232</v>
      </c>
      <c r="C166" s="2">
        <v>1</v>
      </c>
      <c r="D166" s="2">
        <v>1.1100000000000001</v>
      </c>
      <c r="E166" s="31" t="s">
        <v>18</v>
      </c>
      <c r="F166" s="2"/>
      <c r="G166" s="8">
        <v>31251</v>
      </c>
      <c r="H166" s="8">
        <v>31251</v>
      </c>
      <c r="I166" s="10">
        <f t="shared" si="1"/>
        <v>62502</v>
      </c>
      <c r="J166" s="28">
        <v>54411266</v>
      </c>
    </row>
    <row r="167" spans="1:11" x14ac:dyDescent="0.2">
      <c r="A167" s="1">
        <v>6300</v>
      </c>
      <c r="B167" s="1">
        <v>240</v>
      </c>
      <c r="C167" s="2">
        <v>1</v>
      </c>
      <c r="D167" s="2">
        <v>1.1100000000000001</v>
      </c>
      <c r="E167" s="31" t="s">
        <v>20</v>
      </c>
      <c r="F167" s="2"/>
      <c r="G167" s="8">
        <v>5970</v>
      </c>
      <c r="H167" s="8">
        <v>5970</v>
      </c>
      <c r="I167" s="10">
        <f t="shared" si="1"/>
        <v>11940</v>
      </c>
      <c r="J167" s="28">
        <v>54411266</v>
      </c>
    </row>
    <row r="168" spans="1:11" x14ac:dyDescent="0.2">
      <c r="A168" s="1">
        <v>6300</v>
      </c>
      <c r="B168" s="1">
        <v>114</v>
      </c>
      <c r="C168" s="2">
        <v>1</v>
      </c>
      <c r="D168" s="2">
        <v>1.1100000000000001</v>
      </c>
      <c r="E168" s="31" t="s">
        <v>48</v>
      </c>
      <c r="F168" s="2">
        <v>1</v>
      </c>
      <c r="G168" s="8">
        <v>130000</v>
      </c>
      <c r="H168" s="8">
        <v>130000</v>
      </c>
      <c r="I168" s="10">
        <f t="shared" si="1"/>
        <v>260000</v>
      </c>
      <c r="J168" s="28">
        <v>54411266</v>
      </c>
    </row>
    <row r="169" spans="1:11" x14ac:dyDescent="0.2">
      <c r="A169" s="1">
        <v>6300</v>
      </c>
      <c r="B169" s="1">
        <v>210</v>
      </c>
      <c r="C169" s="2">
        <v>1</v>
      </c>
      <c r="D169" s="2">
        <v>1.1100000000000001</v>
      </c>
      <c r="E169" s="31" t="s">
        <v>15</v>
      </c>
      <c r="F169" s="2"/>
      <c r="G169" s="8">
        <v>15457</v>
      </c>
      <c r="H169" s="8">
        <v>15457</v>
      </c>
      <c r="I169" s="10">
        <f t="shared" si="1"/>
        <v>30914</v>
      </c>
      <c r="J169" s="28">
        <v>54411266</v>
      </c>
    </row>
    <row r="170" spans="1:11" x14ac:dyDescent="0.2">
      <c r="A170" s="1">
        <v>6300</v>
      </c>
      <c r="B170" s="1">
        <v>220</v>
      </c>
      <c r="C170" s="2">
        <v>1</v>
      </c>
      <c r="D170" s="2">
        <v>1.1100000000000001</v>
      </c>
      <c r="E170" s="31" t="s">
        <v>16</v>
      </c>
      <c r="F170" s="2"/>
      <c r="G170" s="8">
        <v>8060</v>
      </c>
      <c r="H170" s="8">
        <v>8060</v>
      </c>
      <c r="I170" s="10">
        <f t="shared" si="1"/>
        <v>16120</v>
      </c>
      <c r="J170" s="28">
        <v>54411266</v>
      </c>
    </row>
    <row r="171" spans="1:11" x14ac:dyDescent="0.2">
      <c r="A171" s="1">
        <v>6300</v>
      </c>
      <c r="B171" s="1">
        <v>221</v>
      </c>
      <c r="C171" s="2">
        <v>1</v>
      </c>
      <c r="D171" s="2">
        <v>1.1100000000000001</v>
      </c>
      <c r="E171" s="31" t="s">
        <v>17</v>
      </c>
      <c r="F171" s="2"/>
      <c r="G171" s="8">
        <v>1885</v>
      </c>
      <c r="H171" s="8">
        <v>1885</v>
      </c>
      <c r="I171" s="10">
        <f t="shared" si="1"/>
        <v>3770</v>
      </c>
      <c r="J171" s="28">
        <v>54411266</v>
      </c>
    </row>
    <row r="172" spans="1:11" x14ac:dyDescent="0.2">
      <c r="A172" s="1">
        <v>6300</v>
      </c>
      <c r="B172" s="1">
        <v>232</v>
      </c>
      <c r="C172" s="2">
        <v>1</v>
      </c>
      <c r="D172" s="2">
        <v>1.1100000000000001</v>
      </c>
      <c r="E172" s="31" t="s">
        <v>18</v>
      </c>
      <c r="F172" s="2"/>
      <c r="G172" s="8">
        <v>10417</v>
      </c>
      <c r="H172" s="8">
        <v>10417</v>
      </c>
      <c r="I172" s="10">
        <f t="shared" si="1"/>
        <v>20834</v>
      </c>
      <c r="J172" s="28">
        <v>54411266</v>
      </c>
    </row>
    <row r="173" spans="1:11" x14ac:dyDescent="0.2">
      <c r="A173" s="1">
        <v>6300</v>
      </c>
      <c r="B173" s="1">
        <v>240</v>
      </c>
      <c r="C173" s="2">
        <v>1</v>
      </c>
      <c r="D173" s="2">
        <v>1.1100000000000001</v>
      </c>
      <c r="E173" s="31" t="s">
        <v>20</v>
      </c>
      <c r="F173" s="2"/>
      <c r="G173" s="8">
        <v>3419</v>
      </c>
      <c r="H173" s="8">
        <v>3419</v>
      </c>
      <c r="I173" s="10">
        <f t="shared" si="1"/>
        <v>6838</v>
      </c>
      <c r="J173" s="28">
        <v>54411266</v>
      </c>
    </row>
    <row r="174" spans="1:11" ht="28" x14ac:dyDescent="0.2">
      <c r="A174" s="1">
        <v>5100</v>
      </c>
      <c r="B174" s="1">
        <v>310</v>
      </c>
      <c r="C174" s="2">
        <v>1</v>
      </c>
      <c r="D174" s="2">
        <v>1.1200000000000001</v>
      </c>
      <c r="E174" s="31" t="s">
        <v>129</v>
      </c>
      <c r="F174" s="2"/>
      <c r="G174" s="8">
        <f>3000000/2</f>
        <v>1500000</v>
      </c>
      <c r="H174" s="8">
        <f>3000000/2</f>
        <v>1500000</v>
      </c>
      <c r="I174" s="10">
        <f t="shared" ref="I174:I205" si="5">G174+H174</f>
        <v>3000000</v>
      </c>
      <c r="J174" s="28">
        <v>54411267</v>
      </c>
    </row>
    <row r="175" spans="1:11" ht="28" x14ac:dyDescent="0.2">
      <c r="A175" s="1">
        <v>5100</v>
      </c>
      <c r="B175" s="1">
        <v>510</v>
      </c>
      <c r="C175" s="2">
        <v>1</v>
      </c>
      <c r="D175" s="2">
        <v>1.1299999999999999</v>
      </c>
      <c r="E175" s="31" t="s">
        <v>49</v>
      </c>
      <c r="F175" s="2"/>
      <c r="G175" s="8">
        <f>3035450/2</f>
        <v>1517725</v>
      </c>
      <c r="H175" s="8">
        <f>3035450/2</f>
        <v>1517725</v>
      </c>
      <c r="I175" s="10">
        <f t="shared" si="5"/>
        <v>3035450</v>
      </c>
      <c r="J175" s="28">
        <v>54411268</v>
      </c>
    </row>
    <row r="176" spans="1:11" ht="28" x14ac:dyDescent="0.2">
      <c r="A176" s="1">
        <v>5103</v>
      </c>
      <c r="B176" s="1">
        <v>369</v>
      </c>
      <c r="C176" s="2">
        <v>1</v>
      </c>
      <c r="D176" s="2">
        <v>1.1399999999999999</v>
      </c>
      <c r="E176" s="40" t="s">
        <v>44</v>
      </c>
      <c r="F176" s="2"/>
      <c r="G176" s="8">
        <v>900000</v>
      </c>
      <c r="H176" s="8"/>
      <c r="I176" s="10">
        <f t="shared" si="5"/>
        <v>900000</v>
      </c>
      <c r="J176" s="28">
        <v>54411269</v>
      </c>
    </row>
    <row r="177" spans="1:10" ht="28" x14ac:dyDescent="0.2">
      <c r="A177" s="1">
        <v>5103</v>
      </c>
      <c r="B177" s="1">
        <v>510</v>
      </c>
      <c r="C177" s="2">
        <v>1</v>
      </c>
      <c r="D177" s="2">
        <v>1.1399999999999999</v>
      </c>
      <c r="E177" s="31" t="s">
        <v>45</v>
      </c>
      <c r="F177" s="2"/>
      <c r="G177" s="8">
        <v>350000</v>
      </c>
      <c r="H177" s="8"/>
      <c r="I177" s="10">
        <f t="shared" si="5"/>
        <v>350000</v>
      </c>
      <c r="J177" s="28">
        <v>54411269</v>
      </c>
    </row>
    <row r="178" spans="1:10" ht="28" x14ac:dyDescent="0.2">
      <c r="A178" s="1">
        <v>6100</v>
      </c>
      <c r="B178" s="1">
        <v>150</v>
      </c>
      <c r="C178" s="2" t="s">
        <v>153</v>
      </c>
      <c r="D178" s="2" t="s">
        <v>217</v>
      </c>
      <c r="E178" s="32" t="s">
        <v>100</v>
      </c>
      <c r="F178" s="2">
        <v>66.56</v>
      </c>
      <c r="G178" s="8">
        <f>2835408*0.667</f>
        <v>1891217.1360000002</v>
      </c>
      <c r="H178" s="8">
        <f>2835408-G178</f>
        <v>944190.86399999983</v>
      </c>
      <c r="I178" s="10">
        <f t="shared" si="5"/>
        <v>2835408</v>
      </c>
      <c r="J178" s="28">
        <v>54410437</v>
      </c>
    </row>
    <row r="179" spans="1:10" x14ac:dyDescent="0.2">
      <c r="A179" s="1">
        <v>6100</v>
      </c>
      <c r="B179" s="1">
        <v>210</v>
      </c>
      <c r="C179" s="2" t="s">
        <v>153</v>
      </c>
      <c r="D179" s="2" t="s">
        <v>217</v>
      </c>
      <c r="E179" s="31" t="s">
        <v>15</v>
      </c>
      <c r="F179" s="2"/>
      <c r="G179" s="8">
        <f>337130*0.667</f>
        <v>224865.71000000002</v>
      </c>
      <c r="H179" s="8">
        <f>337130-G179</f>
        <v>112264.28999999998</v>
      </c>
      <c r="I179" s="10">
        <f t="shared" si="5"/>
        <v>337130</v>
      </c>
      <c r="J179" s="28">
        <v>54410437</v>
      </c>
    </row>
    <row r="180" spans="1:10" x14ac:dyDescent="0.2">
      <c r="A180" s="1">
        <v>6100</v>
      </c>
      <c r="B180" s="1">
        <v>220</v>
      </c>
      <c r="C180" s="2" t="s">
        <v>153</v>
      </c>
      <c r="D180" s="2" t="s">
        <v>217</v>
      </c>
      <c r="E180" s="31" t="s">
        <v>16</v>
      </c>
      <c r="F180" s="2"/>
      <c r="G180" s="8">
        <f>175795*0.667</f>
        <v>117255.265</v>
      </c>
      <c r="H180" s="8">
        <f>175795-G180</f>
        <v>58539.735000000001</v>
      </c>
      <c r="I180" s="10">
        <f t="shared" si="5"/>
        <v>175795</v>
      </c>
      <c r="J180" s="28">
        <v>54410437</v>
      </c>
    </row>
    <row r="181" spans="1:10" x14ac:dyDescent="0.2">
      <c r="A181" s="1">
        <v>6100</v>
      </c>
      <c r="B181" s="1">
        <v>221</v>
      </c>
      <c r="C181" s="2" t="s">
        <v>153</v>
      </c>
      <c r="D181" s="2" t="s">
        <v>217</v>
      </c>
      <c r="E181" s="31" t="s">
        <v>17</v>
      </c>
      <c r="F181" s="2"/>
      <c r="G181" s="8">
        <f>41113*0.667</f>
        <v>27422.371000000003</v>
      </c>
      <c r="H181" s="8">
        <f>41113-G181</f>
        <v>13690.628999999997</v>
      </c>
      <c r="I181" s="10">
        <f t="shared" si="5"/>
        <v>41113</v>
      </c>
      <c r="J181" s="28">
        <v>54410437</v>
      </c>
    </row>
    <row r="182" spans="1:10" x14ac:dyDescent="0.2">
      <c r="A182" s="1">
        <v>6100</v>
      </c>
      <c r="B182" s="1">
        <v>240</v>
      </c>
      <c r="C182" s="2" t="s">
        <v>153</v>
      </c>
      <c r="D182" s="2" t="s">
        <v>217</v>
      </c>
      <c r="E182" s="31" t="s">
        <v>20</v>
      </c>
      <c r="F182" s="2"/>
      <c r="G182" s="8">
        <f>74571*0.667</f>
        <v>49738.857000000004</v>
      </c>
      <c r="H182" s="8">
        <f>74571-G182</f>
        <v>24832.142999999996</v>
      </c>
      <c r="I182" s="10">
        <f t="shared" si="5"/>
        <v>74571</v>
      </c>
      <c r="J182" s="28">
        <v>54410437</v>
      </c>
    </row>
    <row r="183" spans="1:10" x14ac:dyDescent="0.2">
      <c r="A183" s="1">
        <v>6100</v>
      </c>
      <c r="B183" s="1">
        <v>310</v>
      </c>
      <c r="C183" s="2" t="s">
        <v>153</v>
      </c>
      <c r="D183" s="2" t="s">
        <v>217</v>
      </c>
      <c r="E183" s="31" t="s">
        <v>101</v>
      </c>
      <c r="F183" s="2"/>
      <c r="G183" s="8">
        <f>1426498*0.667</f>
        <v>951474.16600000008</v>
      </c>
      <c r="H183" s="8">
        <f>1426498-G183</f>
        <v>475023.83399999992</v>
      </c>
      <c r="I183" s="10">
        <f t="shared" si="5"/>
        <v>1426498</v>
      </c>
      <c r="J183" s="28">
        <v>54410437</v>
      </c>
    </row>
    <row r="184" spans="1:10" x14ac:dyDescent="0.2">
      <c r="A184" s="1">
        <v>6100</v>
      </c>
      <c r="B184" s="1">
        <v>510</v>
      </c>
      <c r="C184" s="2" t="s">
        <v>153</v>
      </c>
      <c r="D184" s="2" t="s">
        <v>217</v>
      </c>
      <c r="E184" s="31" t="s">
        <v>81</v>
      </c>
      <c r="F184" s="2"/>
      <c r="G184" s="8">
        <f>96237*0.667</f>
        <v>64190.079000000005</v>
      </c>
      <c r="H184" s="8">
        <f>96237-G184</f>
        <v>32046.920999999995</v>
      </c>
      <c r="I184" s="10">
        <f t="shared" si="5"/>
        <v>96237</v>
      </c>
      <c r="J184" s="28">
        <v>54410437</v>
      </c>
    </row>
    <row r="185" spans="1:10" ht="28" x14ac:dyDescent="0.2">
      <c r="A185" s="1">
        <v>5100</v>
      </c>
      <c r="B185" s="1">
        <v>149</v>
      </c>
      <c r="C185" s="2" t="s">
        <v>153</v>
      </c>
      <c r="D185" s="2" t="s">
        <v>154</v>
      </c>
      <c r="E185" s="31" t="s">
        <v>104</v>
      </c>
      <c r="F185" s="2"/>
      <c r="G185" s="8">
        <f>893655*0.667</f>
        <v>596067.88500000001</v>
      </c>
      <c r="H185" s="8">
        <f>893655-G185</f>
        <v>297587.11499999999</v>
      </c>
      <c r="I185" s="10">
        <f t="shared" si="5"/>
        <v>893655</v>
      </c>
      <c r="J185" s="28">
        <v>54410438</v>
      </c>
    </row>
    <row r="186" spans="1:10" x14ac:dyDescent="0.2">
      <c r="A186" s="1">
        <v>5100</v>
      </c>
      <c r="B186" s="1">
        <v>210</v>
      </c>
      <c r="C186" s="2" t="s">
        <v>153</v>
      </c>
      <c r="D186" s="2" t="s">
        <v>154</v>
      </c>
      <c r="E186" s="31" t="s">
        <v>15</v>
      </c>
      <c r="F186" s="2"/>
      <c r="G186" s="8">
        <f>37980*0.667</f>
        <v>25332.66</v>
      </c>
      <c r="H186" s="8">
        <f>37980-G186</f>
        <v>12647.34</v>
      </c>
      <c r="I186" s="10">
        <f t="shared" si="5"/>
        <v>37980</v>
      </c>
      <c r="J186" s="28">
        <v>54410438</v>
      </c>
    </row>
    <row r="187" spans="1:10" x14ac:dyDescent="0.2">
      <c r="A187" s="1">
        <v>5100</v>
      </c>
      <c r="B187" s="1">
        <v>220</v>
      </c>
      <c r="C187" s="2" t="s">
        <v>153</v>
      </c>
      <c r="D187" s="2" t="s">
        <v>154</v>
      </c>
      <c r="E187" s="31" t="s">
        <v>16</v>
      </c>
      <c r="F187" s="2"/>
      <c r="G187" s="8">
        <f>55407*0.667</f>
        <v>36956.469000000005</v>
      </c>
      <c r="H187" s="8">
        <f>55407-G187</f>
        <v>18450.530999999995</v>
      </c>
      <c r="I187" s="10">
        <f t="shared" si="5"/>
        <v>55407</v>
      </c>
      <c r="J187" s="28">
        <v>54410438</v>
      </c>
    </row>
    <row r="188" spans="1:10" x14ac:dyDescent="0.2">
      <c r="A188" s="1">
        <v>5100</v>
      </c>
      <c r="B188" s="1">
        <v>221</v>
      </c>
      <c r="C188" s="2" t="s">
        <v>153</v>
      </c>
      <c r="D188" s="2" t="s">
        <v>154</v>
      </c>
      <c r="E188" s="31" t="s">
        <v>17</v>
      </c>
      <c r="F188" s="2"/>
      <c r="G188" s="8">
        <f>12958*0.667</f>
        <v>8642.9860000000008</v>
      </c>
      <c r="H188" s="8">
        <f>12958-G188</f>
        <v>4315.0139999999992</v>
      </c>
      <c r="I188" s="10">
        <f t="shared" si="5"/>
        <v>12958</v>
      </c>
      <c r="J188" s="28">
        <v>54410438</v>
      </c>
    </row>
    <row r="189" spans="1:10" ht="28" x14ac:dyDescent="0.2">
      <c r="A189" s="1">
        <v>5300</v>
      </c>
      <c r="B189" s="1">
        <v>150</v>
      </c>
      <c r="C189" s="2" t="s">
        <v>153</v>
      </c>
      <c r="D189" s="2" t="s">
        <v>155</v>
      </c>
      <c r="E189" s="31" t="s">
        <v>74</v>
      </c>
      <c r="F189" s="2">
        <v>11.53</v>
      </c>
      <c r="G189" s="8">
        <f>491120*0.667</f>
        <v>327577.04000000004</v>
      </c>
      <c r="H189" s="8">
        <f>491120-G189</f>
        <v>163542.95999999996</v>
      </c>
      <c r="I189" s="10">
        <f t="shared" si="5"/>
        <v>491120</v>
      </c>
      <c r="J189" s="28">
        <v>54410439</v>
      </c>
    </row>
    <row r="190" spans="1:10" x14ac:dyDescent="0.2">
      <c r="A190" s="1">
        <v>5300</v>
      </c>
      <c r="B190" s="1">
        <v>210</v>
      </c>
      <c r="C190" s="2" t="s">
        <v>153</v>
      </c>
      <c r="D190" s="2" t="s">
        <v>155</v>
      </c>
      <c r="E190" s="31" t="s">
        <v>15</v>
      </c>
      <c r="F190" s="2"/>
      <c r="G190" s="8">
        <f>58394*0.667</f>
        <v>38948.798000000003</v>
      </c>
      <c r="H190" s="8">
        <f>58394-G190</f>
        <v>19445.201999999997</v>
      </c>
      <c r="I190" s="10">
        <f t="shared" si="5"/>
        <v>58394</v>
      </c>
      <c r="J190" s="28">
        <v>54410439</v>
      </c>
    </row>
    <row r="191" spans="1:10" x14ac:dyDescent="0.2">
      <c r="A191" s="1">
        <v>5300</v>
      </c>
      <c r="B191" s="1">
        <v>220</v>
      </c>
      <c r="C191" s="2" t="s">
        <v>153</v>
      </c>
      <c r="D191" s="2" t="s">
        <v>155</v>
      </c>
      <c r="E191" s="31" t="s">
        <v>16</v>
      </c>
      <c r="F191" s="2"/>
      <c r="G191" s="8">
        <f>30449*0.667</f>
        <v>20309.483</v>
      </c>
      <c r="H191" s="8">
        <f>30449-G191</f>
        <v>10139.517</v>
      </c>
      <c r="I191" s="10">
        <f t="shared" si="5"/>
        <v>30449</v>
      </c>
      <c r="J191" s="28">
        <v>54410439</v>
      </c>
    </row>
    <row r="192" spans="1:10" x14ac:dyDescent="0.2">
      <c r="A192" s="1">
        <v>5300</v>
      </c>
      <c r="B192" s="1">
        <v>221</v>
      </c>
      <c r="C192" s="2" t="s">
        <v>153</v>
      </c>
      <c r="D192" s="2" t="s">
        <v>155</v>
      </c>
      <c r="E192" s="31" t="s">
        <v>17</v>
      </c>
      <c r="F192" s="2"/>
      <c r="G192" s="8">
        <f>7121*0.667</f>
        <v>4749.7070000000003</v>
      </c>
      <c r="H192" s="8">
        <f>7121-G192</f>
        <v>2371.2929999999997</v>
      </c>
      <c r="I192" s="10">
        <f t="shared" si="5"/>
        <v>7121</v>
      </c>
      <c r="J192" s="28">
        <v>54410439</v>
      </c>
    </row>
    <row r="193" spans="1:10" x14ac:dyDescent="0.2">
      <c r="A193" s="1">
        <v>5300</v>
      </c>
      <c r="B193" s="1">
        <v>240</v>
      </c>
      <c r="C193" s="2" t="s">
        <v>153</v>
      </c>
      <c r="D193" s="2" t="s">
        <v>155</v>
      </c>
      <c r="E193" s="31" t="s">
        <v>20</v>
      </c>
      <c r="F193" s="2"/>
      <c r="G193" s="8">
        <f>12916*0.667</f>
        <v>8614.9719999999998</v>
      </c>
      <c r="H193" s="8">
        <f>12916-G193</f>
        <v>4301.0280000000002</v>
      </c>
      <c r="I193" s="10">
        <f t="shared" si="5"/>
        <v>12916</v>
      </c>
      <c r="J193" s="28">
        <v>54410439</v>
      </c>
    </row>
    <row r="194" spans="1:10" ht="42" x14ac:dyDescent="0.2">
      <c r="A194" s="1">
        <v>5300</v>
      </c>
      <c r="B194" s="1">
        <v>640</v>
      </c>
      <c r="C194" s="2" t="s">
        <v>153</v>
      </c>
      <c r="D194" s="2" t="s">
        <v>155</v>
      </c>
      <c r="E194" s="31" t="s">
        <v>158</v>
      </c>
      <c r="F194" s="2"/>
      <c r="G194" s="8">
        <f>800000*0.667</f>
        <v>533600</v>
      </c>
      <c r="H194" s="8">
        <f>800000-G194</f>
        <v>266400</v>
      </c>
      <c r="I194" s="10">
        <f t="shared" si="5"/>
        <v>800000</v>
      </c>
      <c r="J194" s="28">
        <v>54410439</v>
      </c>
    </row>
    <row r="195" spans="1:10" ht="28" x14ac:dyDescent="0.2">
      <c r="A195" s="1">
        <v>5300</v>
      </c>
      <c r="B195" s="1">
        <v>692</v>
      </c>
      <c r="C195" s="2" t="s">
        <v>153</v>
      </c>
      <c r="D195" s="2" t="s">
        <v>155</v>
      </c>
      <c r="E195" s="31" t="s">
        <v>88</v>
      </c>
      <c r="F195" s="2"/>
      <c r="G195" s="8">
        <f>15000*0.667</f>
        <v>10005</v>
      </c>
      <c r="H195" s="8">
        <f>15000-G195</f>
        <v>4995</v>
      </c>
      <c r="I195" s="10">
        <f t="shared" si="5"/>
        <v>15000</v>
      </c>
      <c r="J195" s="28">
        <v>54410439</v>
      </c>
    </row>
    <row r="196" spans="1:10" ht="28" x14ac:dyDescent="0.2">
      <c r="A196" s="1">
        <v>7800</v>
      </c>
      <c r="B196" s="1">
        <v>330</v>
      </c>
      <c r="C196" s="2" t="s">
        <v>153</v>
      </c>
      <c r="D196" s="2" t="s">
        <v>155</v>
      </c>
      <c r="E196" s="31" t="s">
        <v>75</v>
      </c>
      <c r="F196" s="2"/>
      <c r="G196" s="8">
        <f>585000*0.667</f>
        <v>390195</v>
      </c>
      <c r="H196" s="8">
        <f>585000-G196</f>
        <v>194805</v>
      </c>
      <c r="I196" s="10">
        <f t="shared" si="5"/>
        <v>585000</v>
      </c>
      <c r="J196" s="28">
        <v>54410439</v>
      </c>
    </row>
    <row r="197" spans="1:10" ht="28" x14ac:dyDescent="0.2">
      <c r="A197" s="1">
        <v>7720</v>
      </c>
      <c r="B197" s="1">
        <v>390</v>
      </c>
      <c r="C197" s="2" t="s">
        <v>157</v>
      </c>
      <c r="D197" s="2" t="s">
        <v>219</v>
      </c>
      <c r="E197" s="31" t="s">
        <v>218</v>
      </c>
      <c r="F197" s="2"/>
      <c r="G197" s="8">
        <f>300000</f>
        <v>300000</v>
      </c>
      <c r="H197" s="8"/>
      <c r="I197" s="10">
        <f t="shared" si="5"/>
        <v>300000</v>
      </c>
      <c r="J197" s="28">
        <v>54410541</v>
      </c>
    </row>
    <row r="198" spans="1:10" ht="28" x14ac:dyDescent="0.2">
      <c r="A198" s="1">
        <v>7720</v>
      </c>
      <c r="B198" s="1">
        <v>399</v>
      </c>
      <c r="C198" s="2" t="s">
        <v>157</v>
      </c>
      <c r="D198" s="2" t="s">
        <v>220</v>
      </c>
      <c r="E198" s="31" t="s">
        <v>221</v>
      </c>
      <c r="F198" s="2"/>
      <c r="G198" s="8">
        <f>50000*0.667</f>
        <v>33350</v>
      </c>
      <c r="H198" s="8">
        <f>50000-G198</f>
        <v>16650</v>
      </c>
      <c r="I198" s="10">
        <f t="shared" si="5"/>
        <v>50000</v>
      </c>
      <c r="J198" s="28">
        <v>54410542</v>
      </c>
    </row>
    <row r="199" spans="1:10" ht="28" x14ac:dyDescent="0.2">
      <c r="A199" s="1">
        <v>7720</v>
      </c>
      <c r="B199" s="1">
        <v>370</v>
      </c>
      <c r="C199" s="2" t="s">
        <v>157</v>
      </c>
      <c r="D199" s="2" t="s">
        <v>220</v>
      </c>
      <c r="E199" s="31" t="s">
        <v>222</v>
      </c>
      <c r="F199" s="2"/>
      <c r="G199" s="8">
        <f>50000*0.667</f>
        <v>33350</v>
      </c>
      <c r="H199" s="8">
        <f>50000-G199</f>
        <v>16650</v>
      </c>
      <c r="I199" s="10">
        <f t="shared" si="5"/>
        <v>50000</v>
      </c>
      <c r="J199" s="28">
        <v>54410542</v>
      </c>
    </row>
    <row r="200" spans="1:10" ht="28" x14ac:dyDescent="0.2">
      <c r="A200" s="1">
        <v>7720</v>
      </c>
      <c r="B200" s="1">
        <v>640</v>
      </c>
      <c r="C200" s="2" t="s">
        <v>157</v>
      </c>
      <c r="D200" s="2" t="s">
        <v>223</v>
      </c>
      <c r="E200" s="31" t="s">
        <v>224</v>
      </c>
      <c r="F200" s="2"/>
      <c r="G200" s="8">
        <v>550000</v>
      </c>
      <c r="H200" s="8"/>
      <c r="I200" s="10">
        <f t="shared" si="5"/>
        <v>550000</v>
      </c>
      <c r="J200" s="28">
        <v>54410543</v>
      </c>
    </row>
    <row r="201" spans="1:10" ht="56" x14ac:dyDescent="0.2">
      <c r="A201" s="1">
        <v>7720</v>
      </c>
      <c r="B201" s="1">
        <v>390</v>
      </c>
      <c r="C201" s="2" t="s">
        <v>157</v>
      </c>
      <c r="D201" s="2" t="s">
        <v>225</v>
      </c>
      <c r="E201" s="31" t="s">
        <v>108</v>
      </c>
      <c r="F201" s="2"/>
      <c r="G201" s="8">
        <v>500000</v>
      </c>
      <c r="H201" s="8"/>
      <c r="I201" s="10">
        <f t="shared" si="5"/>
        <v>500000</v>
      </c>
      <c r="J201" s="28">
        <v>54410544</v>
      </c>
    </row>
    <row r="202" spans="1:10" ht="28" x14ac:dyDescent="0.2">
      <c r="A202" s="1">
        <v>6500</v>
      </c>
      <c r="B202" s="1">
        <v>390</v>
      </c>
      <c r="C202" s="2" t="s">
        <v>157</v>
      </c>
      <c r="D202" s="2" t="s">
        <v>227</v>
      </c>
      <c r="E202" s="31" t="s">
        <v>226</v>
      </c>
      <c r="F202" s="2"/>
      <c r="G202" s="8">
        <f>1000162*0.667</f>
        <v>667108.054</v>
      </c>
      <c r="H202" s="8">
        <f>1000162-G202</f>
        <v>333053.946</v>
      </c>
      <c r="I202" s="10">
        <f t="shared" si="5"/>
        <v>1000162</v>
      </c>
      <c r="J202" s="28">
        <v>54410545</v>
      </c>
    </row>
    <row r="203" spans="1:10" ht="140" x14ac:dyDescent="0.2">
      <c r="A203" s="1">
        <v>6400</v>
      </c>
      <c r="B203" s="1">
        <v>115</v>
      </c>
      <c r="C203" s="2" t="s">
        <v>157</v>
      </c>
      <c r="D203" s="2" t="s">
        <v>169</v>
      </c>
      <c r="E203" s="20" t="s">
        <v>170</v>
      </c>
      <c r="F203" s="2">
        <v>1</v>
      </c>
      <c r="G203" s="8">
        <f>106812*2</f>
        <v>213624</v>
      </c>
      <c r="H203" s="9">
        <v>106812</v>
      </c>
      <c r="I203" s="10">
        <f t="shared" si="5"/>
        <v>320436</v>
      </c>
      <c r="J203" s="28">
        <v>54410546</v>
      </c>
    </row>
    <row r="204" spans="1:10" x14ac:dyDescent="0.2">
      <c r="A204" s="1">
        <v>6400</v>
      </c>
      <c r="B204" s="1">
        <v>210</v>
      </c>
      <c r="C204" s="2" t="s">
        <v>157</v>
      </c>
      <c r="D204" s="2" t="s">
        <v>169</v>
      </c>
      <c r="E204" s="31" t="s">
        <v>15</v>
      </c>
      <c r="F204" s="2"/>
      <c r="G204" s="8">
        <f>12700*2</f>
        <v>25400</v>
      </c>
      <c r="H204" s="9">
        <v>12700</v>
      </c>
      <c r="I204" s="10">
        <f t="shared" si="5"/>
        <v>38100</v>
      </c>
      <c r="J204" s="28">
        <v>54410546</v>
      </c>
    </row>
    <row r="205" spans="1:10" x14ac:dyDescent="0.2">
      <c r="A205" s="1">
        <v>6400</v>
      </c>
      <c r="B205" s="1">
        <v>220</v>
      </c>
      <c r="C205" s="2" t="s">
        <v>157</v>
      </c>
      <c r="D205" s="2" t="s">
        <v>169</v>
      </c>
      <c r="E205" s="31" t="s">
        <v>16</v>
      </c>
      <c r="F205" s="2"/>
      <c r="G205" s="8">
        <f>6622*2</f>
        <v>13244</v>
      </c>
      <c r="H205" s="9">
        <v>6622</v>
      </c>
      <c r="I205" s="10">
        <f t="shared" si="5"/>
        <v>19866</v>
      </c>
      <c r="J205" s="28">
        <v>54410546</v>
      </c>
    </row>
    <row r="206" spans="1:10" x14ac:dyDescent="0.2">
      <c r="A206" s="1">
        <v>6400</v>
      </c>
      <c r="B206" s="1">
        <v>221</v>
      </c>
      <c r="C206" s="2" t="s">
        <v>157</v>
      </c>
      <c r="D206" s="2" t="s">
        <v>169</v>
      </c>
      <c r="E206" s="31" t="s">
        <v>17</v>
      </c>
      <c r="F206" s="2"/>
      <c r="G206" s="8">
        <f>1549*2</f>
        <v>3098</v>
      </c>
      <c r="H206" s="9">
        <v>1549</v>
      </c>
      <c r="I206" s="10">
        <f t="shared" ref="I206:I237" si="6">G206+H206</f>
        <v>4647</v>
      </c>
      <c r="J206" s="28">
        <v>54410546</v>
      </c>
    </row>
    <row r="207" spans="1:10" x14ac:dyDescent="0.2">
      <c r="A207" s="1">
        <v>6400</v>
      </c>
      <c r="B207" s="1">
        <v>232</v>
      </c>
      <c r="C207" s="2" t="s">
        <v>157</v>
      </c>
      <c r="D207" s="2" t="s">
        <v>169</v>
      </c>
      <c r="E207" s="31" t="s">
        <v>18</v>
      </c>
      <c r="F207" s="2"/>
      <c r="G207" s="8">
        <f>10417*2</f>
        <v>20834</v>
      </c>
      <c r="H207" s="9">
        <v>10417</v>
      </c>
      <c r="I207" s="10">
        <f t="shared" si="6"/>
        <v>31251</v>
      </c>
      <c r="J207" s="28">
        <v>54410546</v>
      </c>
    </row>
    <row r="208" spans="1:10" x14ac:dyDescent="0.2">
      <c r="A208" s="1">
        <v>6400</v>
      </c>
      <c r="B208" s="1">
        <v>240</v>
      </c>
      <c r="C208" s="2" t="s">
        <v>157</v>
      </c>
      <c r="D208" s="2" t="s">
        <v>169</v>
      </c>
      <c r="E208" s="31" t="s">
        <v>20</v>
      </c>
      <c r="F208" s="2"/>
      <c r="G208" s="8">
        <f>2809*2</f>
        <v>5618</v>
      </c>
      <c r="H208" s="9">
        <v>2809</v>
      </c>
      <c r="I208" s="10">
        <f t="shared" si="6"/>
        <v>8427</v>
      </c>
      <c r="J208" s="28">
        <v>54410546</v>
      </c>
    </row>
    <row r="209" spans="1:10" ht="84" x14ac:dyDescent="0.2">
      <c r="A209" s="1">
        <v>6400</v>
      </c>
      <c r="B209" s="1">
        <v>126</v>
      </c>
      <c r="C209" s="2" t="s">
        <v>157</v>
      </c>
      <c r="D209" s="2" t="s">
        <v>169</v>
      </c>
      <c r="E209" s="20" t="s">
        <v>171</v>
      </c>
      <c r="F209" s="2">
        <v>1</v>
      </c>
      <c r="G209" s="8">
        <f>81893*2</f>
        <v>163786</v>
      </c>
      <c r="H209" s="9">
        <v>81893</v>
      </c>
      <c r="I209" s="10">
        <f t="shared" si="6"/>
        <v>245679</v>
      </c>
      <c r="J209" s="28">
        <v>54410546</v>
      </c>
    </row>
    <row r="210" spans="1:10" x14ac:dyDescent="0.2">
      <c r="A210" s="1">
        <v>6400</v>
      </c>
      <c r="B210" s="1">
        <v>210</v>
      </c>
      <c r="C210" s="2" t="s">
        <v>157</v>
      </c>
      <c r="D210" s="2" t="s">
        <v>169</v>
      </c>
      <c r="E210" s="31" t="s">
        <v>15</v>
      </c>
      <c r="F210" s="2"/>
      <c r="G210" s="8">
        <f>9737*2</f>
        <v>19474</v>
      </c>
      <c r="H210" s="9">
        <v>9737</v>
      </c>
      <c r="I210" s="10">
        <f t="shared" si="6"/>
        <v>29211</v>
      </c>
      <c r="J210" s="28">
        <v>54410546</v>
      </c>
    </row>
    <row r="211" spans="1:10" x14ac:dyDescent="0.2">
      <c r="A211" s="1">
        <v>6400</v>
      </c>
      <c r="B211" s="1">
        <v>220</v>
      </c>
      <c r="C211" s="2" t="s">
        <v>157</v>
      </c>
      <c r="D211" s="2" t="s">
        <v>169</v>
      </c>
      <c r="E211" s="31" t="s">
        <v>16</v>
      </c>
      <c r="F211" s="2"/>
      <c r="G211" s="8">
        <f>5077*2</f>
        <v>10154</v>
      </c>
      <c r="H211" s="9">
        <v>5077</v>
      </c>
      <c r="I211" s="10">
        <f t="shared" si="6"/>
        <v>15231</v>
      </c>
      <c r="J211" s="28">
        <v>54410546</v>
      </c>
    </row>
    <row r="212" spans="1:10" x14ac:dyDescent="0.2">
      <c r="A212" s="1">
        <v>6400</v>
      </c>
      <c r="B212" s="1">
        <v>221</v>
      </c>
      <c r="C212" s="2" t="s">
        <v>157</v>
      </c>
      <c r="D212" s="2" t="s">
        <v>169</v>
      </c>
      <c r="E212" s="31" t="s">
        <v>17</v>
      </c>
      <c r="F212" s="2"/>
      <c r="G212" s="8">
        <f>1187*2</f>
        <v>2374</v>
      </c>
      <c r="H212" s="9">
        <v>1187</v>
      </c>
      <c r="I212" s="10">
        <f t="shared" si="6"/>
        <v>3561</v>
      </c>
      <c r="J212" s="28">
        <v>54410546</v>
      </c>
    </row>
    <row r="213" spans="1:10" x14ac:dyDescent="0.2">
      <c r="A213" s="1">
        <v>6400</v>
      </c>
      <c r="B213" s="1">
        <v>232</v>
      </c>
      <c r="C213" s="2" t="s">
        <v>157</v>
      </c>
      <c r="D213" s="2" t="s">
        <v>169</v>
      </c>
      <c r="E213" s="31" t="s">
        <v>18</v>
      </c>
      <c r="F213" s="2"/>
      <c r="G213" s="8">
        <f>10417*2</f>
        <v>20834</v>
      </c>
      <c r="H213" s="9">
        <v>10417</v>
      </c>
      <c r="I213" s="10">
        <f t="shared" si="6"/>
        <v>31251</v>
      </c>
      <c r="J213" s="28">
        <v>54410546</v>
      </c>
    </row>
    <row r="214" spans="1:10" x14ac:dyDescent="0.2">
      <c r="A214" s="1">
        <v>6400</v>
      </c>
      <c r="B214" s="1">
        <v>240</v>
      </c>
      <c r="C214" s="2" t="s">
        <v>157</v>
      </c>
      <c r="D214" s="2" t="s">
        <v>169</v>
      </c>
      <c r="E214" s="31" t="s">
        <v>20</v>
      </c>
      <c r="F214" s="2"/>
      <c r="G214" s="8">
        <f>2154*2</f>
        <v>4308</v>
      </c>
      <c r="H214" s="9">
        <v>2154</v>
      </c>
      <c r="I214" s="10">
        <f t="shared" si="6"/>
        <v>6462</v>
      </c>
      <c r="J214" s="28">
        <v>54410546</v>
      </c>
    </row>
    <row r="215" spans="1:10" ht="126" x14ac:dyDescent="0.2">
      <c r="A215" s="1">
        <v>6400</v>
      </c>
      <c r="B215" s="1">
        <v>168</v>
      </c>
      <c r="C215" s="2" t="s">
        <v>157</v>
      </c>
      <c r="D215" s="2" t="s">
        <v>169</v>
      </c>
      <c r="E215" s="40" t="s">
        <v>122</v>
      </c>
      <c r="F215" s="2">
        <v>2</v>
      </c>
      <c r="G215" s="8">
        <f>132447*2</f>
        <v>264894</v>
      </c>
      <c r="H215" s="9">
        <v>132447</v>
      </c>
      <c r="I215" s="10">
        <f t="shared" si="6"/>
        <v>397341</v>
      </c>
      <c r="J215" s="28">
        <v>54410546</v>
      </c>
    </row>
    <row r="216" spans="1:10" x14ac:dyDescent="0.2">
      <c r="A216" s="1">
        <v>6400</v>
      </c>
      <c r="B216" s="1">
        <v>210</v>
      </c>
      <c r="C216" s="2" t="s">
        <v>157</v>
      </c>
      <c r="D216" s="2" t="s">
        <v>169</v>
      </c>
      <c r="E216" s="31" t="s">
        <v>15</v>
      </c>
      <c r="F216" s="2"/>
      <c r="G216" s="8">
        <f>15748*2</f>
        <v>31496</v>
      </c>
      <c r="H216" s="9">
        <v>15748</v>
      </c>
      <c r="I216" s="10">
        <f t="shared" si="6"/>
        <v>47244</v>
      </c>
      <c r="J216" s="28">
        <v>54410546</v>
      </c>
    </row>
    <row r="217" spans="1:10" x14ac:dyDescent="0.2">
      <c r="A217" s="1">
        <v>6400</v>
      </c>
      <c r="B217" s="1">
        <v>220</v>
      </c>
      <c r="C217" s="2" t="s">
        <v>157</v>
      </c>
      <c r="D217" s="2" t="s">
        <v>169</v>
      </c>
      <c r="E217" s="31" t="s">
        <v>16</v>
      </c>
      <c r="F217" s="2"/>
      <c r="G217" s="8">
        <f>8212*2</f>
        <v>16424</v>
      </c>
      <c r="H217" s="9">
        <v>8212</v>
      </c>
      <c r="I217" s="10">
        <f t="shared" si="6"/>
        <v>24636</v>
      </c>
      <c r="J217" s="28">
        <v>54410546</v>
      </c>
    </row>
    <row r="218" spans="1:10" x14ac:dyDescent="0.2">
      <c r="A218" s="1">
        <v>6400</v>
      </c>
      <c r="B218" s="1">
        <v>221</v>
      </c>
      <c r="C218" s="2" t="s">
        <v>157</v>
      </c>
      <c r="D218" s="2" t="s">
        <v>169</v>
      </c>
      <c r="E218" s="31" t="s">
        <v>17</v>
      </c>
      <c r="F218" s="2"/>
      <c r="G218" s="8">
        <f>1920*2</f>
        <v>3840</v>
      </c>
      <c r="H218" s="9">
        <v>1920</v>
      </c>
      <c r="I218" s="10">
        <f t="shared" si="6"/>
        <v>5760</v>
      </c>
      <c r="J218" s="28">
        <v>54410546</v>
      </c>
    </row>
    <row r="219" spans="1:10" x14ac:dyDescent="0.2">
      <c r="A219" s="1">
        <v>6400</v>
      </c>
      <c r="B219" s="1">
        <v>232</v>
      </c>
      <c r="C219" s="2" t="s">
        <v>157</v>
      </c>
      <c r="D219" s="2" t="s">
        <v>169</v>
      </c>
      <c r="E219" s="31" t="s">
        <v>18</v>
      </c>
      <c r="F219" s="2"/>
      <c r="G219" s="8">
        <f>20834*2</f>
        <v>41668</v>
      </c>
      <c r="H219" s="9">
        <v>20834</v>
      </c>
      <c r="I219" s="10">
        <f t="shared" si="6"/>
        <v>62502</v>
      </c>
      <c r="J219" s="28">
        <v>54410546</v>
      </c>
    </row>
    <row r="220" spans="1:10" x14ac:dyDescent="0.2">
      <c r="A220" s="1">
        <v>6400</v>
      </c>
      <c r="B220" s="1">
        <v>240</v>
      </c>
      <c r="C220" s="2" t="s">
        <v>157</v>
      </c>
      <c r="D220" s="2" t="s">
        <v>169</v>
      </c>
      <c r="E220" s="31" t="s">
        <v>20</v>
      </c>
      <c r="F220" s="2"/>
      <c r="G220" s="8">
        <f>3483*2</f>
        <v>6966</v>
      </c>
      <c r="H220" s="9">
        <v>3483</v>
      </c>
      <c r="I220" s="10">
        <f t="shared" si="6"/>
        <v>10449</v>
      </c>
      <c r="J220" s="28">
        <v>54410546</v>
      </c>
    </row>
    <row r="221" spans="1:10" x14ac:dyDescent="0.2">
      <c r="A221" s="1">
        <v>6400</v>
      </c>
      <c r="B221" s="1">
        <v>150</v>
      </c>
      <c r="C221" s="2" t="s">
        <v>157</v>
      </c>
      <c r="D221" s="2" t="s">
        <v>169</v>
      </c>
      <c r="E221" s="33" t="s">
        <v>27</v>
      </c>
      <c r="F221" s="2"/>
      <c r="G221" s="8">
        <v>200000</v>
      </c>
      <c r="H221" s="9">
        <v>100000</v>
      </c>
      <c r="I221" s="10">
        <f t="shared" si="6"/>
        <v>300000</v>
      </c>
      <c r="J221" s="28">
        <v>54410546</v>
      </c>
    </row>
    <row r="222" spans="1:10" x14ac:dyDescent="0.2">
      <c r="A222" s="1">
        <v>6400</v>
      </c>
      <c r="B222" s="1">
        <v>210</v>
      </c>
      <c r="C222" s="2" t="s">
        <v>157</v>
      </c>
      <c r="D222" s="2" t="s">
        <v>169</v>
      </c>
      <c r="E222" s="31" t="s">
        <v>15</v>
      </c>
      <c r="F222" s="2"/>
      <c r="G222" s="8">
        <f>11890*2</f>
        <v>23780</v>
      </c>
      <c r="H222" s="9">
        <v>11890</v>
      </c>
      <c r="I222" s="10">
        <f t="shared" si="6"/>
        <v>35670</v>
      </c>
      <c r="J222" s="28">
        <v>54410546</v>
      </c>
    </row>
    <row r="223" spans="1:10" x14ac:dyDescent="0.2">
      <c r="A223" s="1">
        <v>6400</v>
      </c>
      <c r="B223" s="1">
        <v>220</v>
      </c>
      <c r="C223" s="2" t="s">
        <v>157</v>
      </c>
      <c r="D223" s="2" t="s">
        <v>169</v>
      </c>
      <c r="E223" s="31" t="s">
        <v>16</v>
      </c>
      <c r="F223" s="2"/>
      <c r="G223" s="8">
        <f>6200*2</f>
        <v>12400</v>
      </c>
      <c r="H223" s="9">
        <v>6200</v>
      </c>
      <c r="I223" s="10">
        <f t="shared" si="6"/>
        <v>18600</v>
      </c>
      <c r="J223" s="28">
        <v>54410546</v>
      </c>
    </row>
    <row r="224" spans="1:10" x14ac:dyDescent="0.2">
      <c r="A224" s="1">
        <v>6400</v>
      </c>
      <c r="B224" s="1">
        <v>221</v>
      </c>
      <c r="C224" s="2" t="s">
        <v>157</v>
      </c>
      <c r="D224" s="2" t="s">
        <v>169</v>
      </c>
      <c r="E224" s="31" t="s">
        <v>17</v>
      </c>
      <c r="F224" s="2"/>
      <c r="G224" s="8">
        <f>1450*2</f>
        <v>2900</v>
      </c>
      <c r="H224" s="9">
        <v>1450</v>
      </c>
      <c r="I224" s="10">
        <f t="shared" si="6"/>
        <v>4350</v>
      </c>
      <c r="J224" s="28">
        <v>54410546</v>
      </c>
    </row>
    <row r="225" spans="1:10" x14ac:dyDescent="0.2">
      <c r="A225" s="1">
        <v>6400</v>
      </c>
      <c r="B225" s="1">
        <v>240</v>
      </c>
      <c r="C225" s="2" t="s">
        <v>157</v>
      </c>
      <c r="D225" s="2" t="s">
        <v>169</v>
      </c>
      <c r="E225" s="31" t="s">
        <v>20</v>
      </c>
      <c r="F225" s="2"/>
      <c r="G225" s="8">
        <f>2630*2</f>
        <v>5260</v>
      </c>
      <c r="H225" s="9">
        <v>2630</v>
      </c>
      <c r="I225" s="10">
        <f t="shared" si="6"/>
        <v>7890</v>
      </c>
      <c r="J225" s="28">
        <v>54410546</v>
      </c>
    </row>
    <row r="226" spans="1:10" ht="56" x14ac:dyDescent="0.2">
      <c r="A226" s="1">
        <v>6400</v>
      </c>
      <c r="B226" s="1">
        <v>136</v>
      </c>
      <c r="C226" s="2" t="s">
        <v>157</v>
      </c>
      <c r="D226" s="2" t="s">
        <v>169</v>
      </c>
      <c r="E226" s="20" t="s">
        <v>52</v>
      </c>
      <c r="F226" s="2"/>
      <c r="G226" s="8">
        <f>32500*2</f>
        <v>65000</v>
      </c>
      <c r="H226" s="9">
        <v>32500</v>
      </c>
      <c r="I226" s="10">
        <f t="shared" si="6"/>
        <v>97500</v>
      </c>
      <c r="J226" s="28">
        <v>54410546</v>
      </c>
    </row>
    <row r="227" spans="1:10" x14ac:dyDescent="0.2">
      <c r="A227" s="1">
        <v>6400</v>
      </c>
      <c r="B227" s="1">
        <v>220</v>
      </c>
      <c r="C227" s="2" t="s">
        <v>157</v>
      </c>
      <c r="D227" s="2" t="s">
        <v>169</v>
      </c>
      <c r="E227" s="31" t="s">
        <v>16</v>
      </c>
      <c r="F227" s="2"/>
      <c r="G227" s="8">
        <f>2015*2</f>
        <v>4030</v>
      </c>
      <c r="H227" s="9">
        <v>2015</v>
      </c>
      <c r="I227" s="10">
        <f t="shared" si="6"/>
        <v>6045</v>
      </c>
      <c r="J227" s="28">
        <v>54410546</v>
      </c>
    </row>
    <row r="228" spans="1:10" x14ac:dyDescent="0.2">
      <c r="A228" s="1">
        <v>6400</v>
      </c>
      <c r="B228" s="1">
        <v>221</v>
      </c>
      <c r="C228" s="2" t="s">
        <v>157</v>
      </c>
      <c r="D228" s="2" t="s">
        <v>169</v>
      </c>
      <c r="E228" s="31" t="s">
        <v>17</v>
      </c>
      <c r="F228" s="2"/>
      <c r="G228" s="8">
        <f>471*2</f>
        <v>942</v>
      </c>
      <c r="H228" s="9">
        <v>471</v>
      </c>
      <c r="I228" s="10">
        <f t="shared" si="6"/>
        <v>1413</v>
      </c>
      <c r="J228" s="28">
        <v>54410546</v>
      </c>
    </row>
    <row r="229" spans="1:10" x14ac:dyDescent="0.2">
      <c r="A229" s="1">
        <v>6400</v>
      </c>
      <c r="B229" s="1">
        <v>240</v>
      </c>
      <c r="C229" s="2" t="s">
        <v>157</v>
      </c>
      <c r="D229" s="2" t="s">
        <v>169</v>
      </c>
      <c r="E229" s="31" t="s">
        <v>20</v>
      </c>
      <c r="F229" s="2"/>
      <c r="G229" s="8">
        <f>855*2</f>
        <v>1710</v>
      </c>
      <c r="H229" s="9">
        <v>855</v>
      </c>
      <c r="I229" s="10">
        <f t="shared" si="6"/>
        <v>2565</v>
      </c>
      <c r="J229" s="28">
        <v>54410546</v>
      </c>
    </row>
    <row r="230" spans="1:10" ht="42" x14ac:dyDescent="0.2">
      <c r="A230" s="1">
        <v>6400</v>
      </c>
      <c r="B230" s="1">
        <v>136</v>
      </c>
      <c r="C230" s="2" t="s">
        <v>157</v>
      </c>
      <c r="D230" s="2" t="s">
        <v>169</v>
      </c>
      <c r="E230" s="20" t="s">
        <v>53</v>
      </c>
      <c r="F230" s="2"/>
      <c r="G230" s="8">
        <v>8000</v>
      </c>
      <c r="H230" s="9">
        <v>4000</v>
      </c>
      <c r="I230" s="10">
        <f t="shared" si="6"/>
        <v>12000</v>
      </c>
      <c r="J230" s="28">
        <v>54410546</v>
      </c>
    </row>
    <row r="231" spans="1:10" x14ac:dyDescent="0.2">
      <c r="A231" s="1">
        <v>6400</v>
      </c>
      <c r="B231" s="1">
        <v>220</v>
      </c>
      <c r="C231" s="2" t="s">
        <v>157</v>
      </c>
      <c r="D231" s="2" t="s">
        <v>169</v>
      </c>
      <c r="E231" s="31" t="s">
        <v>16</v>
      </c>
      <c r="F231" s="2"/>
      <c r="G231" s="8">
        <f>249*2</f>
        <v>498</v>
      </c>
      <c r="H231" s="9">
        <v>249</v>
      </c>
      <c r="I231" s="10">
        <f t="shared" si="6"/>
        <v>747</v>
      </c>
      <c r="J231" s="28">
        <v>54410546</v>
      </c>
    </row>
    <row r="232" spans="1:10" x14ac:dyDescent="0.2">
      <c r="A232" s="1">
        <v>6400</v>
      </c>
      <c r="B232" s="1">
        <v>221</v>
      </c>
      <c r="C232" s="2" t="s">
        <v>157</v>
      </c>
      <c r="D232" s="2" t="s">
        <v>169</v>
      </c>
      <c r="E232" s="31" t="s">
        <v>17</v>
      </c>
      <c r="F232" s="2"/>
      <c r="G232" s="8">
        <f>58*2</f>
        <v>116</v>
      </c>
      <c r="H232" s="9">
        <v>58</v>
      </c>
      <c r="I232" s="10">
        <f t="shared" si="6"/>
        <v>174</v>
      </c>
      <c r="J232" s="28">
        <v>54410546</v>
      </c>
    </row>
    <row r="233" spans="1:10" x14ac:dyDescent="0.2">
      <c r="A233" s="1">
        <v>6400</v>
      </c>
      <c r="B233" s="1">
        <v>240</v>
      </c>
      <c r="C233" s="2" t="s">
        <v>157</v>
      </c>
      <c r="D233" s="2" t="s">
        <v>169</v>
      </c>
      <c r="E233" s="31" t="s">
        <v>20</v>
      </c>
      <c r="F233" s="2"/>
      <c r="G233" s="8">
        <f>106*2</f>
        <v>212</v>
      </c>
      <c r="H233" s="9">
        <v>106</v>
      </c>
      <c r="I233" s="10">
        <f t="shared" si="6"/>
        <v>318</v>
      </c>
      <c r="J233" s="28">
        <v>54410546</v>
      </c>
    </row>
    <row r="234" spans="1:10" ht="56" x14ac:dyDescent="0.2">
      <c r="A234" s="1">
        <v>6400</v>
      </c>
      <c r="B234" s="1">
        <v>640</v>
      </c>
      <c r="C234" s="2" t="s">
        <v>157</v>
      </c>
      <c r="D234" s="2" t="s">
        <v>169</v>
      </c>
      <c r="E234" s="31" t="s">
        <v>172</v>
      </c>
      <c r="F234" s="2"/>
      <c r="G234" s="8">
        <v>40000</v>
      </c>
      <c r="H234" s="9">
        <v>20000</v>
      </c>
      <c r="I234" s="10">
        <f t="shared" si="6"/>
        <v>60000</v>
      </c>
      <c r="J234" s="28">
        <v>54410546</v>
      </c>
    </row>
    <row r="235" spans="1:10" x14ac:dyDescent="0.2">
      <c r="A235" s="1">
        <v>6400</v>
      </c>
      <c r="B235" s="1">
        <v>640</v>
      </c>
      <c r="C235" s="2" t="s">
        <v>157</v>
      </c>
      <c r="D235" s="2" t="s">
        <v>169</v>
      </c>
      <c r="E235" s="33" t="s">
        <v>54</v>
      </c>
      <c r="F235" s="2"/>
      <c r="G235" s="8">
        <v>16000</v>
      </c>
      <c r="H235" s="9">
        <v>8000</v>
      </c>
      <c r="I235" s="10">
        <f t="shared" si="6"/>
        <v>24000</v>
      </c>
      <c r="J235" s="28">
        <v>54410546</v>
      </c>
    </row>
    <row r="236" spans="1:10" ht="56" x14ac:dyDescent="0.2">
      <c r="A236" s="1">
        <v>6400</v>
      </c>
      <c r="B236" s="1">
        <v>390</v>
      </c>
      <c r="C236" s="2" t="s">
        <v>157</v>
      </c>
      <c r="D236" s="2" t="s">
        <v>169</v>
      </c>
      <c r="E236" s="31" t="s">
        <v>173</v>
      </c>
      <c r="F236" s="2"/>
      <c r="G236" s="8">
        <f>132000*2</f>
        <v>264000</v>
      </c>
      <c r="H236" s="9">
        <v>132000</v>
      </c>
      <c r="I236" s="10">
        <f t="shared" si="6"/>
        <v>396000</v>
      </c>
      <c r="J236" s="28">
        <v>54410546</v>
      </c>
    </row>
    <row r="237" spans="1:10" ht="42" x14ac:dyDescent="0.2">
      <c r="A237" s="1">
        <v>6400</v>
      </c>
      <c r="B237" s="1">
        <v>390</v>
      </c>
      <c r="C237" s="2" t="s">
        <v>157</v>
      </c>
      <c r="D237" s="2" t="s">
        <v>169</v>
      </c>
      <c r="E237" s="31" t="s">
        <v>174</v>
      </c>
      <c r="F237" s="2"/>
      <c r="G237" s="8">
        <v>10000</v>
      </c>
      <c r="H237" s="9">
        <v>5000</v>
      </c>
      <c r="I237" s="10">
        <f t="shared" si="6"/>
        <v>15000</v>
      </c>
      <c r="J237" s="28">
        <v>54410546</v>
      </c>
    </row>
    <row r="238" spans="1:10" ht="140" x14ac:dyDescent="0.2">
      <c r="A238" s="1">
        <v>6400</v>
      </c>
      <c r="B238" s="1">
        <v>390</v>
      </c>
      <c r="C238" s="2" t="s">
        <v>157</v>
      </c>
      <c r="D238" s="2" t="s">
        <v>169</v>
      </c>
      <c r="E238" s="31" t="s">
        <v>56</v>
      </c>
      <c r="F238" s="2"/>
      <c r="G238" s="8">
        <f>48200*2</f>
        <v>96400</v>
      </c>
      <c r="H238" s="9">
        <v>48200</v>
      </c>
      <c r="I238" s="10">
        <f t="shared" ref="I238:I252" si="7">G238+H238</f>
        <v>144600</v>
      </c>
      <c r="J238" s="28">
        <v>54410546</v>
      </c>
    </row>
    <row r="239" spans="1:10" ht="70" x14ac:dyDescent="0.2">
      <c r="A239" s="1">
        <v>6400</v>
      </c>
      <c r="B239" s="1">
        <v>390</v>
      </c>
      <c r="C239" s="2" t="s">
        <v>157</v>
      </c>
      <c r="D239" s="2" t="s">
        <v>169</v>
      </c>
      <c r="E239" s="31" t="s">
        <v>55</v>
      </c>
      <c r="F239" s="2"/>
      <c r="G239" s="8">
        <f>30000*2</f>
        <v>60000</v>
      </c>
      <c r="H239" s="9">
        <v>30000</v>
      </c>
      <c r="I239" s="10">
        <f t="shared" si="7"/>
        <v>90000</v>
      </c>
      <c r="J239" s="28">
        <v>54410546</v>
      </c>
    </row>
    <row r="240" spans="1:10" ht="112" x14ac:dyDescent="0.2">
      <c r="A240" s="1">
        <v>6400</v>
      </c>
      <c r="B240" s="1">
        <v>310</v>
      </c>
      <c r="C240" s="2" t="s">
        <v>157</v>
      </c>
      <c r="D240" s="2" t="s">
        <v>169</v>
      </c>
      <c r="E240" s="31" t="s">
        <v>57</v>
      </c>
      <c r="F240" s="2"/>
      <c r="G240" s="8">
        <f>60000*2</f>
        <v>120000</v>
      </c>
      <c r="H240" s="9">
        <v>60000</v>
      </c>
      <c r="I240" s="10">
        <f t="shared" si="7"/>
        <v>180000</v>
      </c>
      <c r="J240" s="28">
        <v>54410546</v>
      </c>
    </row>
    <row r="241" spans="1:10" ht="42" x14ac:dyDescent="0.2">
      <c r="A241" s="1">
        <v>6400</v>
      </c>
      <c r="B241" s="1">
        <v>399</v>
      </c>
      <c r="C241" s="2" t="s">
        <v>157</v>
      </c>
      <c r="D241" s="2" t="s">
        <v>169</v>
      </c>
      <c r="E241" s="31" t="s">
        <v>59</v>
      </c>
      <c r="F241" s="2"/>
      <c r="G241" s="8">
        <v>4000</v>
      </c>
      <c r="H241" s="9">
        <v>2000</v>
      </c>
      <c r="I241" s="10">
        <f t="shared" si="7"/>
        <v>6000</v>
      </c>
      <c r="J241" s="28">
        <v>54410546</v>
      </c>
    </row>
    <row r="242" spans="1:10" ht="56" x14ac:dyDescent="0.2">
      <c r="A242" s="1">
        <v>6400</v>
      </c>
      <c r="B242" s="1">
        <v>510</v>
      </c>
      <c r="C242" s="2" t="s">
        <v>157</v>
      </c>
      <c r="D242" s="2" t="s">
        <v>169</v>
      </c>
      <c r="E242" s="31" t="s">
        <v>58</v>
      </c>
      <c r="F242" s="2"/>
      <c r="G242" s="8">
        <f>(3980+2046)*2</f>
        <v>12052</v>
      </c>
      <c r="H242" s="9">
        <f>3980+2046</f>
        <v>6026</v>
      </c>
      <c r="I242" s="10">
        <f t="shared" si="7"/>
        <v>18078</v>
      </c>
      <c r="J242" s="28">
        <v>54410546</v>
      </c>
    </row>
    <row r="243" spans="1:10" ht="28" x14ac:dyDescent="0.2">
      <c r="A243" s="1">
        <v>6500</v>
      </c>
      <c r="B243" s="1">
        <v>390</v>
      </c>
      <c r="C243" s="2" t="s">
        <v>157</v>
      </c>
      <c r="D243" s="2" t="s">
        <v>197</v>
      </c>
      <c r="E243" s="31" t="s">
        <v>77</v>
      </c>
      <c r="F243" s="2"/>
      <c r="G243" s="8">
        <f>10000000*0.667</f>
        <v>6670000</v>
      </c>
      <c r="H243" s="9">
        <f>10000000-G243</f>
        <v>3330000</v>
      </c>
      <c r="I243" s="10">
        <f t="shared" si="7"/>
        <v>10000000</v>
      </c>
      <c r="J243" s="28">
        <v>55410548</v>
      </c>
    </row>
    <row r="244" spans="1:10" ht="28" x14ac:dyDescent="0.2">
      <c r="A244" s="1">
        <v>7800</v>
      </c>
      <c r="B244" s="1">
        <v>690</v>
      </c>
      <c r="C244" s="2" t="s">
        <v>157</v>
      </c>
      <c r="D244" s="2" t="s">
        <v>160</v>
      </c>
      <c r="E244" s="31" t="s">
        <v>90</v>
      </c>
      <c r="F244" s="2"/>
      <c r="G244" s="8">
        <f>700000*0.667</f>
        <v>466900</v>
      </c>
      <c r="H244" s="8">
        <f>700000-G244</f>
        <v>233100</v>
      </c>
      <c r="I244" s="10">
        <f t="shared" si="7"/>
        <v>700000</v>
      </c>
      <c r="J244" s="28">
        <v>54410550</v>
      </c>
    </row>
    <row r="245" spans="1:10" ht="56" x14ac:dyDescent="0.2">
      <c r="A245" s="1">
        <v>6500</v>
      </c>
      <c r="B245" s="1">
        <v>310</v>
      </c>
      <c r="C245" s="2" t="s">
        <v>157</v>
      </c>
      <c r="D245" s="2" t="s">
        <v>216</v>
      </c>
      <c r="E245" s="31" t="s">
        <v>127</v>
      </c>
      <c r="F245" s="2"/>
      <c r="G245" s="8">
        <f>750000*0.667</f>
        <v>500250</v>
      </c>
      <c r="H245" s="9">
        <f>750000-G245</f>
        <v>249750</v>
      </c>
      <c r="I245" s="10">
        <f t="shared" si="7"/>
        <v>750000</v>
      </c>
      <c r="J245" s="28">
        <v>54410551</v>
      </c>
    </row>
    <row r="246" spans="1:10" ht="28" x14ac:dyDescent="0.2">
      <c r="A246" s="1">
        <v>6110</v>
      </c>
      <c r="B246" s="1">
        <v>390</v>
      </c>
      <c r="C246" s="2" t="s">
        <v>157</v>
      </c>
      <c r="D246" s="2" t="s">
        <v>156</v>
      </c>
      <c r="E246" s="31" t="s">
        <v>89</v>
      </c>
      <c r="F246" s="2"/>
      <c r="G246" s="8">
        <f>(2000000-375000)*0.667</f>
        <v>1083875</v>
      </c>
      <c r="H246" s="8">
        <f>1625000-G246</f>
        <v>541125</v>
      </c>
      <c r="I246" s="10">
        <f t="shared" si="7"/>
        <v>1625000</v>
      </c>
      <c r="J246" s="28">
        <v>54410552</v>
      </c>
    </row>
    <row r="247" spans="1:10" ht="28" x14ac:dyDescent="0.2">
      <c r="A247" s="1">
        <v>6110</v>
      </c>
      <c r="B247" s="1">
        <v>640</v>
      </c>
      <c r="C247" s="2" t="s">
        <v>157</v>
      </c>
      <c r="D247" s="2" t="s">
        <v>156</v>
      </c>
      <c r="E247" s="20" t="s">
        <v>91</v>
      </c>
      <c r="F247" s="20"/>
      <c r="G247" s="18">
        <f>220000*0.667</f>
        <v>146740</v>
      </c>
      <c r="H247" s="19">
        <f>220000-G247</f>
        <v>73260</v>
      </c>
      <c r="I247" s="10">
        <f t="shared" si="7"/>
        <v>220000</v>
      </c>
      <c r="J247" s="28">
        <v>54410552</v>
      </c>
    </row>
    <row r="248" spans="1:10" ht="28" x14ac:dyDescent="0.2">
      <c r="A248" s="1">
        <v>6110</v>
      </c>
      <c r="B248" s="1">
        <v>640</v>
      </c>
      <c r="C248" s="2" t="s">
        <v>157</v>
      </c>
      <c r="D248" s="2" t="s">
        <v>156</v>
      </c>
      <c r="E248" s="20" t="s">
        <v>92</v>
      </c>
      <c r="F248" s="2"/>
      <c r="G248" s="8">
        <f>320000*0.667</f>
        <v>213440</v>
      </c>
      <c r="H248" s="8">
        <f>320000-G248</f>
        <v>106560</v>
      </c>
      <c r="I248" s="10">
        <f t="shared" si="7"/>
        <v>320000</v>
      </c>
      <c r="J248" s="28">
        <v>54410552</v>
      </c>
    </row>
    <row r="249" spans="1:10" ht="28" x14ac:dyDescent="0.2">
      <c r="A249" s="1">
        <v>6110</v>
      </c>
      <c r="B249" s="1">
        <v>640</v>
      </c>
      <c r="C249" s="2" t="s">
        <v>157</v>
      </c>
      <c r="D249" s="2" t="s">
        <v>156</v>
      </c>
      <c r="E249" s="20" t="s">
        <v>126</v>
      </c>
      <c r="F249" s="2"/>
      <c r="G249" s="8">
        <f>335000*0.667</f>
        <v>223445</v>
      </c>
      <c r="H249" s="8">
        <f>335000-G249</f>
        <v>111555</v>
      </c>
      <c r="I249" s="10">
        <f t="shared" si="7"/>
        <v>335000</v>
      </c>
      <c r="J249" s="28">
        <v>54410552</v>
      </c>
    </row>
    <row r="250" spans="1:10" ht="28" x14ac:dyDescent="0.2">
      <c r="A250" s="1">
        <v>6110</v>
      </c>
      <c r="B250" s="1">
        <v>390</v>
      </c>
      <c r="C250" s="2" t="s">
        <v>157</v>
      </c>
      <c r="D250" s="2" t="s">
        <v>156</v>
      </c>
      <c r="E250" s="20" t="s">
        <v>93</v>
      </c>
      <c r="F250" s="2"/>
      <c r="G250" s="8">
        <f>500000*0.667</f>
        <v>333500</v>
      </c>
      <c r="H250" s="8">
        <f>500000-G250</f>
        <v>166500</v>
      </c>
      <c r="I250" s="10">
        <f t="shared" si="7"/>
        <v>500000</v>
      </c>
      <c r="J250" s="28">
        <v>54410552</v>
      </c>
    </row>
    <row r="251" spans="1:10" ht="28" x14ac:dyDescent="0.2">
      <c r="A251" s="1">
        <v>6110</v>
      </c>
      <c r="B251" s="1">
        <v>640</v>
      </c>
      <c r="C251" s="2" t="s">
        <v>157</v>
      </c>
      <c r="D251" s="2" t="s">
        <v>156</v>
      </c>
      <c r="E251" s="20" t="s">
        <v>159</v>
      </c>
      <c r="F251" s="2"/>
      <c r="G251" s="8">
        <f>500000*0.667</f>
        <v>333500</v>
      </c>
      <c r="H251" s="8">
        <f>500000-G251</f>
        <v>166500</v>
      </c>
      <c r="I251" s="10">
        <f t="shared" si="7"/>
        <v>500000</v>
      </c>
      <c r="J251" s="28">
        <v>54410552</v>
      </c>
    </row>
    <row r="252" spans="1:10" ht="28" x14ac:dyDescent="0.2">
      <c r="A252" s="1">
        <v>6500</v>
      </c>
      <c r="B252" s="1">
        <v>640</v>
      </c>
      <c r="C252" s="2" t="s">
        <v>157</v>
      </c>
      <c r="D252" s="2" t="s">
        <v>215</v>
      </c>
      <c r="E252" s="31" t="s">
        <v>79</v>
      </c>
      <c r="F252" s="2"/>
      <c r="G252" s="8">
        <f>8243054*0.667</f>
        <v>5498117.0180000002</v>
      </c>
      <c r="H252" s="9">
        <f>8243054-G252</f>
        <v>2744936.9819999998</v>
      </c>
      <c r="I252" s="10">
        <f t="shared" si="7"/>
        <v>8243054</v>
      </c>
      <c r="J252" s="28">
        <v>54411084</v>
      </c>
    </row>
    <row r="253" spans="1:10" ht="42" x14ac:dyDescent="0.2">
      <c r="A253" s="1">
        <v>6400</v>
      </c>
      <c r="B253" s="1">
        <v>136</v>
      </c>
      <c r="C253" s="2" t="s">
        <v>175</v>
      </c>
      <c r="D253" s="2" t="s">
        <v>176</v>
      </c>
      <c r="E253" s="31" t="s">
        <v>177</v>
      </c>
      <c r="F253" s="2"/>
      <c r="G253" s="8">
        <v>2415770</v>
      </c>
      <c r="H253" s="9">
        <v>1211360</v>
      </c>
      <c r="I253" s="10">
        <f t="shared" ref="I253:I256" si="8">G253+H253</f>
        <v>3627130</v>
      </c>
      <c r="J253" s="28">
        <v>54410653</v>
      </c>
    </row>
    <row r="254" spans="1:10" x14ac:dyDescent="0.2">
      <c r="A254" s="1">
        <v>6400</v>
      </c>
      <c r="B254" s="1">
        <v>220</v>
      </c>
      <c r="C254" s="2" t="s">
        <v>175</v>
      </c>
      <c r="D254" s="2" t="s">
        <v>176</v>
      </c>
      <c r="E254" s="31" t="s">
        <v>16</v>
      </c>
      <c r="F254" s="2"/>
      <c r="G254" s="8">
        <v>149777</v>
      </c>
      <c r="H254" s="9">
        <v>75105</v>
      </c>
      <c r="I254" s="10">
        <f t="shared" si="8"/>
        <v>224882</v>
      </c>
      <c r="J254" s="28">
        <v>54410653</v>
      </c>
    </row>
    <row r="255" spans="1:10" x14ac:dyDescent="0.2">
      <c r="A255" s="1">
        <v>6400</v>
      </c>
      <c r="B255" s="1">
        <v>221</v>
      </c>
      <c r="C255" s="2" t="s">
        <v>175</v>
      </c>
      <c r="D255" s="2" t="s">
        <v>176</v>
      </c>
      <c r="E255" s="31" t="s">
        <v>17</v>
      </c>
      <c r="F255" s="2"/>
      <c r="G255" s="8">
        <v>35028</v>
      </c>
      <c r="H255" s="9">
        <v>17565</v>
      </c>
      <c r="I255" s="10">
        <f t="shared" si="8"/>
        <v>52593</v>
      </c>
      <c r="J255" s="28">
        <v>54410653</v>
      </c>
    </row>
    <row r="256" spans="1:10" x14ac:dyDescent="0.2">
      <c r="A256" s="1">
        <v>6400</v>
      </c>
      <c r="B256" s="1">
        <v>240</v>
      </c>
      <c r="C256" s="2" t="s">
        <v>175</v>
      </c>
      <c r="D256" s="2" t="s">
        <v>176</v>
      </c>
      <c r="E256" s="31" t="s">
        <v>20</v>
      </c>
      <c r="F256" s="2"/>
      <c r="G256" s="8">
        <v>63535</v>
      </c>
      <c r="H256" s="9">
        <v>31860</v>
      </c>
      <c r="I256" s="10">
        <f t="shared" si="8"/>
        <v>95395</v>
      </c>
      <c r="J256" s="28">
        <v>54410653</v>
      </c>
    </row>
    <row r="257" spans="1:10" ht="28" x14ac:dyDescent="0.2">
      <c r="A257" s="1">
        <v>7900</v>
      </c>
      <c r="B257" s="1">
        <v>510</v>
      </c>
      <c r="C257" s="2" t="s">
        <v>194</v>
      </c>
      <c r="D257" s="2" t="s">
        <v>195</v>
      </c>
      <c r="E257" s="31" t="s">
        <v>42</v>
      </c>
      <c r="F257" s="2"/>
      <c r="G257" s="8">
        <f>2000000*5</f>
        <v>10000000</v>
      </c>
      <c r="H257" s="8">
        <f>2000000*5</f>
        <v>10000000</v>
      </c>
      <c r="I257" s="10">
        <f t="shared" ref="I257:I298" si="9">G257+H257</f>
        <v>20000000</v>
      </c>
      <c r="J257" s="28">
        <v>54410754</v>
      </c>
    </row>
    <row r="258" spans="1:10" ht="28" x14ac:dyDescent="0.2">
      <c r="A258" s="1">
        <v>5100</v>
      </c>
      <c r="B258" s="1">
        <v>369</v>
      </c>
      <c r="C258" s="2" t="s">
        <v>202</v>
      </c>
      <c r="D258" s="2" t="s">
        <v>203</v>
      </c>
      <c r="E258" s="31" t="s">
        <v>208</v>
      </c>
      <c r="F258" s="2"/>
      <c r="G258" s="8">
        <f>1814200*0.667</f>
        <v>1210071.4000000001</v>
      </c>
      <c r="H258" s="8">
        <f>1814200-G258</f>
        <v>604128.59999999986</v>
      </c>
      <c r="I258" s="10">
        <f t="shared" si="9"/>
        <v>1814200</v>
      </c>
      <c r="J258" s="28">
        <v>54410855</v>
      </c>
    </row>
    <row r="259" spans="1:10" ht="28" x14ac:dyDescent="0.2">
      <c r="A259" s="1">
        <v>5100</v>
      </c>
      <c r="B259" s="1">
        <v>640</v>
      </c>
      <c r="C259" s="2" t="s">
        <v>202</v>
      </c>
      <c r="D259" s="2" t="s">
        <v>203</v>
      </c>
      <c r="E259" s="31" t="s">
        <v>209</v>
      </c>
      <c r="F259" s="2"/>
      <c r="G259" s="8">
        <f>80000*0.667</f>
        <v>53360</v>
      </c>
      <c r="H259" s="8">
        <f>80000-G259</f>
        <v>26640</v>
      </c>
      <c r="I259" s="10">
        <f t="shared" si="9"/>
        <v>80000</v>
      </c>
      <c r="J259" s="28">
        <v>54410855</v>
      </c>
    </row>
    <row r="260" spans="1:10" ht="28" x14ac:dyDescent="0.2">
      <c r="A260" s="1">
        <v>5100</v>
      </c>
      <c r="B260" s="1">
        <v>519</v>
      </c>
      <c r="C260" s="2" t="s">
        <v>202</v>
      </c>
      <c r="D260" s="2" t="s">
        <v>203</v>
      </c>
      <c r="E260" s="31" t="s">
        <v>210</v>
      </c>
      <c r="F260" s="2"/>
      <c r="G260" s="8">
        <f>50000*0.667</f>
        <v>33350</v>
      </c>
      <c r="H260" s="8">
        <f>50000-G260</f>
        <v>16650</v>
      </c>
      <c r="I260" s="10">
        <f t="shared" si="9"/>
        <v>50000</v>
      </c>
      <c r="J260" s="28">
        <v>54410855</v>
      </c>
    </row>
    <row r="261" spans="1:10" ht="28" x14ac:dyDescent="0.2">
      <c r="A261" s="1">
        <v>5100</v>
      </c>
      <c r="B261" s="1">
        <v>510</v>
      </c>
      <c r="C261" s="2" t="s">
        <v>202</v>
      </c>
      <c r="D261" s="2" t="s">
        <v>203</v>
      </c>
      <c r="E261" s="31" t="s">
        <v>211</v>
      </c>
      <c r="F261" s="2"/>
      <c r="G261" s="8">
        <f>1043171*0.667</f>
        <v>695795.05700000003</v>
      </c>
      <c r="H261" s="8">
        <f>1043171-G261</f>
        <v>347375.94299999997</v>
      </c>
      <c r="I261" s="10">
        <f t="shared" si="9"/>
        <v>1043171</v>
      </c>
      <c r="J261" s="28">
        <v>54410855</v>
      </c>
    </row>
    <row r="262" spans="1:10" ht="28" x14ac:dyDescent="0.2">
      <c r="A262" s="1">
        <v>5100</v>
      </c>
      <c r="B262" s="1">
        <v>150</v>
      </c>
      <c r="C262" s="2" t="s">
        <v>202</v>
      </c>
      <c r="D262" s="2" t="s">
        <v>203</v>
      </c>
      <c r="E262" s="31" t="s">
        <v>212</v>
      </c>
      <c r="F262" s="2"/>
      <c r="G262" s="8">
        <f>200000*0.667</f>
        <v>133400</v>
      </c>
      <c r="H262" s="8">
        <f>200000-G262</f>
        <v>66600</v>
      </c>
      <c r="I262" s="10">
        <f t="shared" si="9"/>
        <v>200000</v>
      </c>
      <c r="J262" s="28">
        <v>54410855</v>
      </c>
    </row>
    <row r="263" spans="1:10" ht="28" x14ac:dyDescent="0.2">
      <c r="A263" s="1">
        <v>5100</v>
      </c>
      <c r="B263" s="1">
        <v>144</v>
      </c>
      <c r="C263" s="2" t="s">
        <v>202</v>
      </c>
      <c r="D263" s="2" t="s">
        <v>203</v>
      </c>
      <c r="E263" s="31" t="s">
        <v>103</v>
      </c>
      <c r="F263" s="2">
        <v>7</v>
      </c>
      <c r="G263" s="8">
        <f>1157478*0.667</f>
        <v>772037.826</v>
      </c>
      <c r="H263" s="8">
        <f>1157478-G263</f>
        <v>385440.174</v>
      </c>
      <c r="I263" s="10">
        <f t="shared" si="9"/>
        <v>1157478</v>
      </c>
      <c r="J263" s="28">
        <v>54410855</v>
      </c>
    </row>
    <row r="264" spans="1:10" x14ac:dyDescent="0.2">
      <c r="A264" s="1">
        <v>5100</v>
      </c>
      <c r="B264" s="1">
        <v>210</v>
      </c>
      <c r="C264" s="2" t="s">
        <v>202</v>
      </c>
      <c r="D264" s="2" t="s">
        <v>203</v>
      </c>
      <c r="E264" s="31" t="s">
        <v>15</v>
      </c>
      <c r="F264" s="2"/>
      <c r="G264" s="8">
        <f>137624*0.667</f>
        <v>91795.207999999999</v>
      </c>
      <c r="H264" s="8">
        <f>137624-G264</f>
        <v>45828.792000000001</v>
      </c>
      <c r="I264" s="10">
        <f t="shared" si="9"/>
        <v>137624</v>
      </c>
      <c r="J264" s="28">
        <v>54410855</v>
      </c>
    </row>
    <row r="265" spans="1:10" x14ac:dyDescent="0.2">
      <c r="A265" s="1">
        <v>5100</v>
      </c>
      <c r="B265" s="1">
        <v>220</v>
      </c>
      <c r="C265" s="2" t="s">
        <v>202</v>
      </c>
      <c r="D265" s="2" t="s">
        <v>203</v>
      </c>
      <c r="E265" s="31" t="s">
        <v>16</v>
      </c>
      <c r="F265" s="2"/>
      <c r="G265" s="8">
        <f>71764*0.667</f>
        <v>47866.588000000003</v>
      </c>
      <c r="H265" s="8">
        <f>71764-G265</f>
        <v>23897.411999999997</v>
      </c>
      <c r="I265" s="10">
        <f t="shared" si="9"/>
        <v>71764</v>
      </c>
      <c r="J265" s="28">
        <v>54410855</v>
      </c>
    </row>
    <row r="266" spans="1:10" x14ac:dyDescent="0.2">
      <c r="A266" s="1">
        <v>5100</v>
      </c>
      <c r="B266" s="1">
        <v>221</v>
      </c>
      <c r="C266" s="2" t="s">
        <v>202</v>
      </c>
      <c r="D266" s="2" t="s">
        <v>203</v>
      </c>
      <c r="E266" s="31" t="s">
        <v>17</v>
      </c>
      <c r="F266" s="2"/>
      <c r="G266" s="8">
        <f>16783*0.667</f>
        <v>11194.261</v>
      </c>
      <c r="H266" s="8">
        <f>16783-G266</f>
        <v>5588.7389999999996</v>
      </c>
      <c r="I266" s="10">
        <f t="shared" si="9"/>
        <v>16783</v>
      </c>
      <c r="J266" s="28">
        <v>54410855</v>
      </c>
    </row>
    <row r="267" spans="1:10" x14ac:dyDescent="0.2">
      <c r="A267" s="1">
        <v>5100</v>
      </c>
      <c r="B267" s="1">
        <v>232</v>
      </c>
      <c r="C267" s="2" t="s">
        <v>202</v>
      </c>
      <c r="D267" s="2" t="s">
        <v>203</v>
      </c>
      <c r="E267" s="31" t="s">
        <v>18</v>
      </c>
      <c r="F267" s="2"/>
      <c r="G267" s="8">
        <f>218757*0.667</f>
        <v>145910.91899999999</v>
      </c>
      <c r="H267" s="8">
        <f>218757-G267</f>
        <v>72846.081000000006</v>
      </c>
      <c r="I267" s="10">
        <f t="shared" si="9"/>
        <v>218757</v>
      </c>
      <c r="J267" s="28">
        <v>54410855</v>
      </c>
    </row>
    <row r="268" spans="1:10" x14ac:dyDescent="0.2">
      <c r="A268" s="1">
        <v>5100</v>
      </c>
      <c r="B268" s="1">
        <v>240</v>
      </c>
      <c r="C268" s="2" t="s">
        <v>202</v>
      </c>
      <c r="D268" s="2" t="s">
        <v>203</v>
      </c>
      <c r="E268" s="31" t="s">
        <v>20</v>
      </c>
      <c r="F268" s="2"/>
      <c r="G268" s="8">
        <f>30442*0.667</f>
        <v>20304.814000000002</v>
      </c>
      <c r="H268" s="8">
        <f>30442-G268</f>
        <v>10137.185999999998</v>
      </c>
      <c r="I268" s="10">
        <f t="shared" si="9"/>
        <v>30442</v>
      </c>
      <c r="J268" s="28">
        <v>54410855</v>
      </c>
    </row>
    <row r="269" spans="1:10" ht="42" x14ac:dyDescent="0.2">
      <c r="A269" s="1">
        <v>6110</v>
      </c>
      <c r="B269" s="1">
        <v>137</v>
      </c>
      <c r="C269" s="2" t="s">
        <v>202</v>
      </c>
      <c r="D269" s="2" t="s">
        <v>203</v>
      </c>
      <c r="E269" s="31" t="s">
        <v>213</v>
      </c>
      <c r="F269" s="2">
        <v>2</v>
      </c>
      <c r="G269" s="8">
        <f>455202*0.667</f>
        <v>303619.734</v>
      </c>
      <c r="H269" s="8">
        <f>455202-G269</f>
        <v>151582.266</v>
      </c>
      <c r="I269" s="10">
        <f t="shared" si="9"/>
        <v>455202</v>
      </c>
      <c r="J269" s="28">
        <v>54410855</v>
      </c>
    </row>
    <row r="270" spans="1:10" x14ac:dyDescent="0.2">
      <c r="A270" s="1">
        <v>6110</v>
      </c>
      <c r="B270" s="1">
        <v>210</v>
      </c>
      <c r="C270" s="2" t="s">
        <v>202</v>
      </c>
      <c r="D270" s="2" t="s">
        <v>203</v>
      </c>
      <c r="E270" s="31" t="s">
        <v>15</v>
      </c>
      <c r="F270" s="2"/>
      <c r="G270" s="8">
        <f>54124*0.667</f>
        <v>36100.707999999999</v>
      </c>
      <c r="H270" s="8">
        <f>54124-G270</f>
        <v>18023.292000000001</v>
      </c>
      <c r="I270" s="10">
        <f t="shared" si="9"/>
        <v>54124</v>
      </c>
      <c r="J270" s="28">
        <v>54410855</v>
      </c>
    </row>
    <row r="271" spans="1:10" x14ac:dyDescent="0.2">
      <c r="A271" s="1">
        <v>6110</v>
      </c>
      <c r="B271" s="1">
        <v>220</v>
      </c>
      <c r="C271" s="2" t="s">
        <v>202</v>
      </c>
      <c r="D271" s="2" t="s">
        <v>203</v>
      </c>
      <c r="E271" s="31" t="s">
        <v>16</v>
      </c>
      <c r="F271" s="2"/>
      <c r="G271" s="8">
        <f>28223*0.667</f>
        <v>18824.741000000002</v>
      </c>
      <c r="H271" s="8">
        <f>28223-G271</f>
        <v>9398.2589999999982</v>
      </c>
      <c r="I271" s="10">
        <f t="shared" si="9"/>
        <v>28223</v>
      </c>
      <c r="J271" s="28">
        <v>54410855</v>
      </c>
    </row>
    <row r="272" spans="1:10" x14ac:dyDescent="0.2">
      <c r="A272" s="1">
        <v>6110</v>
      </c>
      <c r="B272" s="1">
        <v>221</v>
      </c>
      <c r="C272" s="2" t="s">
        <v>202</v>
      </c>
      <c r="D272" s="2" t="s">
        <v>203</v>
      </c>
      <c r="E272" s="31" t="s">
        <v>17</v>
      </c>
      <c r="F272" s="2"/>
      <c r="G272" s="8">
        <f>6600*0.667</f>
        <v>4402.2</v>
      </c>
      <c r="H272" s="8">
        <f>6600-G272</f>
        <v>2197.8000000000002</v>
      </c>
      <c r="I272" s="10">
        <f t="shared" si="9"/>
        <v>6600</v>
      </c>
      <c r="J272" s="28">
        <v>54410855</v>
      </c>
    </row>
    <row r="273" spans="1:10" ht="15.75" customHeight="1" x14ac:dyDescent="0.2">
      <c r="A273" s="1">
        <v>6110</v>
      </c>
      <c r="B273" s="1">
        <v>232</v>
      </c>
      <c r="C273" s="2" t="s">
        <v>202</v>
      </c>
      <c r="D273" s="2" t="s">
        <v>203</v>
      </c>
      <c r="E273" s="31" t="s">
        <v>102</v>
      </c>
      <c r="F273" s="2"/>
      <c r="G273" s="8">
        <f>62502*0.667</f>
        <v>41688.834000000003</v>
      </c>
      <c r="H273" s="8">
        <f>62502-G273</f>
        <v>20813.165999999997</v>
      </c>
      <c r="I273" s="10">
        <f t="shared" si="9"/>
        <v>62502</v>
      </c>
      <c r="J273" s="28">
        <v>54410855</v>
      </c>
    </row>
    <row r="274" spans="1:10" x14ac:dyDescent="0.2">
      <c r="A274" s="1">
        <v>6110</v>
      </c>
      <c r="B274" s="1">
        <v>240</v>
      </c>
      <c r="C274" s="2" t="s">
        <v>202</v>
      </c>
      <c r="D274" s="2" t="s">
        <v>203</v>
      </c>
      <c r="E274" s="31" t="s">
        <v>20</v>
      </c>
      <c r="F274" s="2"/>
      <c r="G274" s="8">
        <f>11972*0.667</f>
        <v>7985.3240000000005</v>
      </c>
      <c r="H274" s="8">
        <f>11972-G274</f>
        <v>3986.6759999999995</v>
      </c>
      <c r="I274" s="10">
        <f t="shared" si="9"/>
        <v>11972</v>
      </c>
      <c r="J274" s="28">
        <v>54410855</v>
      </c>
    </row>
    <row r="275" spans="1:10" ht="28" x14ac:dyDescent="0.2">
      <c r="A275" s="1">
        <v>9100</v>
      </c>
      <c r="B275" s="1">
        <v>145</v>
      </c>
      <c r="C275" s="2" t="s">
        <v>202</v>
      </c>
      <c r="D275" s="2" t="s">
        <v>203</v>
      </c>
      <c r="E275" s="31" t="s">
        <v>204</v>
      </c>
      <c r="F275" s="2">
        <v>1</v>
      </c>
      <c r="G275" s="8">
        <f>174963*0.667</f>
        <v>116700.32100000001</v>
      </c>
      <c r="H275" s="8">
        <f>174963-G275</f>
        <v>58262.678999999989</v>
      </c>
      <c r="I275" s="10">
        <f t="shared" si="9"/>
        <v>174963</v>
      </c>
      <c r="J275" s="28">
        <v>54410855</v>
      </c>
    </row>
    <row r="276" spans="1:10" x14ac:dyDescent="0.2">
      <c r="A276" s="1">
        <v>9100</v>
      </c>
      <c r="B276" s="1">
        <v>210</v>
      </c>
      <c r="C276" s="2" t="s">
        <v>202</v>
      </c>
      <c r="D276" s="2" t="s">
        <v>203</v>
      </c>
      <c r="E276" s="31" t="s">
        <v>15</v>
      </c>
      <c r="F276" s="2"/>
      <c r="G276" s="8">
        <f>20803*0.667</f>
        <v>13875.601000000001</v>
      </c>
      <c r="H276" s="8">
        <f>20803-G276</f>
        <v>6927.3989999999994</v>
      </c>
      <c r="I276" s="10">
        <f t="shared" si="9"/>
        <v>20803</v>
      </c>
      <c r="J276" s="28">
        <v>54410855</v>
      </c>
    </row>
    <row r="277" spans="1:10" x14ac:dyDescent="0.2">
      <c r="A277" s="1">
        <v>9100</v>
      </c>
      <c r="B277" s="1">
        <v>220</v>
      </c>
      <c r="C277" s="2" t="s">
        <v>202</v>
      </c>
      <c r="D277" s="2" t="s">
        <v>203</v>
      </c>
      <c r="E277" s="31" t="s">
        <v>16</v>
      </c>
      <c r="F277" s="2"/>
      <c r="G277" s="8">
        <f>10848*0.667</f>
        <v>7235.616</v>
      </c>
      <c r="H277" s="8">
        <f>10848-G277</f>
        <v>3612.384</v>
      </c>
      <c r="I277" s="10">
        <f t="shared" si="9"/>
        <v>10848</v>
      </c>
      <c r="J277" s="28">
        <v>54410855</v>
      </c>
    </row>
    <row r="278" spans="1:10" x14ac:dyDescent="0.2">
      <c r="A278" s="1">
        <v>9100</v>
      </c>
      <c r="B278" s="1">
        <v>221</v>
      </c>
      <c r="C278" s="2" t="s">
        <v>202</v>
      </c>
      <c r="D278" s="2" t="s">
        <v>203</v>
      </c>
      <c r="E278" s="31" t="s">
        <v>17</v>
      </c>
      <c r="F278" s="2"/>
      <c r="G278" s="8">
        <f>2537*0.667</f>
        <v>1692.1790000000001</v>
      </c>
      <c r="H278" s="8">
        <f>2537-G278</f>
        <v>844.82099999999991</v>
      </c>
      <c r="I278" s="10">
        <f t="shared" si="9"/>
        <v>2537</v>
      </c>
      <c r="J278" s="28">
        <v>54410855</v>
      </c>
    </row>
    <row r="279" spans="1:10" x14ac:dyDescent="0.2">
      <c r="A279" s="1">
        <v>9100</v>
      </c>
      <c r="B279" s="1">
        <v>232</v>
      </c>
      <c r="C279" s="2" t="s">
        <v>202</v>
      </c>
      <c r="D279" s="2" t="s">
        <v>203</v>
      </c>
      <c r="E279" s="31" t="s">
        <v>102</v>
      </c>
      <c r="F279" s="2"/>
      <c r="G279" s="8">
        <f>31251*0.667</f>
        <v>20844.417000000001</v>
      </c>
      <c r="H279" s="8">
        <f>31251-G279</f>
        <v>10406.582999999999</v>
      </c>
      <c r="I279" s="10">
        <f t="shared" si="9"/>
        <v>31251</v>
      </c>
      <c r="J279" s="28">
        <v>54410855</v>
      </c>
    </row>
    <row r="280" spans="1:10" x14ac:dyDescent="0.2">
      <c r="A280" s="1">
        <v>9100</v>
      </c>
      <c r="B280" s="1">
        <v>240</v>
      </c>
      <c r="C280" s="2" t="s">
        <v>202</v>
      </c>
      <c r="D280" s="2" t="s">
        <v>203</v>
      </c>
      <c r="E280" s="31" t="s">
        <v>20</v>
      </c>
      <c r="F280" s="2"/>
      <c r="G280" s="8">
        <f>4602*0.667</f>
        <v>3069.5340000000001</v>
      </c>
      <c r="H280" s="8">
        <f>4602-G280</f>
        <v>1532.4659999999999</v>
      </c>
      <c r="I280" s="10">
        <f t="shared" si="9"/>
        <v>4602</v>
      </c>
      <c r="J280" s="28">
        <v>54410855</v>
      </c>
    </row>
    <row r="281" spans="1:10" ht="28" x14ac:dyDescent="0.2">
      <c r="A281" s="1">
        <v>6120</v>
      </c>
      <c r="B281" s="1">
        <v>116</v>
      </c>
      <c r="C281" s="2" t="s">
        <v>202</v>
      </c>
      <c r="D281" s="2" t="s">
        <v>203</v>
      </c>
      <c r="E281" s="31" t="s">
        <v>205</v>
      </c>
      <c r="F281" s="2">
        <v>1</v>
      </c>
      <c r="G281" s="8">
        <f>233202*0.667</f>
        <v>155545.734</v>
      </c>
      <c r="H281" s="8">
        <f>233202-G281</f>
        <v>77656.266000000003</v>
      </c>
      <c r="I281" s="10">
        <f t="shared" si="9"/>
        <v>233202</v>
      </c>
      <c r="J281" s="28">
        <v>54410855</v>
      </c>
    </row>
    <row r="282" spans="1:10" x14ac:dyDescent="0.2">
      <c r="A282" s="1">
        <v>6120</v>
      </c>
      <c r="B282" s="1">
        <v>210</v>
      </c>
      <c r="C282" s="2" t="s">
        <v>202</v>
      </c>
      <c r="D282" s="2" t="s">
        <v>203</v>
      </c>
      <c r="E282" s="31" t="s">
        <v>15</v>
      </c>
      <c r="F282" s="2"/>
      <c r="G282" s="8">
        <f>27728*0.667</f>
        <v>18494.576000000001</v>
      </c>
      <c r="H282" s="8">
        <f>27728-G282</f>
        <v>9233.4239999999991</v>
      </c>
      <c r="I282" s="10">
        <f t="shared" si="9"/>
        <v>27728</v>
      </c>
      <c r="J282" s="28">
        <v>54410855</v>
      </c>
    </row>
    <row r="283" spans="1:10" x14ac:dyDescent="0.2">
      <c r="A283" s="1">
        <v>6120</v>
      </c>
      <c r="B283" s="1">
        <v>220</v>
      </c>
      <c r="C283" s="2" t="s">
        <v>202</v>
      </c>
      <c r="D283" s="2" t="s">
        <v>203</v>
      </c>
      <c r="E283" s="31" t="s">
        <v>16</v>
      </c>
      <c r="F283" s="2"/>
      <c r="G283" s="8">
        <f>14459*0.667</f>
        <v>9644.1530000000002</v>
      </c>
      <c r="H283" s="8">
        <f>14459-G283</f>
        <v>4814.8469999999998</v>
      </c>
      <c r="I283" s="10">
        <f t="shared" si="9"/>
        <v>14459</v>
      </c>
      <c r="J283" s="28">
        <v>54410855</v>
      </c>
    </row>
    <row r="284" spans="1:10" x14ac:dyDescent="0.2">
      <c r="A284" s="1">
        <v>6120</v>
      </c>
      <c r="B284" s="1">
        <v>221</v>
      </c>
      <c r="C284" s="2" t="s">
        <v>202</v>
      </c>
      <c r="D284" s="2" t="s">
        <v>203</v>
      </c>
      <c r="E284" s="31" t="s">
        <v>17</v>
      </c>
      <c r="F284" s="2"/>
      <c r="G284" s="8">
        <f>3381*0.667</f>
        <v>2255.127</v>
      </c>
      <c r="H284" s="8">
        <f>3381-G284</f>
        <v>1125.873</v>
      </c>
      <c r="I284" s="10">
        <f t="shared" si="9"/>
        <v>3381</v>
      </c>
      <c r="J284" s="28">
        <v>54410855</v>
      </c>
    </row>
    <row r="285" spans="1:10" x14ac:dyDescent="0.2">
      <c r="A285" s="1">
        <v>6120</v>
      </c>
      <c r="B285" s="1">
        <v>232</v>
      </c>
      <c r="C285" s="2" t="s">
        <v>202</v>
      </c>
      <c r="D285" s="2" t="s">
        <v>203</v>
      </c>
      <c r="E285" s="31" t="s">
        <v>102</v>
      </c>
      <c r="F285" s="2"/>
      <c r="G285" s="8">
        <f>31251*0.667</f>
        <v>20844.417000000001</v>
      </c>
      <c r="H285" s="8">
        <f>31251-G285</f>
        <v>10406.582999999999</v>
      </c>
      <c r="I285" s="10">
        <f t="shared" si="9"/>
        <v>31251</v>
      </c>
      <c r="J285" s="28">
        <v>54410855</v>
      </c>
    </row>
    <row r="286" spans="1:10" x14ac:dyDescent="0.2">
      <c r="A286" s="1">
        <v>6120</v>
      </c>
      <c r="B286" s="1">
        <v>240</v>
      </c>
      <c r="C286" s="2" t="s">
        <v>202</v>
      </c>
      <c r="D286" s="2" t="s">
        <v>203</v>
      </c>
      <c r="E286" s="31" t="s">
        <v>20</v>
      </c>
      <c r="F286" s="2"/>
      <c r="G286" s="8">
        <f>6133*0.667</f>
        <v>4090.7110000000002</v>
      </c>
      <c r="H286" s="8">
        <f>6133-G286</f>
        <v>2042.2889999999998</v>
      </c>
      <c r="I286" s="10">
        <f t="shared" si="9"/>
        <v>6133</v>
      </c>
      <c r="J286" s="28">
        <v>54410855</v>
      </c>
    </row>
    <row r="287" spans="1:10" x14ac:dyDescent="0.2">
      <c r="A287" s="1">
        <v>6400</v>
      </c>
      <c r="B287" s="1">
        <v>136</v>
      </c>
      <c r="C287" s="2" t="s">
        <v>144</v>
      </c>
      <c r="D287" s="2" t="s">
        <v>201</v>
      </c>
      <c r="E287" s="31" t="s">
        <v>200</v>
      </c>
      <c r="F287" s="2"/>
      <c r="G287" s="8">
        <f>720000*0.667</f>
        <v>480240</v>
      </c>
      <c r="H287" s="8">
        <f>720000-G287</f>
        <v>239760</v>
      </c>
      <c r="I287" s="10">
        <f t="shared" si="9"/>
        <v>720000</v>
      </c>
      <c r="J287" s="28">
        <v>54410956</v>
      </c>
    </row>
    <row r="288" spans="1:10" x14ac:dyDescent="0.2">
      <c r="A288" s="1">
        <v>6400</v>
      </c>
      <c r="B288" s="1">
        <v>220</v>
      </c>
      <c r="C288" s="2" t="s">
        <v>144</v>
      </c>
      <c r="D288" s="2" t="s">
        <v>201</v>
      </c>
      <c r="E288" s="31" t="s">
        <v>16</v>
      </c>
      <c r="F288" s="2"/>
      <c r="G288" s="8">
        <f>44640*0.667</f>
        <v>29774.880000000001</v>
      </c>
      <c r="H288" s="8">
        <f>44640-G288</f>
        <v>14865.119999999999</v>
      </c>
      <c r="I288" s="10">
        <f t="shared" si="9"/>
        <v>44640</v>
      </c>
      <c r="J288" s="28">
        <v>54410956</v>
      </c>
    </row>
    <row r="289" spans="1:13" x14ac:dyDescent="0.2">
      <c r="A289" s="1">
        <v>6400</v>
      </c>
      <c r="B289" s="1">
        <v>221</v>
      </c>
      <c r="C289" s="2" t="s">
        <v>144</v>
      </c>
      <c r="D289" s="2" t="s">
        <v>201</v>
      </c>
      <c r="E289" s="31" t="s">
        <v>17</v>
      </c>
      <c r="F289" s="2"/>
      <c r="G289" s="8">
        <f>10440*0.667</f>
        <v>6963.4800000000005</v>
      </c>
      <c r="H289" s="8">
        <f>10440-G289</f>
        <v>3476.5199999999995</v>
      </c>
      <c r="I289" s="10">
        <f t="shared" si="9"/>
        <v>10440</v>
      </c>
      <c r="J289" s="28">
        <v>54410956</v>
      </c>
    </row>
    <row r="290" spans="1:13" x14ac:dyDescent="0.2">
      <c r="A290" s="1">
        <v>6400</v>
      </c>
      <c r="B290" s="1">
        <v>240</v>
      </c>
      <c r="C290" s="2" t="s">
        <v>144</v>
      </c>
      <c r="D290" s="2" t="s">
        <v>201</v>
      </c>
      <c r="E290" s="31" t="s">
        <v>20</v>
      </c>
      <c r="F290" s="2"/>
      <c r="G290" s="8">
        <f>18936*0.667</f>
        <v>12630.312</v>
      </c>
      <c r="H290" s="8">
        <f>18936-G290</f>
        <v>6305.6880000000001</v>
      </c>
      <c r="I290" s="10">
        <f t="shared" si="9"/>
        <v>18936</v>
      </c>
      <c r="J290" s="28">
        <v>54410956</v>
      </c>
    </row>
    <row r="291" spans="1:13" x14ac:dyDescent="0.2">
      <c r="A291" s="1">
        <v>6500</v>
      </c>
      <c r="B291" s="1">
        <v>640</v>
      </c>
      <c r="C291" s="2" t="s">
        <v>144</v>
      </c>
      <c r="D291" s="2" t="s">
        <v>214</v>
      </c>
      <c r="E291" s="31" t="s">
        <v>78</v>
      </c>
      <c r="F291" s="2"/>
      <c r="G291" s="8">
        <f>61428607*0.667</f>
        <v>40972880.869000003</v>
      </c>
      <c r="H291" s="9">
        <f>61428607-G291</f>
        <v>20455726.130999997</v>
      </c>
      <c r="I291" s="10">
        <f t="shared" si="9"/>
        <v>61428607</v>
      </c>
      <c r="J291" s="28">
        <v>55410958</v>
      </c>
    </row>
    <row r="292" spans="1:13" x14ac:dyDescent="0.2">
      <c r="A292" s="1">
        <v>5100</v>
      </c>
      <c r="B292" s="1">
        <v>640</v>
      </c>
      <c r="C292" s="2" t="s">
        <v>144</v>
      </c>
      <c r="D292" s="2" t="s">
        <v>147</v>
      </c>
      <c r="E292" s="31" t="s">
        <v>72</v>
      </c>
      <c r="F292" s="2"/>
      <c r="G292" s="8">
        <v>17000000</v>
      </c>
      <c r="H292" s="8"/>
      <c r="I292" s="10">
        <f t="shared" si="9"/>
        <v>17000000</v>
      </c>
      <c r="J292" s="28">
        <v>54410959</v>
      </c>
    </row>
    <row r="293" spans="1:13" x14ac:dyDescent="0.2">
      <c r="A293" s="1">
        <v>5100</v>
      </c>
      <c r="B293" s="1">
        <v>640</v>
      </c>
      <c r="C293" s="2" t="s">
        <v>144</v>
      </c>
      <c r="D293" s="2" t="s">
        <v>146</v>
      </c>
      <c r="E293" s="31" t="s">
        <v>84</v>
      </c>
      <c r="F293" s="2"/>
      <c r="G293" s="8">
        <f>16500000*0.667</f>
        <v>11005500</v>
      </c>
      <c r="H293" s="8">
        <f>16500000-G293</f>
        <v>5494500</v>
      </c>
      <c r="I293" s="10">
        <f t="shared" si="9"/>
        <v>16500000</v>
      </c>
      <c r="J293" s="28">
        <v>54410960</v>
      </c>
    </row>
    <row r="294" spans="1:13" ht="42" x14ac:dyDescent="0.2">
      <c r="A294" s="1">
        <v>5100</v>
      </c>
      <c r="B294" s="1">
        <v>640</v>
      </c>
      <c r="C294" s="2" t="s">
        <v>144</v>
      </c>
      <c r="D294" s="2" t="s">
        <v>145</v>
      </c>
      <c r="E294" s="31" t="s">
        <v>71</v>
      </c>
      <c r="F294" s="2"/>
      <c r="G294" s="8">
        <f>100464000/2</f>
        <v>50232000</v>
      </c>
      <c r="H294" s="8">
        <f>100464000/2</f>
        <v>50232000</v>
      </c>
      <c r="I294" s="10">
        <f t="shared" si="9"/>
        <v>100464000</v>
      </c>
      <c r="J294" s="28">
        <v>54410961</v>
      </c>
    </row>
    <row r="295" spans="1:13" x14ac:dyDescent="0.2">
      <c r="A295" s="1">
        <v>6500</v>
      </c>
      <c r="B295" s="1">
        <v>640</v>
      </c>
      <c r="C295" s="2" t="s">
        <v>144</v>
      </c>
      <c r="D295" s="2" t="s">
        <v>199</v>
      </c>
      <c r="E295" s="31" t="s">
        <v>198</v>
      </c>
      <c r="F295" s="2"/>
      <c r="G295" s="8">
        <f>983852*0.667</f>
        <v>656229.28399999999</v>
      </c>
      <c r="H295" s="8">
        <f>983852-G295</f>
        <v>327622.71600000001</v>
      </c>
      <c r="I295" s="10">
        <f t="shared" si="9"/>
        <v>983852</v>
      </c>
      <c r="J295" s="28">
        <v>54410977</v>
      </c>
    </row>
    <row r="296" spans="1:13" ht="28" x14ac:dyDescent="0.2">
      <c r="A296" s="1">
        <v>6400</v>
      </c>
      <c r="B296" s="1">
        <v>310</v>
      </c>
      <c r="C296" s="2" t="s">
        <v>133</v>
      </c>
      <c r="D296" s="2" t="s">
        <v>238</v>
      </c>
      <c r="E296" s="31" t="s">
        <v>136</v>
      </c>
      <c r="F296" s="2"/>
      <c r="G296" s="8">
        <v>2000000</v>
      </c>
      <c r="H296" s="9">
        <f>3000000-G296</f>
        <v>1000000</v>
      </c>
      <c r="I296" s="10">
        <f t="shared" si="9"/>
        <v>3000000</v>
      </c>
      <c r="J296" s="28">
        <v>54411016</v>
      </c>
    </row>
    <row r="297" spans="1:13" ht="28" x14ac:dyDescent="0.2">
      <c r="A297" s="1">
        <v>6130</v>
      </c>
      <c r="B297" s="1">
        <v>310</v>
      </c>
      <c r="C297" s="2" t="s">
        <v>133</v>
      </c>
      <c r="D297" s="2" t="s">
        <v>137</v>
      </c>
      <c r="E297" s="31" t="s">
        <v>50</v>
      </c>
      <c r="F297" s="2"/>
      <c r="G297" s="8">
        <v>1333000</v>
      </c>
      <c r="H297" s="9">
        <f>667000-61310</f>
        <v>605690</v>
      </c>
      <c r="I297" s="10">
        <f t="shared" si="9"/>
        <v>1938690</v>
      </c>
      <c r="J297" s="28">
        <v>54411017</v>
      </c>
    </row>
    <row r="298" spans="1:13" ht="28" x14ac:dyDescent="0.2">
      <c r="A298" s="1">
        <v>6100</v>
      </c>
      <c r="B298" s="1">
        <v>160</v>
      </c>
      <c r="C298" s="2" t="s">
        <v>133</v>
      </c>
      <c r="D298" s="2" t="s">
        <v>134</v>
      </c>
      <c r="E298" s="32" t="s">
        <v>51</v>
      </c>
      <c r="F298" s="6">
        <v>25</v>
      </c>
      <c r="G298" s="9">
        <v>2062500</v>
      </c>
      <c r="H298" s="9">
        <v>1375000</v>
      </c>
      <c r="I298" s="10">
        <f t="shared" si="9"/>
        <v>3437500</v>
      </c>
      <c r="J298" s="29">
        <v>54411062</v>
      </c>
    </row>
    <row r="299" spans="1:13" x14ac:dyDescent="0.2">
      <c r="A299" s="1">
        <v>6100</v>
      </c>
      <c r="B299" s="1">
        <v>210</v>
      </c>
      <c r="C299" s="2" t="s">
        <v>133</v>
      </c>
      <c r="D299" s="2" t="s">
        <v>134</v>
      </c>
      <c r="E299" s="32" t="s">
        <v>15</v>
      </c>
      <c r="F299" s="6"/>
      <c r="G299" s="9">
        <v>245232</v>
      </c>
      <c r="H299" s="9">
        <v>163488</v>
      </c>
      <c r="I299" s="10">
        <f t="shared" ref="I299:I304" si="10">G299+H299</f>
        <v>408720</v>
      </c>
      <c r="J299" s="29">
        <v>54411062</v>
      </c>
      <c r="K299" s="11"/>
      <c r="L299" s="11"/>
      <c r="M299" s="16"/>
    </row>
    <row r="300" spans="1:13" x14ac:dyDescent="0.2">
      <c r="A300" s="1">
        <v>6100</v>
      </c>
      <c r="B300" s="1">
        <v>220</v>
      </c>
      <c r="C300" s="2" t="s">
        <v>133</v>
      </c>
      <c r="D300" s="2" t="s">
        <v>134</v>
      </c>
      <c r="E300" s="32" t="s">
        <v>16</v>
      </c>
      <c r="F300" s="6"/>
      <c r="G300" s="9">
        <v>127875</v>
      </c>
      <c r="H300" s="9">
        <v>85250</v>
      </c>
      <c r="I300" s="10">
        <f t="shared" si="10"/>
        <v>213125</v>
      </c>
      <c r="J300" s="29">
        <v>54411062</v>
      </c>
    </row>
    <row r="301" spans="1:13" x14ac:dyDescent="0.2">
      <c r="A301" s="1">
        <v>6100</v>
      </c>
      <c r="B301" s="1">
        <v>221</v>
      </c>
      <c r="C301" s="2" t="s">
        <v>133</v>
      </c>
      <c r="D301" s="2" t="s">
        <v>134</v>
      </c>
      <c r="E301" s="32" t="s">
        <v>17</v>
      </c>
      <c r="F301" s="6"/>
      <c r="G301" s="9">
        <v>29907</v>
      </c>
      <c r="H301" s="9">
        <v>19938</v>
      </c>
      <c r="I301" s="10">
        <f t="shared" si="10"/>
        <v>49845</v>
      </c>
      <c r="J301" s="29">
        <v>54411062</v>
      </c>
    </row>
    <row r="302" spans="1:13" x14ac:dyDescent="0.2">
      <c r="A302" s="1">
        <v>6100</v>
      </c>
      <c r="B302" s="1">
        <v>232</v>
      </c>
      <c r="C302" s="2" t="s">
        <v>133</v>
      </c>
      <c r="D302" s="2" t="s">
        <v>134</v>
      </c>
      <c r="E302" s="32" t="s">
        <v>18</v>
      </c>
      <c r="F302" s="6"/>
      <c r="G302" s="9">
        <v>390638</v>
      </c>
      <c r="H302" s="9">
        <v>260425</v>
      </c>
      <c r="I302" s="10">
        <f t="shared" si="10"/>
        <v>651063</v>
      </c>
      <c r="J302" s="29">
        <v>54411062</v>
      </c>
    </row>
    <row r="303" spans="1:13" x14ac:dyDescent="0.2">
      <c r="A303" s="1">
        <v>6100</v>
      </c>
      <c r="B303" s="1">
        <v>240</v>
      </c>
      <c r="C303" s="2" t="s">
        <v>133</v>
      </c>
      <c r="D303" s="2" t="s">
        <v>134</v>
      </c>
      <c r="E303" s="32" t="s">
        <v>20</v>
      </c>
      <c r="F303" s="6"/>
      <c r="G303" s="9">
        <v>54244</v>
      </c>
      <c r="H303" s="9">
        <v>36163</v>
      </c>
      <c r="I303" s="10">
        <f t="shared" si="10"/>
        <v>90407</v>
      </c>
      <c r="J303" s="29">
        <v>54411062</v>
      </c>
    </row>
    <row r="304" spans="1:13" ht="28" x14ac:dyDescent="0.2">
      <c r="A304" s="1">
        <v>6100</v>
      </c>
      <c r="B304" s="1">
        <v>310</v>
      </c>
      <c r="C304" s="2" t="s">
        <v>133</v>
      </c>
      <c r="D304" s="2" t="s">
        <v>134</v>
      </c>
      <c r="E304" s="32" t="s">
        <v>135</v>
      </c>
      <c r="F304" s="6"/>
      <c r="G304" s="9">
        <v>2738800</v>
      </c>
      <c r="H304" s="9">
        <v>2553152</v>
      </c>
      <c r="I304" s="10">
        <f t="shared" si="10"/>
        <v>5291952</v>
      </c>
      <c r="J304" s="29">
        <v>54411062</v>
      </c>
    </row>
    <row r="305" spans="1:10" ht="28" x14ac:dyDescent="0.2">
      <c r="A305" s="1">
        <v>6120</v>
      </c>
      <c r="B305" s="1">
        <v>150</v>
      </c>
      <c r="C305" s="2" t="s">
        <v>133</v>
      </c>
      <c r="D305" s="2" t="s">
        <v>132</v>
      </c>
      <c r="E305" s="31" t="s">
        <v>21</v>
      </c>
      <c r="F305" s="2">
        <v>233.24</v>
      </c>
      <c r="G305" s="8">
        <f>11459442*0.5</f>
        <v>5729721</v>
      </c>
      <c r="H305" s="8">
        <f>11459442*0.5</f>
        <v>5729721</v>
      </c>
      <c r="I305" s="10">
        <f t="shared" ref="I305:I365" si="11">G305+H305</f>
        <v>11459442</v>
      </c>
      <c r="J305" s="28">
        <v>54411071</v>
      </c>
    </row>
    <row r="306" spans="1:10" x14ac:dyDescent="0.2">
      <c r="A306" s="1">
        <v>6120</v>
      </c>
      <c r="B306" s="1">
        <v>210</v>
      </c>
      <c r="C306" s="2" t="s">
        <v>133</v>
      </c>
      <c r="D306" s="2" t="s">
        <v>132</v>
      </c>
      <c r="E306" s="31" t="s">
        <v>15</v>
      </c>
      <c r="F306" s="2"/>
      <c r="G306" s="8">
        <f>1362528*0.5</f>
        <v>681264</v>
      </c>
      <c r="H306" s="8">
        <f>1362528*0.5</f>
        <v>681264</v>
      </c>
      <c r="I306" s="10">
        <f t="shared" si="11"/>
        <v>1362528</v>
      </c>
      <c r="J306" s="28">
        <v>54411071</v>
      </c>
    </row>
    <row r="307" spans="1:10" x14ac:dyDescent="0.2">
      <c r="A307" s="1">
        <v>6120</v>
      </c>
      <c r="B307" s="1">
        <v>220</v>
      </c>
      <c r="C307" s="2" t="s">
        <v>133</v>
      </c>
      <c r="D307" s="2" t="s">
        <v>132</v>
      </c>
      <c r="E307" s="31" t="s">
        <v>16</v>
      </c>
      <c r="F307" s="2"/>
      <c r="G307" s="8">
        <f>710485*0.5</f>
        <v>355242.5</v>
      </c>
      <c r="H307" s="8">
        <f>710485*0.5</f>
        <v>355242.5</v>
      </c>
      <c r="I307" s="10">
        <f t="shared" si="11"/>
        <v>710485</v>
      </c>
      <c r="J307" s="28">
        <v>54411071</v>
      </c>
    </row>
    <row r="308" spans="1:10" x14ac:dyDescent="0.2">
      <c r="A308" s="1">
        <v>6120</v>
      </c>
      <c r="B308" s="1">
        <v>221</v>
      </c>
      <c r="C308" s="2" t="s">
        <v>133</v>
      </c>
      <c r="D308" s="2" t="s">
        <v>132</v>
      </c>
      <c r="E308" s="31" t="s">
        <v>17</v>
      </c>
      <c r="F308" s="2"/>
      <c r="G308" s="8">
        <f>166162*0.5</f>
        <v>83081</v>
      </c>
      <c r="H308" s="8">
        <f>166162*0.5</f>
        <v>83081</v>
      </c>
      <c r="I308" s="10">
        <f t="shared" si="11"/>
        <v>166162</v>
      </c>
      <c r="J308" s="28">
        <v>54411071</v>
      </c>
    </row>
    <row r="309" spans="1:10" x14ac:dyDescent="0.2">
      <c r="A309" s="1">
        <v>6120</v>
      </c>
      <c r="B309" s="1">
        <v>240</v>
      </c>
      <c r="C309" s="2" t="s">
        <v>133</v>
      </c>
      <c r="D309" s="2" t="s">
        <v>132</v>
      </c>
      <c r="E309" s="31" t="s">
        <v>20</v>
      </c>
      <c r="F309" s="2"/>
      <c r="G309" s="8">
        <f>301383*0.5</f>
        <v>150691.5</v>
      </c>
      <c r="H309" s="8">
        <f>301383*0.5</f>
        <v>150691.5</v>
      </c>
      <c r="I309" s="10">
        <f t="shared" si="11"/>
        <v>301383</v>
      </c>
      <c r="J309" s="28">
        <v>54411071</v>
      </c>
    </row>
    <row r="310" spans="1:10" ht="28" x14ac:dyDescent="0.2">
      <c r="A310" s="1">
        <v>6120</v>
      </c>
      <c r="B310" s="1">
        <v>116</v>
      </c>
      <c r="C310" s="2" t="s">
        <v>133</v>
      </c>
      <c r="D310" s="2" t="s">
        <v>138</v>
      </c>
      <c r="E310" s="31" t="s">
        <v>70</v>
      </c>
      <c r="F310" s="2">
        <v>335</v>
      </c>
      <c r="G310" s="8">
        <f>15075000*0.667</f>
        <v>10055025</v>
      </c>
      <c r="H310" s="8">
        <f>15075000-G310</f>
        <v>5019975</v>
      </c>
      <c r="I310" s="10">
        <f t="shared" si="11"/>
        <v>15075000</v>
      </c>
      <c r="J310" s="28">
        <v>54411078</v>
      </c>
    </row>
    <row r="311" spans="1:10" x14ac:dyDescent="0.2">
      <c r="A311" s="1">
        <v>6120</v>
      </c>
      <c r="B311" s="1">
        <v>210</v>
      </c>
      <c r="C311" s="2" t="s">
        <v>133</v>
      </c>
      <c r="D311" s="2" t="s">
        <v>138</v>
      </c>
      <c r="E311" s="32" t="s">
        <v>15</v>
      </c>
      <c r="F311" s="2"/>
      <c r="G311" s="8">
        <f>1792418*0.667</f>
        <v>1195542.8060000001</v>
      </c>
      <c r="H311" s="8">
        <f>1792418-G311</f>
        <v>596875.1939999999</v>
      </c>
      <c r="I311" s="10">
        <f t="shared" si="11"/>
        <v>1792418</v>
      </c>
      <c r="J311" s="28">
        <v>54411078</v>
      </c>
    </row>
    <row r="312" spans="1:10" x14ac:dyDescent="0.2">
      <c r="A312" s="1">
        <v>6120</v>
      </c>
      <c r="B312" s="1">
        <v>220</v>
      </c>
      <c r="C312" s="2" t="s">
        <v>133</v>
      </c>
      <c r="D312" s="2" t="s">
        <v>138</v>
      </c>
      <c r="E312" s="32" t="s">
        <v>16</v>
      </c>
      <c r="F312" s="2"/>
      <c r="G312" s="8">
        <f>934650*0.667</f>
        <v>623411.55000000005</v>
      </c>
      <c r="H312" s="8">
        <f>934650-G312</f>
        <v>311238.44999999995</v>
      </c>
      <c r="I312" s="10">
        <f t="shared" si="11"/>
        <v>934650</v>
      </c>
      <c r="J312" s="28">
        <v>54411078</v>
      </c>
    </row>
    <row r="313" spans="1:10" x14ac:dyDescent="0.2">
      <c r="A313" s="1">
        <v>6120</v>
      </c>
      <c r="B313" s="1">
        <v>221</v>
      </c>
      <c r="C313" s="2" t="s">
        <v>133</v>
      </c>
      <c r="D313" s="2" t="s">
        <v>138</v>
      </c>
      <c r="E313" s="32" t="s">
        <v>17</v>
      </c>
      <c r="F313" s="2"/>
      <c r="G313" s="8">
        <f>218588*0.667</f>
        <v>145798.196</v>
      </c>
      <c r="H313" s="8">
        <f>218588-G313</f>
        <v>72789.804000000004</v>
      </c>
      <c r="I313" s="10">
        <f t="shared" si="11"/>
        <v>218588</v>
      </c>
      <c r="J313" s="28">
        <v>54411078</v>
      </c>
    </row>
    <row r="314" spans="1:10" x14ac:dyDescent="0.2">
      <c r="A314" s="1">
        <v>6120</v>
      </c>
      <c r="B314" s="1">
        <v>232</v>
      </c>
      <c r="C314" s="2" t="s">
        <v>133</v>
      </c>
      <c r="D314" s="2" t="s">
        <v>138</v>
      </c>
      <c r="E314" s="32" t="s">
        <v>18</v>
      </c>
      <c r="F314" s="2"/>
      <c r="G314" s="8">
        <f>3140726*0.667</f>
        <v>2094864.2420000001</v>
      </c>
      <c r="H314" s="8">
        <f>3140726-G314</f>
        <v>1045861.7579999999</v>
      </c>
      <c r="I314" s="10">
        <f t="shared" si="11"/>
        <v>3140726</v>
      </c>
      <c r="J314" s="28">
        <v>54411078</v>
      </c>
    </row>
    <row r="315" spans="1:10" x14ac:dyDescent="0.2">
      <c r="A315" s="7">
        <v>6120</v>
      </c>
      <c r="B315" s="1">
        <v>240</v>
      </c>
      <c r="C315" s="2" t="s">
        <v>133</v>
      </c>
      <c r="D315" s="2" t="s">
        <v>138</v>
      </c>
      <c r="E315" s="32" t="s">
        <v>20</v>
      </c>
      <c r="F315" s="2"/>
      <c r="G315" s="8">
        <f>396473*0.667</f>
        <v>264447.49100000004</v>
      </c>
      <c r="H315" s="8">
        <f>396473-G315</f>
        <v>132025.50899999996</v>
      </c>
      <c r="I315" s="10">
        <f t="shared" si="11"/>
        <v>396473</v>
      </c>
      <c r="J315" s="28">
        <v>54411078</v>
      </c>
    </row>
    <row r="316" spans="1:10" ht="28" x14ac:dyDescent="0.2">
      <c r="A316" s="1">
        <v>5100</v>
      </c>
      <c r="B316" s="1">
        <v>136</v>
      </c>
      <c r="C316" s="2" t="s">
        <v>161</v>
      </c>
      <c r="D316" s="2" t="s">
        <v>186</v>
      </c>
      <c r="E316" s="21" t="s">
        <v>106</v>
      </c>
      <c r="F316" s="2"/>
      <c r="G316" s="8">
        <f>45340*0.667</f>
        <v>30241.780000000002</v>
      </c>
      <c r="H316" s="8">
        <f>45340-G316</f>
        <v>15098.219999999998</v>
      </c>
      <c r="I316" s="10">
        <f t="shared" ref="I316:I361" si="12">G316+H316</f>
        <v>45340</v>
      </c>
      <c r="J316" s="28">
        <v>54411221</v>
      </c>
    </row>
    <row r="317" spans="1:10" x14ac:dyDescent="0.2">
      <c r="A317" s="1">
        <v>5100</v>
      </c>
      <c r="B317" s="1">
        <v>220</v>
      </c>
      <c r="C317" s="2" t="s">
        <v>161</v>
      </c>
      <c r="D317" s="2" t="s">
        <v>186</v>
      </c>
      <c r="E317" s="31" t="s">
        <v>16</v>
      </c>
      <c r="F317" s="2"/>
      <c r="G317" s="8">
        <f>2811*0.667</f>
        <v>1874.9370000000001</v>
      </c>
      <c r="H317" s="8">
        <f>2811-G317</f>
        <v>936.06299999999987</v>
      </c>
      <c r="I317" s="10">
        <f t="shared" si="12"/>
        <v>2811</v>
      </c>
      <c r="J317" s="28">
        <v>54411221</v>
      </c>
    </row>
    <row r="318" spans="1:10" x14ac:dyDescent="0.2">
      <c r="A318" s="1">
        <v>5100</v>
      </c>
      <c r="B318" s="1">
        <v>221</v>
      </c>
      <c r="C318" s="2" t="s">
        <v>161</v>
      </c>
      <c r="D318" s="2" t="s">
        <v>186</v>
      </c>
      <c r="E318" s="31" t="s">
        <v>17</v>
      </c>
      <c r="F318" s="2"/>
      <c r="G318" s="8">
        <f>657*0.667</f>
        <v>438.21900000000005</v>
      </c>
      <c r="H318" s="8">
        <f>657-G318</f>
        <v>218.78099999999995</v>
      </c>
      <c r="I318" s="10">
        <f t="shared" si="12"/>
        <v>657</v>
      </c>
      <c r="J318" s="28">
        <v>54411221</v>
      </c>
    </row>
    <row r="319" spans="1:10" x14ac:dyDescent="0.2">
      <c r="A319" s="1">
        <v>5100</v>
      </c>
      <c r="B319" s="1">
        <v>240</v>
      </c>
      <c r="C319" s="2" t="s">
        <v>161</v>
      </c>
      <c r="D319" s="2" t="s">
        <v>186</v>
      </c>
      <c r="E319" s="31" t="s">
        <v>20</v>
      </c>
      <c r="F319" s="2"/>
      <c r="G319" s="8">
        <f>1192*0.667</f>
        <v>795.06400000000008</v>
      </c>
      <c r="H319" s="8">
        <f>1192-G319</f>
        <v>396.93599999999992</v>
      </c>
      <c r="I319" s="10">
        <f t="shared" si="12"/>
        <v>1192</v>
      </c>
      <c r="J319" s="28">
        <v>54411221</v>
      </c>
    </row>
    <row r="320" spans="1:10" ht="28" x14ac:dyDescent="0.2">
      <c r="A320" s="1">
        <v>5100</v>
      </c>
      <c r="B320" s="1">
        <v>150</v>
      </c>
      <c r="C320" s="2" t="s">
        <v>161</v>
      </c>
      <c r="D320" s="2" t="s">
        <v>186</v>
      </c>
      <c r="E320" s="40" t="s">
        <v>107</v>
      </c>
      <c r="F320" s="2">
        <v>0.96</v>
      </c>
      <c r="G320" s="8">
        <f>40927*0.667</f>
        <v>27298.309000000001</v>
      </c>
      <c r="H320" s="8">
        <f>40927-G320</f>
        <v>13628.690999999999</v>
      </c>
      <c r="I320" s="10">
        <f t="shared" si="12"/>
        <v>40927</v>
      </c>
      <c r="J320" s="28">
        <v>54411221</v>
      </c>
    </row>
    <row r="321" spans="1:10" x14ac:dyDescent="0.2">
      <c r="A321" s="1">
        <v>5100</v>
      </c>
      <c r="B321" s="1">
        <v>210</v>
      </c>
      <c r="C321" s="2" t="s">
        <v>161</v>
      </c>
      <c r="D321" s="2" t="s">
        <v>186</v>
      </c>
      <c r="E321" s="31" t="s">
        <v>15</v>
      </c>
      <c r="F321" s="2"/>
      <c r="G321" s="8">
        <f>4866*0.667</f>
        <v>3245.6220000000003</v>
      </c>
      <c r="H321" s="8">
        <f>4866-G321</f>
        <v>1620.3779999999997</v>
      </c>
      <c r="I321" s="10">
        <f t="shared" si="12"/>
        <v>4866</v>
      </c>
      <c r="J321" s="28">
        <v>54411221</v>
      </c>
    </row>
    <row r="322" spans="1:10" x14ac:dyDescent="0.2">
      <c r="A322" s="1">
        <v>5100</v>
      </c>
      <c r="B322" s="1">
        <v>220</v>
      </c>
      <c r="C322" s="2" t="s">
        <v>161</v>
      </c>
      <c r="D322" s="2" t="s">
        <v>186</v>
      </c>
      <c r="E322" s="31" t="s">
        <v>16</v>
      </c>
      <c r="F322" s="2"/>
      <c r="G322" s="8">
        <f>2538*0.667</f>
        <v>1692.846</v>
      </c>
      <c r="H322" s="8">
        <f>2538-G322</f>
        <v>845.154</v>
      </c>
      <c r="I322" s="10">
        <f t="shared" si="12"/>
        <v>2538</v>
      </c>
      <c r="J322" s="28">
        <v>54411221</v>
      </c>
    </row>
    <row r="323" spans="1:10" x14ac:dyDescent="0.2">
      <c r="A323" s="1">
        <v>5100</v>
      </c>
      <c r="B323" s="1">
        <v>221</v>
      </c>
      <c r="C323" s="2" t="s">
        <v>161</v>
      </c>
      <c r="D323" s="2" t="s">
        <v>186</v>
      </c>
      <c r="E323" s="31" t="s">
        <v>17</v>
      </c>
      <c r="F323" s="2"/>
      <c r="G323" s="8">
        <f>593*0.667</f>
        <v>395.53100000000001</v>
      </c>
      <c r="H323" s="8">
        <f>593-G323</f>
        <v>197.46899999999999</v>
      </c>
      <c r="I323" s="10">
        <f t="shared" si="12"/>
        <v>593</v>
      </c>
      <c r="J323" s="28">
        <v>54411221</v>
      </c>
    </row>
    <row r="324" spans="1:10" x14ac:dyDescent="0.2">
      <c r="A324" s="1">
        <v>5100</v>
      </c>
      <c r="B324" s="1">
        <v>240</v>
      </c>
      <c r="C324" s="2" t="s">
        <v>161</v>
      </c>
      <c r="D324" s="2" t="s">
        <v>186</v>
      </c>
      <c r="E324" s="31" t="s">
        <v>20</v>
      </c>
      <c r="F324" s="2"/>
      <c r="G324" s="8">
        <f>1076*0.667</f>
        <v>717.69200000000001</v>
      </c>
      <c r="H324" s="8">
        <f>1076-G324</f>
        <v>358.30799999999999</v>
      </c>
      <c r="I324" s="10">
        <f t="shared" si="12"/>
        <v>1076</v>
      </c>
      <c r="J324" s="28">
        <v>54411221</v>
      </c>
    </row>
    <row r="325" spans="1:10" ht="56" x14ac:dyDescent="0.2">
      <c r="A325" s="1">
        <v>6400</v>
      </c>
      <c r="B325" s="1">
        <v>136</v>
      </c>
      <c r="C325" s="2" t="s">
        <v>161</v>
      </c>
      <c r="D325" s="2" t="s">
        <v>182</v>
      </c>
      <c r="E325" s="31" t="s">
        <v>98</v>
      </c>
      <c r="F325" s="2"/>
      <c r="G325" s="8">
        <f>1600000*0.667</f>
        <v>1067200</v>
      </c>
      <c r="H325" s="8">
        <f>1600000-G325</f>
        <v>532800</v>
      </c>
      <c r="I325" s="10">
        <f t="shared" si="12"/>
        <v>1600000</v>
      </c>
      <c r="J325" s="28">
        <v>54411222</v>
      </c>
    </row>
    <row r="326" spans="1:10" x14ac:dyDescent="0.2">
      <c r="A326" s="1">
        <v>6400</v>
      </c>
      <c r="B326" s="1">
        <v>220</v>
      </c>
      <c r="C326" s="2" t="s">
        <v>161</v>
      </c>
      <c r="D326" s="2" t="s">
        <v>182</v>
      </c>
      <c r="E326" s="31" t="s">
        <v>16</v>
      </c>
      <c r="F326" s="2"/>
      <c r="G326" s="8">
        <f>99200*0.667</f>
        <v>66166.400000000009</v>
      </c>
      <c r="H326" s="8">
        <f>99200-G326</f>
        <v>33033.599999999991</v>
      </c>
      <c r="I326" s="10">
        <f t="shared" si="12"/>
        <v>99200</v>
      </c>
      <c r="J326" s="28">
        <v>54411222</v>
      </c>
    </row>
    <row r="327" spans="1:10" x14ac:dyDescent="0.2">
      <c r="A327" s="1">
        <v>6400</v>
      </c>
      <c r="B327" s="1">
        <v>221</v>
      </c>
      <c r="C327" s="2" t="s">
        <v>161</v>
      </c>
      <c r="D327" s="2" t="s">
        <v>182</v>
      </c>
      <c r="E327" s="31" t="s">
        <v>17</v>
      </c>
      <c r="F327" s="2"/>
      <c r="G327" s="8">
        <f>23200*0.667</f>
        <v>15474.400000000001</v>
      </c>
      <c r="H327" s="8">
        <f>23200-G327</f>
        <v>7725.5999999999985</v>
      </c>
      <c r="I327" s="10">
        <f t="shared" si="12"/>
        <v>23200</v>
      </c>
      <c r="J327" s="28">
        <v>54411222</v>
      </c>
    </row>
    <row r="328" spans="1:10" x14ac:dyDescent="0.2">
      <c r="A328" s="1">
        <v>6400</v>
      </c>
      <c r="B328" s="1">
        <v>240</v>
      </c>
      <c r="C328" s="2" t="s">
        <v>161</v>
      </c>
      <c r="D328" s="2" t="s">
        <v>182</v>
      </c>
      <c r="E328" s="31" t="s">
        <v>20</v>
      </c>
      <c r="F328" s="2"/>
      <c r="G328" s="8">
        <f>42080*0.667</f>
        <v>28067.360000000001</v>
      </c>
      <c r="H328" s="8">
        <f>42080-G328</f>
        <v>14012.64</v>
      </c>
      <c r="I328" s="10">
        <f t="shared" si="12"/>
        <v>42080</v>
      </c>
      <c r="J328" s="28">
        <v>54411222</v>
      </c>
    </row>
    <row r="329" spans="1:10" ht="28" x14ac:dyDescent="0.2">
      <c r="A329" s="1">
        <v>6400</v>
      </c>
      <c r="B329" s="1">
        <v>150</v>
      </c>
      <c r="C329" s="2" t="s">
        <v>161</v>
      </c>
      <c r="D329" s="2" t="s">
        <v>182</v>
      </c>
      <c r="E329" s="21" t="s">
        <v>183</v>
      </c>
      <c r="F329" s="2">
        <v>1.6</v>
      </c>
      <c r="G329" s="8">
        <f>68147*0.667</f>
        <v>45454.048999999999</v>
      </c>
      <c r="H329" s="8">
        <f>68147-G329</f>
        <v>22692.951000000001</v>
      </c>
      <c r="I329" s="10">
        <f t="shared" si="12"/>
        <v>68147</v>
      </c>
      <c r="J329" s="28">
        <v>54411222</v>
      </c>
    </row>
    <row r="330" spans="1:10" x14ac:dyDescent="0.2">
      <c r="A330" s="1">
        <v>6400</v>
      </c>
      <c r="B330" s="1">
        <v>210</v>
      </c>
      <c r="C330" s="2" t="s">
        <v>161</v>
      </c>
      <c r="D330" s="2" t="s">
        <v>182</v>
      </c>
      <c r="E330" s="31" t="s">
        <v>15</v>
      </c>
      <c r="F330" s="2"/>
      <c r="G330" s="8">
        <f>8103*0.667</f>
        <v>5404.701</v>
      </c>
      <c r="H330" s="8">
        <f>8103-G330</f>
        <v>2698.299</v>
      </c>
      <c r="I330" s="10">
        <f t="shared" si="12"/>
        <v>8103</v>
      </c>
      <c r="J330" s="28">
        <v>54411222</v>
      </c>
    </row>
    <row r="331" spans="1:10" x14ac:dyDescent="0.2">
      <c r="A331" s="1">
        <v>6400</v>
      </c>
      <c r="B331" s="1">
        <v>220</v>
      </c>
      <c r="C331" s="2" t="s">
        <v>161</v>
      </c>
      <c r="D331" s="2" t="s">
        <v>182</v>
      </c>
      <c r="E331" s="31" t="s">
        <v>16</v>
      </c>
      <c r="F331" s="2"/>
      <c r="G331" s="8">
        <f>4225*0.667</f>
        <v>2818.0750000000003</v>
      </c>
      <c r="H331" s="8">
        <f>4225-G331</f>
        <v>1406.9249999999997</v>
      </c>
      <c r="I331" s="10">
        <f t="shared" si="12"/>
        <v>4225</v>
      </c>
      <c r="J331" s="28">
        <v>54411222</v>
      </c>
    </row>
    <row r="332" spans="1:10" x14ac:dyDescent="0.2">
      <c r="A332" s="1">
        <v>6400</v>
      </c>
      <c r="B332" s="1">
        <v>221</v>
      </c>
      <c r="C332" s="2" t="s">
        <v>161</v>
      </c>
      <c r="D332" s="2" t="s">
        <v>182</v>
      </c>
      <c r="E332" s="31" t="s">
        <v>17</v>
      </c>
      <c r="F332" s="2"/>
      <c r="G332" s="8">
        <f>988*0.667</f>
        <v>658.99599999999998</v>
      </c>
      <c r="H332" s="8">
        <f>988-G332</f>
        <v>329.00400000000002</v>
      </c>
      <c r="I332" s="10">
        <f t="shared" si="12"/>
        <v>988</v>
      </c>
      <c r="J332" s="28">
        <v>54411222</v>
      </c>
    </row>
    <row r="333" spans="1:10" x14ac:dyDescent="0.2">
      <c r="A333" s="1">
        <v>6400</v>
      </c>
      <c r="B333" s="1">
        <v>240</v>
      </c>
      <c r="C333" s="2" t="s">
        <v>161</v>
      </c>
      <c r="D333" s="2" t="s">
        <v>182</v>
      </c>
      <c r="E333" s="31" t="s">
        <v>20</v>
      </c>
      <c r="F333" s="2"/>
      <c r="G333" s="8">
        <f>1792*0.667</f>
        <v>1195.2640000000001</v>
      </c>
      <c r="H333" s="8">
        <f>1792-G333</f>
        <v>596.73599999999988</v>
      </c>
      <c r="I333" s="10">
        <f t="shared" si="12"/>
        <v>1792</v>
      </c>
      <c r="J333" s="28">
        <v>54411222</v>
      </c>
    </row>
    <row r="334" spans="1:10" x14ac:dyDescent="0.2">
      <c r="A334" s="1">
        <v>6400</v>
      </c>
      <c r="B334" s="1">
        <v>690</v>
      </c>
      <c r="C334" s="2" t="s">
        <v>161</v>
      </c>
      <c r="D334" s="2" t="s">
        <v>182</v>
      </c>
      <c r="E334" s="31" t="s">
        <v>97</v>
      </c>
      <c r="F334" s="2"/>
      <c r="G334" s="8">
        <f>44800*0.667</f>
        <v>29881.600000000002</v>
      </c>
      <c r="H334" s="8">
        <f>44800-G334</f>
        <v>14918.399999999998</v>
      </c>
      <c r="I334" s="10">
        <f t="shared" si="12"/>
        <v>44800</v>
      </c>
      <c r="J334" s="28">
        <v>54411222</v>
      </c>
    </row>
    <row r="335" spans="1:10" x14ac:dyDescent="0.2">
      <c r="A335" s="1">
        <v>6400</v>
      </c>
      <c r="B335" s="1">
        <v>399</v>
      </c>
      <c r="C335" s="2" t="s">
        <v>161</v>
      </c>
      <c r="D335" s="2" t="s">
        <v>182</v>
      </c>
      <c r="E335" s="31" t="s">
        <v>95</v>
      </c>
      <c r="F335" s="2"/>
      <c r="G335" s="8">
        <f>19050*0.667</f>
        <v>12706.35</v>
      </c>
      <c r="H335" s="8">
        <f>19050-G335</f>
        <v>6343.65</v>
      </c>
      <c r="I335" s="10">
        <f t="shared" si="12"/>
        <v>19050</v>
      </c>
      <c r="J335" s="28">
        <v>54411222</v>
      </c>
    </row>
    <row r="336" spans="1:10" x14ac:dyDescent="0.2">
      <c r="A336" s="1">
        <v>6400</v>
      </c>
      <c r="B336" s="1">
        <v>510</v>
      </c>
      <c r="C336" s="2" t="s">
        <v>161</v>
      </c>
      <c r="D336" s="2" t="s">
        <v>182</v>
      </c>
      <c r="E336" s="31" t="s">
        <v>96</v>
      </c>
      <c r="F336" s="2"/>
      <c r="G336" s="8">
        <f>205684*0.667</f>
        <v>137191.228</v>
      </c>
      <c r="H336" s="8">
        <f>205684-G336</f>
        <v>68492.771999999997</v>
      </c>
      <c r="I336" s="10">
        <f t="shared" si="12"/>
        <v>205684</v>
      </c>
      <c r="J336" s="28">
        <v>54411222</v>
      </c>
    </row>
    <row r="337" spans="1:10" ht="70" x14ac:dyDescent="0.2">
      <c r="A337" s="1">
        <v>6400</v>
      </c>
      <c r="B337" s="1">
        <v>136</v>
      </c>
      <c r="C337" s="2" t="s">
        <v>161</v>
      </c>
      <c r="D337" s="2" t="s">
        <v>166</v>
      </c>
      <c r="E337" s="21" t="s">
        <v>85</v>
      </c>
      <c r="F337" s="2"/>
      <c r="G337" s="8">
        <f>3303619*0.667</f>
        <v>2203513.8730000001</v>
      </c>
      <c r="H337" s="9">
        <f>3303619-G337</f>
        <v>1100105.1269999999</v>
      </c>
      <c r="I337" s="10">
        <f t="shared" si="12"/>
        <v>3303619</v>
      </c>
      <c r="J337" s="28">
        <v>54411228</v>
      </c>
    </row>
    <row r="338" spans="1:10" ht="42" x14ac:dyDescent="0.2">
      <c r="A338" s="1">
        <v>6400</v>
      </c>
      <c r="B338" s="1">
        <v>149</v>
      </c>
      <c r="C338" s="2" t="s">
        <v>161</v>
      </c>
      <c r="D338" s="2" t="s">
        <v>166</v>
      </c>
      <c r="E338" s="21" t="s">
        <v>167</v>
      </c>
      <c r="F338" s="2"/>
      <c r="G338" s="8">
        <f>1409088*0.667</f>
        <v>939861.696</v>
      </c>
      <c r="H338" s="9">
        <f>1409088-G338</f>
        <v>469226.304</v>
      </c>
      <c r="I338" s="10">
        <f t="shared" si="12"/>
        <v>1409088</v>
      </c>
      <c r="J338" s="28">
        <v>54411228</v>
      </c>
    </row>
    <row r="339" spans="1:10" ht="28" x14ac:dyDescent="0.2">
      <c r="A339" s="1">
        <v>6400</v>
      </c>
      <c r="B339" s="1">
        <v>150</v>
      </c>
      <c r="C339" s="2" t="s">
        <v>161</v>
      </c>
      <c r="D339" s="2" t="s">
        <v>166</v>
      </c>
      <c r="E339" s="21" t="s">
        <v>86</v>
      </c>
      <c r="F339" s="2"/>
      <c r="G339" s="8">
        <f>491120*0.667</f>
        <v>327577.04000000004</v>
      </c>
      <c r="H339" s="9">
        <f>491120-G339</f>
        <v>163542.95999999996</v>
      </c>
      <c r="I339" s="10">
        <f t="shared" si="12"/>
        <v>491120</v>
      </c>
      <c r="J339" s="28">
        <v>54411228</v>
      </c>
    </row>
    <row r="340" spans="1:10" x14ac:dyDescent="0.2">
      <c r="A340" s="1">
        <v>6400</v>
      </c>
      <c r="B340" s="1">
        <v>210</v>
      </c>
      <c r="C340" s="2" t="s">
        <v>161</v>
      </c>
      <c r="D340" s="2" t="s">
        <v>166</v>
      </c>
      <c r="E340" s="31" t="s">
        <v>15</v>
      </c>
      <c r="F340" s="2"/>
      <c r="G340" s="8">
        <f>118280*0.667</f>
        <v>78892.760000000009</v>
      </c>
      <c r="H340" s="9">
        <f>118280-G340</f>
        <v>39387.239999999991</v>
      </c>
      <c r="I340" s="10">
        <f t="shared" si="12"/>
        <v>118280</v>
      </c>
      <c r="J340" s="28">
        <v>54411228</v>
      </c>
    </row>
    <row r="341" spans="1:10" x14ac:dyDescent="0.2">
      <c r="A341" s="1">
        <v>6400</v>
      </c>
      <c r="B341" s="1">
        <v>220</v>
      </c>
      <c r="C341" s="2" t="s">
        <v>161</v>
      </c>
      <c r="D341" s="2" t="s">
        <v>166</v>
      </c>
      <c r="E341" s="31" t="s">
        <v>16</v>
      </c>
      <c r="F341" s="2"/>
      <c r="G341" s="8">
        <f>322637*0.667</f>
        <v>215198.87900000002</v>
      </c>
      <c r="H341" s="9">
        <f>322637-G341</f>
        <v>107438.12099999998</v>
      </c>
      <c r="I341" s="10">
        <f t="shared" si="12"/>
        <v>322637</v>
      </c>
      <c r="J341" s="28">
        <v>54411228</v>
      </c>
    </row>
    <row r="342" spans="1:10" x14ac:dyDescent="0.2">
      <c r="A342" s="1">
        <v>6400</v>
      </c>
      <c r="B342" s="1">
        <v>221</v>
      </c>
      <c r="C342" s="2" t="s">
        <v>161</v>
      </c>
      <c r="D342" s="2" t="s">
        <v>166</v>
      </c>
      <c r="E342" s="31" t="s">
        <v>17</v>
      </c>
      <c r="F342" s="2"/>
      <c r="G342" s="8">
        <f>75455*0.667</f>
        <v>50328.485000000001</v>
      </c>
      <c r="H342" s="9">
        <f>75455-G342</f>
        <v>25126.514999999999</v>
      </c>
      <c r="I342" s="10">
        <f t="shared" si="12"/>
        <v>75455</v>
      </c>
      <c r="J342" s="28">
        <v>54411228</v>
      </c>
    </row>
    <row r="343" spans="1:10" x14ac:dyDescent="0.2">
      <c r="A343" s="1">
        <v>6400</v>
      </c>
      <c r="B343" s="1">
        <v>240</v>
      </c>
      <c r="C343" s="2" t="s">
        <v>161</v>
      </c>
      <c r="D343" s="2" t="s">
        <v>166</v>
      </c>
      <c r="E343" s="31" t="s">
        <v>20</v>
      </c>
      <c r="F343" s="2"/>
      <c r="G343" s="8">
        <f>99801*0.667</f>
        <v>66567.267000000007</v>
      </c>
      <c r="H343" s="9">
        <f>99801-G343</f>
        <v>33233.732999999993</v>
      </c>
      <c r="I343" s="10">
        <f t="shared" si="12"/>
        <v>99801</v>
      </c>
      <c r="J343" s="28">
        <v>54411228</v>
      </c>
    </row>
    <row r="344" spans="1:10" x14ac:dyDescent="0.2">
      <c r="A344" s="1">
        <v>6400</v>
      </c>
      <c r="B344" s="1">
        <v>510</v>
      </c>
      <c r="C344" s="2" t="s">
        <v>161</v>
      </c>
      <c r="D344" s="2" t="s">
        <v>166</v>
      </c>
      <c r="E344" s="21" t="s">
        <v>87</v>
      </c>
      <c r="F344" s="2"/>
      <c r="G344" s="8">
        <f>300000*0.667</f>
        <v>200100</v>
      </c>
      <c r="H344" s="9">
        <f>300000-G344</f>
        <v>99900</v>
      </c>
      <c r="I344" s="10">
        <f t="shared" si="12"/>
        <v>300000</v>
      </c>
      <c r="J344" s="28">
        <v>54411228</v>
      </c>
    </row>
    <row r="345" spans="1:10" x14ac:dyDescent="0.2">
      <c r="A345" s="1">
        <v>6500</v>
      </c>
      <c r="B345" s="1">
        <v>640</v>
      </c>
      <c r="C345" s="2" t="s">
        <v>161</v>
      </c>
      <c r="D345" s="2" t="s">
        <v>162</v>
      </c>
      <c r="E345" s="31" t="s">
        <v>94</v>
      </c>
      <c r="F345" s="2"/>
      <c r="G345" s="8">
        <f>2500000*0.667</f>
        <v>1667500</v>
      </c>
      <c r="H345" s="8">
        <f>2500000-G345</f>
        <v>832500</v>
      </c>
      <c r="I345" s="10">
        <f t="shared" si="12"/>
        <v>2500000</v>
      </c>
      <c r="J345" s="28">
        <v>54411229</v>
      </c>
    </row>
    <row r="346" spans="1:10" ht="140" x14ac:dyDescent="0.2">
      <c r="A346" s="1">
        <v>6400</v>
      </c>
      <c r="B346" s="1">
        <v>310</v>
      </c>
      <c r="C346" s="2" t="s">
        <v>161</v>
      </c>
      <c r="D346" s="2" t="s">
        <v>168</v>
      </c>
      <c r="E346" s="31" t="s">
        <v>29</v>
      </c>
      <c r="F346" s="2"/>
      <c r="G346" s="8">
        <f>1047000*0.667</f>
        <v>698349</v>
      </c>
      <c r="H346" s="9">
        <f>1047000-G346</f>
        <v>348651</v>
      </c>
      <c r="I346" s="10">
        <f t="shared" si="12"/>
        <v>1047000</v>
      </c>
      <c r="J346" s="28">
        <v>54411264</v>
      </c>
    </row>
    <row r="347" spans="1:10" ht="28" x14ac:dyDescent="0.2">
      <c r="A347" s="1">
        <v>6300</v>
      </c>
      <c r="B347" s="1">
        <v>114</v>
      </c>
      <c r="C347" s="2" t="s">
        <v>161</v>
      </c>
      <c r="D347" s="2" t="s">
        <v>165</v>
      </c>
      <c r="E347" s="31" t="s">
        <v>112</v>
      </c>
      <c r="F347" s="2">
        <v>3</v>
      </c>
      <c r="G347" s="8">
        <f>1151053*0.667</f>
        <v>767752.35100000002</v>
      </c>
      <c r="H347" s="8">
        <f>1151055-G347</f>
        <v>383302.64899999998</v>
      </c>
      <c r="I347" s="10">
        <f t="shared" si="12"/>
        <v>1151055</v>
      </c>
      <c r="J347" s="28">
        <v>54411273</v>
      </c>
    </row>
    <row r="348" spans="1:10" x14ac:dyDescent="0.2">
      <c r="A348" s="1">
        <v>6300</v>
      </c>
      <c r="B348" s="1">
        <v>210</v>
      </c>
      <c r="C348" s="2" t="s">
        <v>161</v>
      </c>
      <c r="D348" s="2" t="s">
        <v>165</v>
      </c>
      <c r="E348" s="31" t="s">
        <v>15</v>
      </c>
      <c r="F348" s="2"/>
      <c r="G348" s="8">
        <f>136863*0.667</f>
        <v>91287.620999999999</v>
      </c>
      <c r="H348" s="8">
        <f>136863-G348</f>
        <v>45575.379000000001</v>
      </c>
      <c r="I348" s="10">
        <f t="shared" si="12"/>
        <v>136863</v>
      </c>
      <c r="J348" s="28">
        <v>54411273</v>
      </c>
    </row>
    <row r="349" spans="1:10" x14ac:dyDescent="0.2">
      <c r="A349" s="1">
        <v>6300</v>
      </c>
      <c r="B349" s="1">
        <v>220</v>
      </c>
      <c r="C349" s="2" t="s">
        <v>161</v>
      </c>
      <c r="D349" s="2" t="s">
        <v>165</v>
      </c>
      <c r="E349" s="31" t="s">
        <v>16</v>
      </c>
      <c r="F349" s="2"/>
      <c r="G349" s="8">
        <f>71367*0.667</f>
        <v>47601.789000000004</v>
      </c>
      <c r="H349" s="8">
        <f>71367-G349</f>
        <v>23765.210999999996</v>
      </c>
      <c r="I349" s="10">
        <f t="shared" si="12"/>
        <v>71367</v>
      </c>
      <c r="J349" s="28">
        <v>54411273</v>
      </c>
    </row>
    <row r="350" spans="1:10" x14ac:dyDescent="0.2">
      <c r="A350" s="1">
        <v>6300</v>
      </c>
      <c r="B350" s="1">
        <v>221</v>
      </c>
      <c r="C350" s="2" t="s">
        <v>161</v>
      </c>
      <c r="D350" s="2" t="s">
        <v>165</v>
      </c>
      <c r="E350" s="31" t="s">
        <v>17</v>
      </c>
      <c r="F350" s="2"/>
      <c r="G350" s="8">
        <f>16689*0.667</f>
        <v>11131.563</v>
      </c>
      <c r="H350" s="8">
        <f>16689-G350</f>
        <v>5557.4369999999999</v>
      </c>
      <c r="I350" s="10">
        <f t="shared" si="12"/>
        <v>16689</v>
      </c>
      <c r="J350" s="28">
        <v>54411273</v>
      </c>
    </row>
    <row r="351" spans="1:10" x14ac:dyDescent="0.2">
      <c r="A351" s="1">
        <v>6300</v>
      </c>
      <c r="B351" s="1">
        <v>232</v>
      </c>
      <c r="C351" s="2" t="s">
        <v>161</v>
      </c>
      <c r="D351" s="2" t="s">
        <v>165</v>
      </c>
      <c r="E351" s="31" t="s">
        <v>18</v>
      </c>
      <c r="F351" s="2"/>
      <c r="G351" s="8">
        <f>93753*0.667</f>
        <v>62533.251000000004</v>
      </c>
      <c r="H351" s="8">
        <f>93753-G351</f>
        <v>31219.748999999996</v>
      </c>
      <c r="I351" s="10">
        <f t="shared" si="12"/>
        <v>93753</v>
      </c>
      <c r="J351" s="28">
        <v>54411273</v>
      </c>
    </row>
    <row r="352" spans="1:10" x14ac:dyDescent="0.2">
      <c r="A352" s="1">
        <v>6300</v>
      </c>
      <c r="B352" s="1">
        <v>240</v>
      </c>
      <c r="C352" s="2" t="s">
        <v>161</v>
      </c>
      <c r="D352" s="2" t="s">
        <v>165</v>
      </c>
      <c r="E352" s="31" t="s">
        <v>20</v>
      </c>
      <c r="F352" s="2"/>
      <c r="G352" s="8">
        <f>30273*0.667</f>
        <v>20192.091</v>
      </c>
      <c r="H352" s="8">
        <f>30273-G352</f>
        <v>10080.909</v>
      </c>
      <c r="I352" s="10">
        <f t="shared" si="12"/>
        <v>30273</v>
      </c>
      <c r="J352" s="28">
        <v>54411273</v>
      </c>
    </row>
    <row r="353" spans="1:10" ht="42" x14ac:dyDescent="0.2">
      <c r="A353" s="1">
        <v>7400</v>
      </c>
      <c r="B353" s="1">
        <v>680</v>
      </c>
      <c r="C353" s="2" t="s">
        <v>190</v>
      </c>
      <c r="D353" s="2" t="s">
        <v>191</v>
      </c>
      <c r="E353" s="31" t="s">
        <v>192</v>
      </c>
      <c r="F353" s="2"/>
      <c r="G353" s="8">
        <f>(61747932)*0.667</f>
        <v>41185870.644000001</v>
      </c>
      <c r="H353" s="8">
        <f>61747932-G353</f>
        <v>20562061.355999999</v>
      </c>
      <c r="I353" s="10">
        <f t="shared" si="12"/>
        <v>61747932</v>
      </c>
      <c r="J353" s="28">
        <v>54411330</v>
      </c>
    </row>
    <row r="354" spans="1:10" ht="42" x14ac:dyDescent="0.2">
      <c r="A354" s="1">
        <v>7400</v>
      </c>
      <c r="B354" s="1">
        <v>390</v>
      </c>
      <c r="C354" s="2" t="s">
        <v>190</v>
      </c>
      <c r="D354" s="2" t="s">
        <v>191</v>
      </c>
      <c r="E354" s="31" t="s">
        <v>193</v>
      </c>
      <c r="F354" s="2"/>
      <c r="G354" s="8">
        <v>7000000</v>
      </c>
      <c r="H354" s="8">
        <v>3000000</v>
      </c>
      <c r="I354" s="10">
        <f t="shared" si="12"/>
        <v>10000000</v>
      </c>
      <c r="J354" s="28">
        <v>54411330</v>
      </c>
    </row>
    <row r="355" spans="1:10" ht="28" x14ac:dyDescent="0.2">
      <c r="A355" s="1">
        <v>7400</v>
      </c>
      <c r="B355" s="1">
        <v>640</v>
      </c>
      <c r="C355" s="2" t="s">
        <v>187</v>
      </c>
      <c r="D355" s="2" t="s">
        <v>188</v>
      </c>
      <c r="E355" s="40" t="s">
        <v>189</v>
      </c>
      <c r="F355" s="2"/>
      <c r="G355" s="8">
        <f>100000000*0.667</f>
        <v>66700000.000000007</v>
      </c>
      <c r="H355" s="9">
        <f>100000000-G355</f>
        <v>33299999.999999993</v>
      </c>
      <c r="I355" s="10">
        <f t="shared" si="12"/>
        <v>100000000</v>
      </c>
      <c r="J355" s="28">
        <v>54411431</v>
      </c>
    </row>
    <row r="356" spans="1:10" ht="28" x14ac:dyDescent="0.2">
      <c r="A356" s="1">
        <v>6130</v>
      </c>
      <c r="B356" s="1">
        <v>390</v>
      </c>
      <c r="C356" s="2" t="s">
        <v>142</v>
      </c>
      <c r="D356" s="2" t="s">
        <v>143</v>
      </c>
      <c r="E356" s="31" t="s">
        <v>141</v>
      </c>
      <c r="F356" s="2"/>
      <c r="G356" s="8">
        <f>15000000*0.667</f>
        <v>10005000</v>
      </c>
      <c r="H356" s="8">
        <f>15000000-G356</f>
        <v>4995000</v>
      </c>
      <c r="I356" s="10">
        <f t="shared" si="12"/>
        <v>15000000</v>
      </c>
      <c r="J356" s="28">
        <v>54410336</v>
      </c>
    </row>
    <row r="357" spans="1:10" x14ac:dyDescent="0.2">
      <c r="A357" s="1">
        <v>7900</v>
      </c>
      <c r="B357" s="1">
        <v>150</v>
      </c>
      <c r="C357" s="2" t="s">
        <v>142</v>
      </c>
      <c r="D357" s="2" t="s">
        <v>196</v>
      </c>
      <c r="E357" s="31" t="s">
        <v>43</v>
      </c>
      <c r="F357" s="2">
        <v>84.77</v>
      </c>
      <c r="G357" s="8">
        <f>2046329*0.667</f>
        <v>1364901.443</v>
      </c>
      <c r="H357" s="8">
        <f>2046329-G357</f>
        <v>681427.55700000003</v>
      </c>
      <c r="I357" s="10">
        <f t="shared" si="12"/>
        <v>2046329</v>
      </c>
      <c r="J357" s="28">
        <v>54410370</v>
      </c>
    </row>
    <row r="358" spans="1:10" x14ac:dyDescent="0.2">
      <c r="A358" s="1">
        <v>7900</v>
      </c>
      <c r="B358" s="1">
        <v>210</v>
      </c>
      <c r="C358" s="2" t="s">
        <v>142</v>
      </c>
      <c r="D358" s="2" t="s">
        <v>196</v>
      </c>
      <c r="E358" s="31" t="s">
        <v>15</v>
      </c>
      <c r="F358" s="2"/>
      <c r="G358" s="8">
        <f>243309*0.667</f>
        <v>162287.103</v>
      </c>
      <c r="H358" s="8">
        <f>243309-G358</f>
        <v>81021.896999999997</v>
      </c>
      <c r="I358" s="10">
        <f t="shared" si="12"/>
        <v>243309</v>
      </c>
      <c r="J358" s="28">
        <v>54410370</v>
      </c>
    </row>
    <row r="359" spans="1:10" x14ac:dyDescent="0.2">
      <c r="A359" s="1">
        <v>7900</v>
      </c>
      <c r="B359" s="1">
        <v>220</v>
      </c>
      <c r="C359" s="2" t="s">
        <v>142</v>
      </c>
      <c r="D359" s="2" t="s">
        <v>196</v>
      </c>
      <c r="E359" s="31" t="s">
        <v>16</v>
      </c>
      <c r="F359" s="2"/>
      <c r="G359" s="8">
        <f>126872*0.667</f>
        <v>84623.624000000011</v>
      </c>
      <c r="H359" s="8">
        <f>126872-G359</f>
        <v>42248.375999999989</v>
      </c>
      <c r="I359" s="10">
        <f t="shared" si="12"/>
        <v>126872</v>
      </c>
      <c r="J359" s="28">
        <v>54410370</v>
      </c>
    </row>
    <row r="360" spans="1:10" x14ac:dyDescent="0.2">
      <c r="A360" s="1">
        <v>7900</v>
      </c>
      <c r="B360" s="1">
        <v>221</v>
      </c>
      <c r="C360" s="2" t="s">
        <v>142</v>
      </c>
      <c r="D360" s="2" t="s">
        <v>196</v>
      </c>
      <c r="E360" s="31" t="s">
        <v>17</v>
      </c>
      <c r="F360" s="2"/>
      <c r="G360" s="8">
        <f>29672*0.667</f>
        <v>19791.224000000002</v>
      </c>
      <c r="H360" s="8">
        <f>29672-G360</f>
        <v>9880.775999999998</v>
      </c>
      <c r="I360" s="10">
        <f t="shared" si="12"/>
        <v>29672</v>
      </c>
      <c r="J360" s="28">
        <v>54410370</v>
      </c>
    </row>
    <row r="361" spans="1:10" x14ac:dyDescent="0.2">
      <c r="A361" s="1">
        <v>7900</v>
      </c>
      <c r="B361" s="1">
        <v>240</v>
      </c>
      <c r="C361" s="2" t="s">
        <v>142</v>
      </c>
      <c r="D361" s="2" t="s">
        <v>196</v>
      </c>
      <c r="E361" s="31" t="s">
        <v>20</v>
      </c>
      <c r="F361" s="2"/>
      <c r="G361" s="8">
        <f>53818*0.667</f>
        <v>35896.606</v>
      </c>
      <c r="H361" s="8">
        <f>53818-G361</f>
        <v>17921.394</v>
      </c>
      <c r="I361" s="10">
        <f t="shared" si="12"/>
        <v>53818</v>
      </c>
      <c r="J361" s="28">
        <v>54410370</v>
      </c>
    </row>
    <row r="362" spans="1:10" ht="56" x14ac:dyDescent="0.2">
      <c r="A362" s="1">
        <v>6400</v>
      </c>
      <c r="B362" s="1">
        <v>136</v>
      </c>
      <c r="C362" s="2" t="s">
        <v>163</v>
      </c>
      <c r="D362" s="2" t="s">
        <v>139</v>
      </c>
      <c r="E362" s="31" t="s">
        <v>178</v>
      </c>
      <c r="F362" s="2"/>
      <c r="G362" s="8">
        <f>34624410*0.667</f>
        <v>23094481.470000003</v>
      </c>
      <c r="H362" s="9">
        <f>34624410-G362</f>
        <v>11529928.529999997</v>
      </c>
      <c r="I362" s="10">
        <f t="shared" si="11"/>
        <v>34624410</v>
      </c>
      <c r="J362" s="28">
        <v>54411532</v>
      </c>
    </row>
    <row r="363" spans="1:10" x14ac:dyDescent="0.2">
      <c r="A363" s="1">
        <v>6400</v>
      </c>
      <c r="B363" s="1">
        <v>210</v>
      </c>
      <c r="C363" s="2" t="s">
        <v>163</v>
      </c>
      <c r="D363" s="2" t="s">
        <v>139</v>
      </c>
      <c r="E363" s="31" t="s">
        <v>15</v>
      </c>
      <c r="F363" s="2"/>
      <c r="G363" s="8">
        <f>4116842*0.667</f>
        <v>2745933.6140000001</v>
      </c>
      <c r="H363" s="9">
        <f>4116842-G363</f>
        <v>1370908.3859999999</v>
      </c>
      <c r="I363" s="10">
        <f t="shared" si="11"/>
        <v>4116842</v>
      </c>
      <c r="J363" s="28">
        <v>54411532</v>
      </c>
    </row>
    <row r="364" spans="1:10" x14ac:dyDescent="0.2">
      <c r="A364" s="1">
        <v>6400</v>
      </c>
      <c r="B364" s="1">
        <v>220</v>
      </c>
      <c r="C364" s="2" t="s">
        <v>163</v>
      </c>
      <c r="D364" s="2" t="s">
        <v>139</v>
      </c>
      <c r="E364" s="31" t="s">
        <v>16</v>
      </c>
      <c r="F364" s="2"/>
      <c r="G364" s="8">
        <f>2146713*0.667</f>
        <v>1431857.571</v>
      </c>
      <c r="H364" s="9">
        <f>2146713-G364</f>
        <v>714855.429</v>
      </c>
      <c r="I364" s="10">
        <f t="shared" si="11"/>
        <v>2146713</v>
      </c>
      <c r="J364" s="28">
        <v>54411532</v>
      </c>
    </row>
    <row r="365" spans="1:10" x14ac:dyDescent="0.2">
      <c r="A365" s="1">
        <v>6400</v>
      </c>
      <c r="B365" s="1">
        <v>221</v>
      </c>
      <c r="C365" s="2" t="s">
        <v>163</v>
      </c>
      <c r="D365" s="2" t="s">
        <v>139</v>
      </c>
      <c r="E365" s="31" t="s">
        <v>17</v>
      </c>
      <c r="F365" s="2"/>
      <c r="G365" s="8">
        <f>502054*0.667</f>
        <v>334870.01800000004</v>
      </c>
      <c r="H365" s="9">
        <f>502054-G365</f>
        <v>167183.98199999996</v>
      </c>
      <c r="I365" s="10">
        <f t="shared" si="11"/>
        <v>502054</v>
      </c>
      <c r="J365" s="28">
        <v>54411532</v>
      </c>
    </row>
    <row r="366" spans="1:10" x14ac:dyDescent="0.2">
      <c r="A366" s="1">
        <v>6400</v>
      </c>
      <c r="B366" s="1">
        <v>240</v>
      </c>
      <c r="C366" s="2" t="s">
        <v>163</v>
      </c>
      <c r="D366" s="2" t="s">
        <v>139</v>
      </c>
      <c r="E366" s="31" t="s">
        <v>20</v>
      </c>
      <c r="F366" s="2"/>
      <c r="G366" s="8">
        <f>910622*0.667</f>
        <v>607384.87400000007</v>
      </c>
      <c r="H366" s="9">
        <f>910622-G366</f>
        <v>303237.12599999993</v>
      </c>
      <c r="I366" s="10">
        <f t="shared" ref="I366:I379" si="13">G366+H366</f>
        <v>910622</v>
      </c>
      <c r="J366" s="28">
        <v>54411532</v>
      </c>
    </row>
    <row r="367" spans="1:10" ht="28" x14ac:dyDescent="0.2">
      <c r="A367" s="1">
        <v>6400</v>
      </c>
      <c r="B367" s="1">
        <v>136</v>
      </c>
      <c r="C367" s="2" t="s">
        <v>163</v>
      </c>
      <c r="D367" s="2" t="s">
        <v>139</v>
      </c>
      <c r="E367" s="31" t="s">
        <v>179</v>
      </c>
      <c r="F367" s="2"/>
      <c r="G367" s="8">
        <f>6000000*0.667</f>
        <v>4002000</v>
      </c>
      <c r="H367" s="8">
        <f>6000000-G367</f>
        <v>1998000</v>
      </c>
      <c r="I367" s="10">
        <f t="shared" si="13"/>
        <v>6000000</v>
      </c>
      <c r="J367" s="28">
        <v>54411532</v>
      </c>
    </row>
    <row r="368" spans="1:10" x14ac:dyDescent="0.2">
      <c r="A368" s="1">
        <v>6400</v>
      </c>
      <c r="B368" s="1">
        <v>220</v>
      </c>
      <c r="C368" s="2" t="s">
        <v>163</v>
      </c>
      <c r="D368" s="2" t="s">
        <v>139</v>
      </c>
      <c r="E368" s="31" t="s">
        <v>16</v>
      </c>
      <c r="F368" s="2"/>
      <c r="G368" s="8">
        <f>372000*0.667</f>
        <v>248124</v>
      </c>
      <c r="H368" s="8">
        <f>372000-G368</f>
        <v>123876</v>
      </c>
      <c r="I368" s="10">
        <f t="shared" si="13"/>
        <v>372000</v>
      </c>
      <c r="J368" s="28">
        <v>54411532</v>
      </c>
    </row>
    <row r="369" spans="1:10" x14ac:dyDescent="0.2">
      <c r="A369" s="1">
        <v>6400</v>
      </c>
      <c r="B369" s="1">
        <v>221</v>
      </c>
      <c r="C369" s="2" t="s">
        <v>163</v>
      </c>
      <c r="D369" s="2" t="s">
        <v>139</v>
      </c>
      <c r="E369" s="31" t="s">
        <v>17</v>
      </c>
      <c r="F369" s="2"/>
      <c r="G369" s="8">
        <f>87000*0.667</f>
        <v>58029</v>
      </c>
      <c r="H369" s="8">
        <f>87000-G369</f>
        <v>28971</v>
      </c>
      <c r="I369" s="10">
        <f t="shared" si="13"/>
        <v>87000</v>
      </c>
      <c r="J369" s="28">
        <v>54411532</v>
      </c>
    </row>
    <row r="370" spans="1:10" x14ac:dyDescent="0.2">
      <c r="A370" s="1">
        <v>6400</v>
      </c>
      <c r="B370" s="1">
        <v>240</v>
      </c>
      <c r="C370" s="2" t="s">
        <v>163</v>
      </c>
      <c r="D370" s="2" t="s">
        <v>139</v>
      </c>
      <c r="E370" s="31" t="s">
        <v>20</v>
      </c>
      <c r="F370" s="2"/>
      <c r="G370" s="8">
        <f>157800*0.667</f>
        <v>105252.6</v>
      </c>
      <c r="H370" s="8">
        <f>157800-G370</f>
        <v>52547.399999999994</v>
      </c>
      <c r="I370" s="10">
        <f t="shared" si="13"/>
        <v>157800</v>
      </c>
      <c r="J370" s="28">
        <v>54411532</v>
      </c>
    </row>
    <row r="371" spans="1:10" ht="28" x14ac:dyDescent="0.2">
      <c r="A371" s="1">
        <v>5100</v>
      </c>
      <c r="B371" s="1">
        <v>144</v>
      </c>
      <c r="C371" s="2" t="s">
        <v>163</v>
      </c>
      <c r="D371" s="2" t="s">
        <v>139</v>
      </c>
      <c r="E371" s="31" t="s">
        <v>180</v>
      </c>
      <c r="F371" s="2"/>
      <c r="G371" s="8">
        <f>4200000*0.667</f>
        <v>2801400</v>
      </c>
      <c r="H371" s="8">
        <f>4200000-G371</f>
        <v>1398600</v>
      </c>
      <c r="I371" s="10">
        <f t="shared" si="13"/>
        <v>4200000</v>
      </c>
      <c r="J371" s="28">
        <v>54411532</v>
      </c>
    </row>
    <row r="372" spans="1:10" x14ac:dyDescent="0.2">
      <c r="A372" s="1">
        <v>5100</v>
      </c>
      <c r="B372" s="1">
        <v>210</v>
      </c>
      <c r="C372" s="2" t="s">
        <v>163</v>
      </c>
      <c r="D372" s="2" t="s">
        <v>139</v>
      </c>
      <c r="E372" s="31" t="s">
        <v>15</v>
      </c>
      <c r="F372" s="2"/>
      <c r="G372" s="8">
        <f>499380*0.667</f>
        <v>333086.46000000002</v>
      </c>
      <c r="H372" s="8">
        <f>499380-G372</f>
        <v>166293.53999999998</v>
      </c>
      <c r="I372" s="10">
        <f t="shared" si="13"/>
        <v>499380</v>
      </c>
      <c r="J372" s="28">
        <v>54411532</v>
      </c>
    </row>
    <row r="373" spans="1:10" x14ac:dyDescent="0.2">
      <c r="A373" s="1">
        <v>5100</v>
      </c>
      <c r="B373" s="1">
        <v>220</v>
      </c>
      <c r="C373" s="2" t="s">
        <v>163</v>
      </c>
      <c r="D373" s="2" t="s">
        <v>139</v>
      </c>
      <c r="E373" s="31" t="s">
        <v>16</v>
      </c>
      <c r="F373" s="2"/>
      <c r="G373" s="8">
        <f>260400*0.667</f>
        <v>173686.80000000002</v>
      </c>
      <c r="H373" s="8">
        <f>260400-G373</f>
        <v>86713.199999999983</v>
      </c>
      <c r="I373" s="10">
        <f t="shared" si="13"/>
        <v>260400</v>
      </c>
      <c r="J373" s="28">
        <v>54411532</v>
      </c>
    </row>
    <row r="374" spans="1:10" x14ac:dyDescent="0.2">
      <c r="A374" s="1">
        <v>5100</v>
      </c>
      <c r="B374" s="1">
        <v>221</v>
      </c>
      <c r="C374" s="2" t="s">
        <v>163</v>
      </c>
      <c r="D374" s="2" t="s">
        <v>139</v>
      </c>
      <c r="E374" s="31" t="s">
        <v>17</v>
      </c>
      <c r="F374" s="2"/>
      <c r="G374" s="8">
        <f>60900*0.667</f>
        <v>40620.300000000003</v>
      </c>
      <c r="H374" s="8">
        <f>60900-G374</f>
        <v>20279.699999999997</v>
      </c>
      <c r="I374" s="10">
        <f t="shared" si="13"/>
        <v>60900</v>
      </c>
      <c r="J374" s="28">
        <v>54411532</v>
      </c>
    </row>
    <row r="375" spans="1:10" x14ac:dyDescent="0.2">
      <c r="A375" s="1">
        <v>5100</v>
      </c>
      <c r="B375" s="1">
        <v>240</v>
      </c>
      <c r="C375" s="2" t="s">
        <v>163</v>
      </c>
      <c r="D375" s="2" t="s">
        <v>139</v>
      </c>
      <c r="E375" s="31" t="s">
        <v>20</v>
      </c>
      <c r="F375" s="2"/>
      <c r="G375" s="8">
        <f>110460*0.667</f>
        <v>73676.820000000007</v>
      </c>
      <c r="H375" s="8">
        <f>110460-G375</f>
        <v>36783.179999999993</v>
      </c>
      <c r="I375" s="10">
        <f t="shared" si="13"/>
        <v>110460</v>
      </c>
      <c r="J375" s="28">
        <v>54411532</v>
      </c>
    </row>
    <row r="376" spans="1:10" ht="28" x14ac:dyDescent="0.2">
      <c r="A376" s="1">
        <v>6400</v>
      </c>
      <c r="B376" s="1">
        <v>136</v>
      </c>
      <c r="C376" s="2" t="s">
        <v>163</v>
      </c>
      <c r="D376" s="2" t="s">
        <v>139</v>
      </c>
      <c r="E376" s="31" t="s">
        <v>181</v>
      </c>
      <c r="F376" s="2"/>
      <c r="G376" s="8">
        <f>3900000*0.667</f>
        <v>2601300</v>
      </c>
      <c r="H376" s="8">
        <f>3900000-G376</f>
        <v>1298700</v>
      </c>
      <c r="I376" s="10">
        <f t="shared" si="13"/>
        <v>3900000</v>
      </c>
      <c r="J376" s="28">
        <v>54411532</v>
      </c>
    </row>
    <row r="377" spans="1:10" x14ac:dyDescent="0.2">
      <c r="A377" s="1">
        <v>6400</v>
      </c>
      <c r="B377" s="1">
        <v>220</v>
      </c>
      <c r="C377" s="2" t="s">
        <v>163</v>
      </c>
      <c r="D377" s="2" t="s">
        <v>139</v>
      </c>
      <c r="E377" s="31" t="s">
        <v>16</v>
      </c>
      <c r="F377" s="2"/>
      <c r="G377" s="8">
        <f>241801*0.667</f>
        <v>161281.26700000002</v>
      </c>
      <c r="H377" s="8">
        <f>241801-G377</f>
        <v>80519.732999999978</v>
      </c>
      <c r="I377" s="10">
        <f t="shared" si="13"/>
        <v>241801</v>
      </c>
      <c r="J377" s="28">
        <v>54411532</v>
      </c>
    </row>
    <row r="378" spans="1:10" x14ac:dyDescent="0.2">
      <c r="A378" s="1">
        <v>6400</v>
      </c>
      <c r="B378" s="1">
        <v>221</v>
      </c>
      <c r="C378" s="2" t="s">
        <v>163</v>
      </c>
      <c r="D378" s="2" t="s">
        <v>139</v>
      </c>
      <c r="E378" s="31" t="s">
        <v>17</v>
      </c>
      <c r="F378" s="2"/>
      <c r="G378" s="8">
        <f>56550*0.667</f>
        <v>37718.85</v>
      </c>
      <c r="H378" s="8">
        <f>56550-G378</f>
        <v>18831.150000000001</v>
      </c>
      <c r="I378" s="10">
        <f t="shared" si="13"/>
        <v>56550</v>
      </c>
      <c r="J378" s="28">
        <v>54411532</v>
      </c>
    </row>
    <row r="379" spans="1:10" x14ac:dyDescent="0.2">
      <c r="A379" s="1">
        <v>6400</v>
      </c>
      <c r="B379" s="1">
        <v>240</v>
      </c>
      <c r="C379" s="2" t="s">
        <v>163</v>
      </c>
      <c r="D379" s="2" t="s">
        <v>139</v>
      </c>
      <c r="E379" s="31" t="s">
        <v>20</v>
      </c>
      <c r="F379" s="2"/>
      <c r="G379" s="8">
        <f>102571*0.667</f>
        <v>68414.857000000004</v>
      </c>
      <c r="H379" s="8">
        <f>102571-G379</f>
        <v>34156.142999999996</v>
      </c>
      <c r="I379" s="10">
        <f t="shared" si="13"/>
        <v>102571</v>
      </c>
      <c r="J379" s="28">
        <v>54411532</v>
      </c>
    </row>
    <row r="380" spans="1:10" x14ac:dyDescent="0.2">
      <c r="A380" s="1">
        <v>6400</v>
      </c>
      <c r="B380" s="1">
        <v>136</v>
      </c>
      <c r="C380" s="2" t="s">
        <v>163</v>
      </c>
      <c r="D380" s="2" t="s">
        <v>184</v>
      </c>
      <c r="E380" s="40" t="s">
        <v>99</v>
      </c>
      <c r="F380" s="2"/>
      <c r="G380" s="8">
        <f>380849*0.667</f>
        <v>254026.28300000002</v>
      </c>
      <c r="H380" s="8">
        <f>380849-G380</f>
        <v>126822.71699999998</v>
      </c>
      <c r="I380" s="10">
        <f t="shared" ref="I380:I404" si="14">G380+H380</f>
        <v>380849</v>
      </c>
      <c r="J380" s="28">
        <v>54411533</v>
      </c>
    </row>
    <row r="381" spans="1:10" x14ac:dyDescent="0.2">
      <c r="A381" s="1">
        <v>6400</v>
      </c>
      <c r="B381" s="1">
        <v>220</v>
      </c>
      <c r="C381" s="2" t="s">
        <v>163</v>
      </c>
      <c r="D381" s="2" t="s">
        <v>184</v>
      </c>
      <c r="E381" s="31" t="s">
        <v>16</v>
      </c>
      <c r="F381" s="2"/>
      <c r="G381" s="8">
        <f>23613*0.667</f>
        <v>15749.871000000001</v>
      </c>
      <c r="H381" s="8">
        <f>23613-G381</f>
        <v>7863.128999999999</v>
      </c>
      <c r="I381" s="10">
        <f t="shared" si="14"/>
        <v>23613</v>
      </c>
      <c r="J381" s="28">
        <v>54411533</v>
      </c>
    </row>
    <row r="382" spans="1:10" x14ac:dyDescent="0.2">
      <c r="A382" s="1">
        <v>6400</v>
      </c>
      <c r="B382" s="1">
        <v>221</v>
      </c>
      <c r="C382" s="2" t="s">
        <v>163</v>
      </c>
      <c r="D382" s="2" t="s">
        <v>184</v>
      </c>
      <c r="E382" s="31" t="s">
        <v>17</v>
      </c>
      <c r="F382" s="2"/>
      <c r="G382" s="8">
        <f>5522*0.667</f>
        <v>3683.1740000000004</v>
      </c>
      <c r="H382" s="8">
        <f>5522-G382</f>
        <v>1838.8259999999996</v>
      </c>
      <c r="I382" s="10">
        <f t="shared" si="14"/>
        <v>5522</v>
      </c>
      <c r="J382" s="28">
        <v>54411533</v>
      </c>
    </row>
    <row r="383" spans="1:10" x14ac:dyDescent="0.2">
      <c r="A383" s="1">
        <v>6400</v>
      </c>
      <c r="B383" s="1">
        <v>240</v>
      </c>
      <c r="C383" s="2" t="s">
        <v>163</v>
      </c>
      <c r="D383" s="2" t="s">
        <v>184</v>
      </c>
      <c r="E383" s="31" t="s">
        <v>20</v>
      </c>
      <c r="F383" s="2"/>
      <c r="G383" s="8">
        <f>10016*0.667</f>
        <v>6680.6720000000005</v>
      </c>
      <c r="H383" s="8">
        <f>10016-G383</f>
        <v>3335.3279999999995</v>
      </c>
      <c r="I383" s="10">
        <f t="shared" si="14"/>
        <v>10016</v>
      </c>
      <c r="J383" s="28">
        <v>54411533</v>
      </c>
    </row>
    <row r="384" spans="1:10" ht="28" x14ac:dyDescent="0.2">
      <c r="A384" s="1">
        <v>6400</v>
      </c>
      <c r="B384" s="1">
        <v>150</v>
      </c>
      <c r="C384" s="2" t="s">
        <v>163</v>
      </c>
      <c r="D384" s="2" t="s">
        <v>184</v>
      </c>
      <c r="E384" s="21" t="s">
        <v>185</v>
      </c>
      <c r="F384" s="2">
        <v>8.07</v>
      </c>
      <c r="G384" s="8">
        <f>343783*0.667</f>
        <v>229303.261</v>
      </c>
      <c r="H384" s="8">
        <f>343783-G384</f>
        <v>114479.739</v>
      </c>
      <c r="I384" s="10">
        <f t="shared" si="14"/>
        <v>343783</v>
      </c>
      <c r="J384" s="28">
        <v>54411533</v>
      </c>
    </row>
    <row r="385" spans="1:10" x14ac:dyDescent="0.2">
      <c r="A385" s="1">
        <v>6400</v>
      </c>
      <c r="B385" s="1">
        <v>210</v>
      </c>
      <c r="C385" s="2" t="s">
        <v>163</v>
      </c>
      <c r="D385" s="2" t="s">
        <v>184</v>
      </c>
      <c r="E385" s="31" t="s">
        <v>15</v>
      </c>
      <c r="F385" s="2"/>
      <c r="G385" s="8">
        <f>40876*0.667</f>
        <v>27264.292000000001</v>
      </c>
      <c r="H385" s="8">
        <f>40876-G385</f>
        <v>13611.707999999999</v>
      </c>
      <c r="I385" s="10">
        <f t="shared" si="14"/>
        <v>40876</v>
      </c>
      <c r="J385" s="28">
        <v>54411533</v>
      </c>
    </row>
    <row r="386" spans="1:10" x14ac:dyDescent="0.2">
      <c r="A386" s="1">
        <v>6400</v>
      </c>
      <c r="B386" s="1">
        <v>220</v>
      </c>
      <c r="C386" s="2" t="s">
        <v>163</v>
      </c>
      <c r="D386" s="2" t="s">
        <v>184</v>
      </c>
      <c r="E386" s="31" t="s">
        <v>16</v>
      </c>
      <c r="F386" s="2"/>
      <c r="G386" s="8">
        <f>21315*0.667</f>
        <v>14217.105000000001</v>
      </c>
      <c r="H386" s="8">
        <f>21315-G386</f>
        <v>7097.8949999999986</v>
      </c>
      <c r="I386" s="10">
        <f t="shared" si="14"/>
        <v>21315</v>
      </c>
      <c r="J386" s="28">
        <v>54411533</v>
      </c>
    </row>
    <row r="387" spans="1:10" x14ac:dyDescent="0.2">
      <c r="A387" s="1">
        <v>6400</v>
      </c>
      <c r="B387" s="1">
        <v>221</v>
      </c>
      <c r="C387" s="2" t="s">
        <v>163</v>
      </c>
      <c r="D387" s="2" t="s">
        <v>184</v>
      </c>
      <c r="E387" s="31" t="s">
        <v>17</v>
      </c>
      <c r="F387" s="2"/>
      <c r="G387" s="8">
        <f>4985*0.667</f>
        <v>3324.9950000000003</v>
      </c>
      <c r="H387" s="8">
        <f>4985-G387</f>
        <v>1660.0049999999997</v>
      </c>
      <c r="I387" s="10">
        <f t="shared" si="14"/>
        <v>4985</v>
      </c>
      <c r="J387" s="28">
        <v>54411533</v>
      </c>
    </row>
    <row r="388" spans="1:10" x14ac:dyDescent="0.2">
      <c r="A388" s="1">
        <v>6400</v>
      </c>
      <c r="B388" s="1">
        <v>240</v>
      </c>
      <c r="C388" s="2" t="s">
        <v>163</v>
      </c>
      <c r="D388" s="2" t="s">
        <v>184</v>
      </c>
      <c r="E388" s="31" t="s">
        <v>20</v>
      </c>
      <c r="F388" s="2"/>
      <c r="G388" s="8">
        <f>9041*0.667</f>
        <v>6030.3470000000007</v>
      </c>
      <c r="H388" s="8">
        <f>9041-G388</f>
        <v>3010.6529999999993</v>
      </c>
      <c r="I388" s="10">
        <f t="shared" si="14"/>
        <v>9041</v>
      </c>
      <c r="J388" s="28">
        <v>54411533</v>
      </c>
    </row>
    <row r="389" spans="1:10" x14ac:dyDescent="0.2">
      <c r="A389" s="1">
        <v>5500</v>
      </c>
      <c r="B389" s="1">
        <v>144</v>
      </c>
      <c r="C389" s="2" t="s">
        <v>163</v>
      </c>
      <c r="D389" s="2" t="s">
        <v>164</v>
      </c>
      <c r="E389" s="31" t="s">
        <v>83</v>
      </c>
      <c r="F389" s="2">
        <v>31.35</v>
      </c>
      <c r="G389" s="8">
        <f>1726382*0.667</f>
        <v>1151496.794</v>
      </c>
      <c r="H389" s="8">
        <f>1726382-G389</f>
        <v>574885.20600000001</v>
      </c>
      <c r="I389" s="10">
        <f t="shared" si="14"/>
        <v>1726382</v>
      </c>
      <c r="J389" s="28">
        <v>54411534</v>
      </c>
    </row>
    <row r="390" spans="1:10" x14ac:dyDescent="0.2">
      <c r="A390" s="1">
        <v>5500</v>
      </c>
      <c r="B390" s="1">
        <v>210</v>
      </c>
      <c r="C390" s="2" t="s">
        <v>163</v>
      </c>
      <c r="D390" s="2" t="s">
        <v>164</v>
      </c>
      <c r="E390" s="31" t="s">
        <v>15</v>
      </c>
      <c r="F390" s="2"/>
      <c r="G390" s="8">
        <f>205267*0.667</f>
        <v>136913.08900000001</v>
      </c>
      <c r="H390" s="8">
        <f>205267-G390</f>
        <v>68353.910999999993</v>
      </c>
      <c r="I390" s="10">
        <f t="shared" si="14"/>
        <v>205267</v>
      </c>
      <c r="J390" s="28">
        <v>54411534</v>
      </c>
    </row>
    <row r="391" spans="1:10" x14ac:dyDescent="0.2">
      <c r="A391" s="1">
        <v>5500</v>
      </c>
      <c r="B391" s="1">
        <v>220</v>
      </c>
      <c r="C391" s="2" t="s">
        <v>163</v>
      </c>
      <c r="D391" s="2" t="s">
        <v>164</v>
      </c>
      <c r="E391" s="31" t="s">
        <v>16</v>
      </c>
      <c r="F391" s="2"/>
      <c r="G391" s="8">
        <f>107036*0.667</f>
        <v>71393.012000000002</v>
      </c>
      <c r="H391" s="8">
        <f>107036-G391</f>
        <v>35642.987999999998</v>
      </c>
      <c r="I391" s="10">
        <f t="shared" si="14"/>
        <v>107036</v>
      </c>
      <c r="J391" s="28">
        <v>54411534</v>
      </c>
    </row>
    <row r="392" spans="1:10" x14ac:dyDescent="0.2">
      <c r="A392" s="1">
        <v>5500</v>
      </c>
      <c r="B392" s="1">
        <v>221</v>
      </c>
      <c r="C392" s="2" t="s">
        <v>163</v>
      </c>
      <c r="D392" s="2" t="s">
        <v>164</v>
      </c>
      <c r="E392" s="31" t="s">
        <v>17</v>
      </c>
      <c r="F392" s="2"/>
      <c r="G392" s="8">
        <f>25033*0.667</f>
        <v>16697.011000000002</v>
      </c>
      <c r="H392" s="8">
        <f>25033-G392</f>
        <v>8335.9889999999978</v>
      </c>
      <c r="I392" s="10">
        <f t="shared" si="14"/>
        <v>25033</v>
      </c>
      <c r="J392" s="28">
        <v>54411534</v>
      </c>
    </row>
    <row r="393" spans="1:10" x14ac:dyDescent="0.2">
      <c r="A393" s="1">
        <v>5500</v>
      </c>
      <c r="B393" s="1">
        <v>232</v>
      </c>
      <c r="C393" s="2" t="s">
        <v>163</v>
      </c>
      <c r="D393" s="2" t="s">
        <v>164</v>
      </c>
      <c r="E393" s="31" t="s">
        <v>18</v>
      </c>
      <c r="F393" s="2"/>
      <c r="G393" s="8">
        <f>326573*0.667</f>
        <v>217824.19100000002</v>
      </c>
      <c r="H393" s="8">
        <f>326573-G393</f>
        <v>108748.80899999998</v>
      </c>
      <c r="I393" s="10">
        <f t="shared" si="14"/>
        <v>326573</v>
      </c>
      <c r="J393" s="28">
        <v>54411534</v>
      </c>
    </row>
    <row r="394" spans="1:10" x14ac:dyDescent="0.2">
      <c r="A394" s="1">
        <v>5500</v>
      </c>
      <c r="B394" s="1">
        <v>240</v>
      </c>
      <c r="C394" s="2" t="s">
        <v>163</v>
      </c>
      <c r="D394" s="2" t="s">
        <v>164</v>
      </c>
      <c r="E394" s="31" t="s">
        <v>20</v>
      </c>
      <c r="F394" s="2"/>
      <c r="G394" s="8">
        <f>45404*0.667</f>
        <v>30284.468000000001</v>
      </c>
      <c r="H394" s="8">
        <f>45404-G394</f>
        <v>15119.531999999999</v>
      </c>
      <c r="I394" s="10">
        <f t="shared" si="14"/>
        <v>45404</v>
      </c>
      <c r="J394" s="28">
        <v>54411534</v>
      </c>
    </row>
    <row r="395" spans="1:10" x14ac:dyDescent="0.2">
      <c r="A395" s="1">
        <v>5500</v>
      </c>
      <c r="B395" s="1">
        <v>150</v>
      </c>
      <c r="C395" s="2" t="s">
        <v>163</v>
      </c>
      <c r="D395" s="2" t="s">
        <v>164</v>
      </c>
      <c r="E395" s="31" t="s">
        <v>80</v>
      </c>
      <c r="F395" s="2">
        <v>13.46</v>
      </c>
      <c r="G395" s="8">
        <f>382157*0.667</f>
        <v>254898.71900000001</v>
      </c>
      <c r="H395" s="8">
        <f>382157-G395</f>
        <v>127258.28099999999</v>
      </c>
      <c r="I395" s="10">
        <f t="shared" si="14"/>
        <v>382157</v>
      </c>
      <c r="J395" s="28">
        <v>54411534</v>
      </c>
    </row>
    <row r="396" spans="1:10" x14ac:dyDescent="0.2">
      <c r="A396" s="1">
        <v>5500</v>
      </c>
      <c r="B396" s="1">
        <v>210</v>
      </c>
      <c r="C396" s="2" t="s">
        <v>163</v>
      </c>
      <c r="D396" s="2" t="s">
        <v>164</v>
      </c>
      <c r="E396" s="31" t="s">
        <v>15</v>
      </c>
      <c r="F396" s="2"/>
      <c r="G396" s="8">
        <f>45438*0.667</f>
        <v>30307.146000000001</v>
      </c>
      <c r="H396" s="8">
        <f>45438-G396</f>
        <v>15130.853999999999</v>
      </c>
      <c r="I396" s="10">
        <f t="shared" si="14"/>
        <v>45438</v>
      </c>
      <c r="J396" s="28">
        <v>54411534</v>
      </c>
    </row>
    <row r="397" spans="1:10" x14ac:dyDescent="0.2">
      <c r="A397" s="1">
        <v>5500</v>
      </c>
      <c r="B397" s="1">
        <v>220</v>
      </c>
      <c r="C397" s="2" t="s">
        <v>163</v>
      </c>
      <c r="D397" s="2" t="s">
        <v>164</v>
      </c>
      <c r="E397" s="31" t="s">
        <v>16</v>
      </c>
      <c r="F397" s="2"/>
      <c r="G397" s="8">
        <f>23694*0.667</f>
        <v>15803.898000000001</v>
      </c>
      <c r="H397" s="8">
        <f>23694-G397</f>
        <v>7890.101999999999</v>
      </c>
      <c r="I397" s="10">
        <f t="shared" si="14"/>
        <v>23694</v>
      </c>
      <c r="J397" s="28">
        <v>54411534</v>
      </c>
    </row>
    <row r="398" spans="1:10" x14ac:dyDescent="0.2">
      <c r="A398" s="1">
        <v>5500</v>
      </c>
      <c r="B398" s="1">
        <v>221</v>
      </c>
      <c r="C398" s="2" t="s">
        <v>163</v>
      </c>
      <c r="D398" s="2" t="s">
        <v>164</v>
      </c>
      <c r="E398" s="31" t="s">
        <v>17</v>
      </c>
      <c r="F398" s="2"/>
      <c r="G398" s="8">
        <f>5541*0.667</f>
        <v>3695.8470000000002</v>
      </c>
      <c r="H398" s="8">
        <f>5541-G398</f>
        <v>1845.1529999999998</v>
      </c>
      <c r="I398" s="10">
        <f t="shared" si="14"/>
        <v>5541</v>
      </c>
      <c r="J398" s="28">
        <v>54411534</v>
      </c>
    </row>
    <row r="399" spans="1:10" x14ac:dyDescent="0.2">
      <c r="A399" s="1">
        <v>5500</v>
      </c>
      <c r="B399" s="1">
        <v>240</v>
      </c>
      <c r="C399" s="2" t="s">
        <v>163</v>
      </c>
      <c r="D399" s="2" t="s">
        <v>164</v>
      </c>
      <c r="E399" s="31" t="s">
        <v>20</v>
      </c>
      <c r="F399" s="2"/>
      <c r="G399" s="8">
        <f>10051*0.667</f>
        <v>6704.0170000000007</v>
      </c>
      <c r="H399" s="8">
        <f>10051-G399</f>
        <v>3346.9829999999993</v>
      </c>
      <c r="I399" s="10">
        <f t="shared" si="14"/>
        <v>10051</v>
      </c>
      <c r="J399" s="28">
        <v>54411534</v>
      </c>
    </row>
    <row r="400" spans="1:10" x14ac:dyDescent="0.2">
      <c r="A400" s="1">
        <v>5500</v>
      </c>
      <c r="B400" s="1">
        <v>510</v>
      </c>
      <c r="C400" s="2" t="s">
        <v>163</v>
      </c>
      <c r="D400" s="2" t="s">
        <v>164</v>
      </c>
      <c r="E400" s="31" t="s">
        <v>81</v>
      </c>
      <c r="F400" s="2"/>
      <c r="G400" s="8">
        <f>680642*0.667</f>
        <v>453988.21400000004</v>
      </c>
      <c r="H400" s="8">
        <f>680642-G400</f>
        <v>226653.78599999996</v>
      </c>
      <c r="I400" s="10">
        <f t="shared" si="14"/>
        <v>680642</v>
      </c>
      <c r="J400" s="28">
        <v>54411534</v>
      </c>
    </row>
    <row r="401" spans="1:13" ht="28" x14ac:dyDescent="0.2">
      <c r="A401" s="1">
        <v>5500</v>
      </c>
      <c r="B401" s="1">
        <v>642</v>
      </c>
      <c r="C401" s="2" t="s">
        <v>163</v>
      </c>
      <c r="D401" s="2" t="s">
        <v>164</v>
      </c>
      <c r="E401" s="31" t="s">
        <v>206</v>
      </c>
      <c r="F401" s="2"/>
      <c r="G401" s="8">
        <f>615006*0.667</f>
        <v>410209.00200000004</v>
      </c>
      <c r="H401" s="8">
        <f>615006-G401</f>
        <v>204796.99799999996</v>
      </c>
      <c r="I401" s="10">
        <f t="shared" si="14"/>
        <v>615006</v>
      </c>
      <c r="J401" s="28">
        <v>54411534</v>
      </c>
    </row>
    <row r="402" spans="1:13" ht="28" x14ac:dyDescent="0.2">
      <c r="A402" s="1">
        <v>5500</v>
      </c>
      <c r="B402" s="1">
        <v>644</v>
      </c>
      <c r="C402" s="2" t="s">
        <v>163</v>
      </c>
      <c r="D402" s="2" t="s">
        <v>164</v>
      </c>
      <c r="E402" s="31" t="s">
        <v>207</v>
      </c>
      <c r="F402" s="2"/>
      <c r="G402" s="8">
        <f>45750*0.667</f>
        <v>30515.25</v>
      </c>
      <c r="H402" s="8">
        <f>45750-G402</f>
        <v>15234.75</v>
      </c>
      <c r="I402" s="10">
        <f t="shared" si="14"/>
        <v>45750</v>
      </c>
      <c r="J402" s="28">
        <v>54411534</v>
      </c>
    </row>
    <row r="403" spans="1:13" x14ac:dyDescent="0.2">
      <c r="A403" s="1">
        <v>5500</v>
      </c>
      <c r="B403" s="1">
        <v>369</v>
      </c>
      <c r="C403" s="2" t="s">
        <v>163</v>
      </c>
      <c r="D403" s="2" t="s">
        <v>164</v>
      </c>
      <c r="E403" s="31" t="s">
        <v>82</v>
      </c>
      <c r="F403" s="2"/>
      <c r="G403" s="8">
        <f>256026*0.667</f>
        <v>170769.342</v>
      </c>
      <c r="H403" s="8">
        <f>256026-G403</f>
        <v>85256.657999999996</v>
      </c>
      <c r="I403" s="10">
        <f t="shared" si="14"/>
        <v>256026</v>
      </c>
      <c r="J403" s="28">
        <v>54411534</v>
      </c>
    </row>
    <row r="404" spans="1:13" ht="28" x14ac:dyDescent="0.2">
      <c r="A404" s="1">
        <v>7200</v>
      </c>
      <c r="B404" s="1">
        <v>792</v>
      </c>
      <c r="C404" s="2" t="s">
        <v>228</v>
      </c>
      <c r="D404" s="2" t="s">
        <v>140</v>
      </c>
      <c r="E404" s="31" t="s">
        <v>76</v>
      </c>
      <c r="F404" s="2"/>
      <c r="G404" s="8">
        <f>31919853*0.667</f>
        <v>21290541.951000001</v>
      </c>
      <c r="H404" s="9">
        <f>31919853-G404</f>
        <v>10629311.048999999</v>
      </c>
      <c r="I404" s="10">
        <f t="shared" si="14"/>
        <v>31919853</v>
      </c>
      <c r="J404" s="28">
        <v>54410000</v>
      </c>
    </row>
    <row r="405" spans="1:13" ht="28" x14ac:dyDescent="0.2">
      <c r="A405" s="7">
        <v>7500</v>
      </c>
      <c r="B405" s="7">
        <v>134</v>
      </c>
      <c r="C405" s="6" t="s">
        <v>228</v>
      </c>
      <c r="D405" s="6" t="s">
        <v>229</v>
      </c>
      <c r="E405" s="32" t="s">
        <v>116</v>
      </c>
      <c r="F405" s="6">
        <v>1</v>
      </c>
      <c r="G405" s="9">
        <f>(74670*3)*0.667</f>
        <v>149414.67000000001</v>
      </c>
      <c r="H405" s="9">
        <f>(74670*3)-G405</f>
        <v>74595.329999999987</v>
      </c>
      <c r="I405" s="10">
        <f t="shared" ref="I405:I411" si="15">G405+H405</f>
        <v>224010</v>
      </c>
      <c r="J405" s="29">
        <v>54411572</v>
      </c>
      <c r="K405" s="39"/>
    </row>
    <row r="406" spans="1:13" ht="28" x14ac:dyDescent="0.2">
      <c r="A406" s="7">
        <v>7500</v>
      </c>
      <c r="B406" s="7">
        <v>126</v>
      </c>
      <c r="C406" s="6" t="s">
        <v>228</v>
      </c>
      <c r="D406" s="6" t="s">
        <v>229</v>
      </c>
      <c r="E406" s="32" t="s">
        <v>111</v>
      </c>
      <c r="F406" s="6">
        <v>1</v>
      </c>
      <c r="G406" s="9">
        <f>(70141*3)*0.667</f>
        <v>140352.141</v>
      </c>
      <c r="H406" s="9">
        <f>(70141*3)-G406</f>
        <v>70070.858999999997</v>
      </c>
      <c r="I406" s="10">
        <f t="shared" si="15"/>
        <v>210423</v>
      </c>
      <c r="J406" s="29">
        <v>54411572</v>
      </c>
      <c r="K406" s="39"/>
    </row>
    <row r="407" spans="1:13" ht="18.75" customHeight="1" x14ac:dyDescent="0.2">
      <c r="A407" s="1">
        <v>7500</v>
      </c>
      <c r="B407" s="1">
        <v>210</v>
      </c>
      <c r="C407" s="2" t="s">
        <v>228</v>
      </c>
      <c r="D407" s="2" t="s">
        <v>229</v>
      </c>
      <c r="E407" s="31" t="s">
        <v>15</v>
      </c>
      <c r="F407" s="2"/>
      <c r="G407" s="8">
        <f>51654*0.667</f>
        <v>34453.218000000001</v>
      </c>
      <c r="H407" s="8">
        <f>51654-G407</f>
        <v>17200.781999999999</v>
      </c>
      <c r="I407" s="10">
        <f t="shared" si="15"/>
        <v>51654</v>
      </c>
      <c r="J407" s="28">
        <v>54411572</v>
      </c>
    </row>
    <row r="408" spans="1:13" ht="18.75" customHeight="1" x14ac:dyDescent="0.2">
      <c r="A408" s="1">
        <v>7500</v>
      </c>
      <c r="B408" s="1">
        <v>220</v>
      </c>
      <c r="C408" s="2" t="s">
        <v>228</v>
      </c>
      <c r="D408" s="2" t="s">
        <v>229</v>
      </c>
      <c r="E408" s="31" t="s">
        <v>16</v>
      </c>
      <c r="F408" s="2"/>
      <c r="G408" s="8">
        <f>26937*0.667</f>
        <v>17966.978999999999</v>
      </c>
      <c r="H408" s="8">
        <f>26937-G408</f>
        <v>8970.0210000000006</v>
      </c>
      <c r="I408" s="10">
        <f t="shared" si="15"/>
        <v>26937</v>
      </c>
      <c r="J408" s="28">
        <v>54411572</v>
      </c>
    </row>
    <row r="409" spans="1:13" ht="18.75" customHeight="1" x14ac:dyDescent="0.2">
      <c r="A409" s="1">
        <v>7500</v>
      </c>
      <c r="B409" s="1">
        <v>221</v>
      </c>
      <c r="C409" s="2" t="s">
        <v>228</v>
      </c>
      <c r="D409" s="2" t="s">
        <v>229</v>
      </c>
      <c r="E409" s="31" t="s">
        <v>17</v>
      </c>
      <c r="F409" s="2"/>
      <c r="G409" s="8">
        <f>6300*0.667</f>
        <v>4202.1000000000004</v>
      </c>
      <c r="H409" s="8">
        <f>6300-G409</f>
        <v>2097.8999999999996</v>
      </c>
      <c r="I409" s="10">
        <f t="shared" si="15"/>
        <v>6300</v>
      </c>
      <c r="J409" s="28">
        <v>54411572</v>
      </c>
    </row>
    <row r="410" spans="1:13" ht="18.75" customHeight="1" x14ac:dyDescent="0.2">
      <c r="A410" s="1">
        <v>7500</v>
      </c>
      <c r="B410" s="1">
        <v>232</v>
      </c>
      <c r="C410" s="2" t="s">
        <v>228</v>
      </c>
      <c r="D410" s="2" t="s">
        <v>229</v>
      </c>
      <c r="E410" s="31" t="s">
        <v>102</v>
      </c>
      <c r="F410" s="2"/>
      <c r="G410" s="8">
        <f>62502*0.667</f>
        <v>41688.834000000003</v>
      </c>
      <c r="H410" s="8">
        <f>62502-G410</f>
        <v>20813.165999999997</v>
      </c>
      <c r="I410" s="10">
        <f t="shared" si="15"/>
        <v>62502</v>
      </c>
      <c r="J410" s="28">
        <v>54411572</v>
      </c>
    </row>
    <row r="411" spans="1:13" ht="18.75" customHeight="1" x14ac:dyDescent="0.2">
      <c r="A411" s="1">
        <v>7500</v>
      </c>
      <c r="B411" s="1">
        <v>240</v>
      </c>
      <c r="C411" s="2" t="s">
        <v>228</v>
      </c>
      <c r="D411" s="2" t="s">
        <v>229</v>
      </c>
      <c r="E411" s="31" t="s">
        <v>20</v>
      </c>
      <c r="F411" s="2"/>
      <c r="G411" s="8">
        <f>11427*0.667</f>
        <v>7621.8090000000002</v>
      </c>
      <c r="H411" s="8">
        <f>11427-G411</f>
        <v>3805.1909999999998</v>
      </c>
      <c r="I411" s="10">
        <f t="shared" si="15"/>
        <v>11427</v>
      </c>
      <c r="J411" s="28">
        <v>54411572</v>
      </c>
    </row>
    <row r="412" spans="1:13" ht="43" x14ac:dyDescent="0.2">
      <c r="A412" s="1">
        <v>5100</v>
      </c>
      <c r="B412" s="1">
        <v>394</v>
      </c>
      <c r="C412" s="2" t="s">
        <v>231</v>
      </c>
      <c r="D412" s="2"/>
      <c r="E412" s="31" t="s">
        <v>109</v>
      </c>
      <c r="F412" s="2"/>
      <c r="G412" s="8">
        <f>(238477271*0.2)*0.667</f>
        <v>31812867.951400004</v>
      </c>
      <c r="H412" s="9">
        <f>47695454-G412</f>
        <v>15882586.048599996</v>
      </c>
      <c r="I412" s="10">
        <f t="shared" ref="I412:I413" si="16">G412+H412</f>
        <v>47695454</v>
      </c>
      <c r="J412" s="28">
        <v>54410084</v>
      </c>
    </row>
    <row r="413" spans="1:13" ht="43" x14ac:dyDescent="0.2">
      <c r="A413" s="7">
        <v>5100</v>
      </c>
      <c r="B413" s="7">
        <v>394</v>
      </c>
      <c r="C413" s="2" t="s">
        <v>230</v>
      </c>
      <c r="D413" s="2"/>
      <c r="E413" s="31" t="s">
        <v>110</v>
      </c>
      <c r="F413" s="2"/>
      <c r="G413" s="8">
        <f>(238477271*0.8)*0.667</f>
        <v>127251471.80560002</v>
      </c>
      <c r="H413" s="9">
        <f>190781817-G413</f>
        <v>63530345.194399983</v>
      </c>
      <c r="I413" s="10">
        <f t="shared" si="16"/>
        <v>190781817</v>
      </c>
      <c r="J413" s="28">
        <v>54410084</v>
      </c>
    </row>
    <row r="414" spans="1:13" x14ac:dyDescent="0.2">
      <c r="A414" s="48" t="s">
        <v>5</v>
      </c>
      <c r="B414" s="48"/>
      <c r="C414" s="48"/>
      <c r="D414" s="48"/>
      <c r="E414" s="48"/>
      <c r="F414" s="48"/>
      <c r="G414" s="41">
        <f>SUM(G10:G413)</f>
        <v>676996078.09800005</v>
      </c>
      <c r="H414" s="41">
        <f>SUM(H10:H413)</f>
        <v>376349886.90199995</v>
      </c>
      <c r="I414" s="41">
        <f>SUM(I10:I413)</f>
        <v>1053345965</v>
      </c>
      <c r="J414" s="22"/>
      <c r="K414" s="42"/>
    </row>
    <row r="415" spans="1:13" x14ac:dyDescent="0.2">
      <c r="A415" s="22"/>
      <c r="B415" s="22"/>
      <c r="C415" s="22"/>
      <c r="D415" s="22"/>
      <c r="E415" s="22"/>
      <c r="F415" s="22"/>
      <c r="G415" s="22"/>
      <c r="H415" s="25"/>
      <c r="I415" s="26"/>
      <c r="J415" s="27"/>
      <c r="K415" s="23"/>
      <c r="L415" s="24"/>
      <c r="M415" s="24"/>
    </row>
    <row r="416" spans="1:13" x14ac:dyDescent="0.2">
      <c r="A416" s="49" t="s">
        <v>14</v>
      </c>
      <c r="B416" s="49"/>
      <c r="C416" s="49"/>
      <c r="H416" s="3"/>
    </row>
    <row r="417" spans="1:8" x14ac:dyDescent="0.2">
      <c r="A417" s="5"/>
      <c r="B417" s="5"/>
      <c r="C417" s="4"/>
      <c r="D417" s="45" t="s">
        <v>6</v>
      </c>
      <c r="E417" s="45"/>
      <c r="F417" s="5"/>
      <c r="G417" s="5"/>
      <c r="H417" s="3"/>
    </row>
    <row r="419" spans="1:8" ht="31.5" customHeight="1" x14ac:dyDescent="0.2">
      <c r="A419" s="44" t="s">
        <v>9</v>
      </c>
      <c r="B419" s="44"/>
      <c r="C419" s="44"/>
      <c r="D419" s="44"/>
      <c r="E419" s="44"/>
      <c r="F419" s="44"/>
      <c r="G419" s="44"/>
    </row>
  </sheetData>
  <autoFilter ref="A9:J417" xr:uid="{00000000-0009-0000-0000-000000000000}"/>
  <mergeCells count="11">
    <mergeCell ref="A419:G419"/>
    <mergeCell ref="D417:E417"/>
    <mergeCell ref="H1:I3"/>
    <mergeCell ref="A414:F414"/>
    <mergeCell ref="A416:C416"/>
    <mergeCell ref="A7:I7"/>
    <mergeCell ref="A6:I6"/>
    <mergeCell ref="A2:D2"/>
    <mergeCell ref="A1:D1"/>
    <mergeCell ref="A4:D4"/>
    <mergeCell ref="A3:D3"/>
  </mergeCells>
  <pageMargins left="0.7" right="0.7" top="0.75" bottom="0.75" header="0.3" footer="0.3"/>
  <pageSetup scale="58"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5E185CC864CA0488BD65414DBFC3208" ma:contentTypeVersion="27" ma:contentTypeDescription="Create a new document." ma:contentTypeScope="" ma:versionID="c0ce5f7ccb2aae042f05c1180c2f4c79">
  <xsd:schema xmlns:xsd="http://www.w3.org/2001/XMLSchema" xmlns:xs="http://www.w3.org/2001/XMLSchema" xmlns:p="http://schemas.microsoft.com/office/2006/metadata/properties" xmlns:ns3="6175c4d1-a53c-410c-92b6-74bcb683b4aa" xmlns:ns4="ef373230-e173-4e6a-8f42-59bce9da1dde" targetNamespace="http://schemas.microsoft.com/office/2006/metadata/properties" ma:root="true" ma:fieldsID="8731302c6ba4d8906972d07fa2c13ff8" ns3:_="" ns4:_="">
    <xsd:import namespace="6175c4d1-a53c-410c-92b6-74bcb683b4aa"/>
    <xsd:import namespace="ef373230-e173-4e6a-8f42-59bce9da1dde"/>
    <xsd:element name="properties">
      <xsd:complexType>
        <xsd:sequence>
          <xsd:element name="documentManagement">
            <xsd:complexType>
              <xsd:all>
                <xsd:element ref="ns3:NotebookType" minOccurs="0"/>
                <xsd:element ref="ns3:FolderType" minOccurs="0"/>
                <xsd:element ref="ns3:Owner" minOccurs="0"/>
                <xsd:element ref="ns3:DefaultSectionNames" minOccurs="0"/>
                <xsd:element ref="ns3:Templates" minOccurs="0"/>
                <xsd:element ref="ns3:CultureName" minOccurs="0"/>
                <xsd:element ref="ns3:AppVersion" minOccurs="0"/>
                <xsd:element ref="ns3:Leaders" minOccurs="0"/>
                <xsd:element ref="ns3:Members" minOccurs="0"/>
                <xsd:element ref="ns3:Member_Group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4:SharedWithUsers" minOccurs="0"/>
                <xsd:element ref="ns4:SharedWithDetails" minOccurs="0"/>
                <xsd:element ref="ns4:SharingHintHash"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75c4d1-a53c-410c-92b6-74bcb683b4aa" elementFormDefault="qualified">
    <xsd:import namespace="http://schemas.microsoft.com/office/2006/documentManagement/types"/>
    <xsd:import namespace="http://schemas.microsoft.com/office/infopath/2007/PartnerControls"/>
    <xsd:element name="NotebookType" ma:index="8" nillable="true" ma:displayName="Notebook Type" ma:internalName="NotebookType">
      <xsd:simpleType>
        <xsd:restriction base="dms:Text"/>
      </xsd:simpleType>
    </xsd:element>
    <xsd:element name="FolderType" ma:index="9" nillable="true" ma:displayName="Folder Type" ma:internalName="FolderType">
      <xsd:simpleType>
        <xsd:restriction base="dms:Text"/>
      </xsd:simpleType>
    </xsd:element>
    <xsd:element name="Owner" ma:index="10"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faultSectionNames" ma:index="11" nillable="true" ma:displayName="Default Section Names" ma:internalName="DefaultSectionNames">
      <xsd:simpleType>
        <xsd:restriction base="dms:Note">
          <xsd:maxLength value="255"/>
        </xsd:restriction>
      </xsd:simpleType>
    </xsd:element>
    <xsd:element name="Templates" ma:index="12" nillable="true" ma:displayName="Templates" ma:internalName="Templates">
      <xsd:simpleType>
        <xsd:restriction base="dms:Note">
          <xsd:maxLength value="255"/>
        </xsd:restriction>
      </xsd:simpleType>
    </xsd:element>
    <xsd:element name="CultureName" ma:index="13" nillable="true" ma:displayName="Culture Name" ma:internalName="CultureName">
      <xsd:simpleType>
        <xsd:restriction base="dms:Text"/>
      </xsd:simpleType>
    </xsd:element>
    <xsd:element name="AppVersion" ma:index="14" nillable="true" ma:displayName="App Version" ma:internalName="AppVersion">
      <xsd:simpleType>
        <xsd:restriction base="dms:Text"/>
      </xsd:simpleType>
    </xsd:element>
    <xsd:element name="Leaders" ma:index="15"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16"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17"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Leaders" ma:index="18" nillable="true" ma:displayName="Invited Leaders" ma:internalName="Invited_Leaders">
      <xsd:simpleType>
        <xsd:restriction base="dms:Note">
          <xsd:maxLength value="255"/>
        </xsd:restriction>
      </xsd:simpleType>
    </xsd:element>
    <xsd:element name="Invited_Members" ma:index="19" nillable="true" ma:displayName="Invited Members" ma:internalName="Invited_Members">
      <xsd:simpleType>
        <xsd:restriction base="dms:Note">
          <xsd:maxLength value="255"/>
        </xsd:restriction>
      </xsd:simpleType>
    </xsd:element>
    <xsd:element name="Self_Registration_Enabled" ma:index="20" nillable="true" ma:displayName="Self Registration Enabled" ma:internalName="Self_Registration_Enabled">
      <xsd:simpleType>
        <xsd:restriction base="dms:Boolean"/>
      </xsd:simpleType>
    </xsd:element>
    <xsd:element name="Has_Leaders_Only_SectionGroup" ma:index="21" nillable="true" ma:displayName="Has Leaders Only SectionGroup" ma:internalName="Has_Leaders_Only_SectionGroup">
      <xsd:simpleType>
        <xsd:restriction base="dms:Boolean"/>
      </xsd:simpleType>
    </xsd:element>
    <xsd:element name="Is_Collaboration_Space_Locked" ma:index="22" nillable="true" ma:displayName="Is Collaboration Space Locked" ma:internalName="Is_Collaboration_Space_Locked">
      <xsd:simpleType>
        <xsd:restriction base="dms:Boolean"/>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f373230-e173-4e6a-8f42-59bce9da1dde" elementFormDefault="qualified">
    <xsd:import namespace="http://schemas.microsoft.com/office/2006/documentManagement/types"/>
    <xsd:import namespace="http://schemas.microsoft.com/office/infopath/2007/PartnerControls"/>
    <xsd:element name="SharedWithUsers" ma:index="2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description="" ma:internalName="SharedWithDetails" ma:readOnly="true">
      <xsd:simpleType>
        <xsd:restriction base="dms:Note">
          <xsd:maxLength value="255"/>
        </xsd:restriction>
      </xsd:simpleType>
    </xsd:element>
    <xsd:element name="SharingHintHash" ma:index="25"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lderType xmlns="6175c4d1-a53c-410c-92b6-74bcb683b4aa" xsi:nil="true"/>
    <Invited_Members xmlns="6175c4d1-a53c-410c-92b6-74bcb683b4aa" xsi:nil="true"/>
    <CultureName xmlns="6175c4d1-a53c-410c-92b6-74bcb683b4aa" xsi:nil="true"/>
    <AppVersion xmlns="6175c4d1-a53c-410c-92b6-74bcb683b4aa" xsi:nil="true"/>
    <Owner xmlns="6175c4d1-a53c-410c-92b6-74bcb683b4aa">
      <UserInfo>
        <DisplayName/>
        <AccountId xsi:nil="true"/>
        <AccountType/>
      </UserInfo>
    </Owner>
    <Members xmlns="6175c4d1-a53c-410c-92b6-74bcb683b4aa">
      <UserInfo>
        <DisplayName/>
        <AccountId xsi:nil="true"/>
        <AccountType/>
      </UserInfo>
    </Members>
    <Member_Groups xmlns="6175c4d1-a53c-410c-92b6-74bcb683b4aa">
      <UserInfo>
        <DisplayName/>
        <AccountId xsi:nil="true"/>
        <AccountType/>
      </UserInfo>
    </Member_Groups>
    <Is_Collaboration_Space_Locked xmlns="6175c4d1-a53c-410c-92b6-74bcb683b4aa" xsi:nil="true"/>
    <Invited_Leaders xmlns="6175c4d1-a53c-410c-92b6-74bcb683b4aa" xsi:nil="true"/>
    <NotebookType xmlns="6175c4d1-a53c-410c-92b6-74bcb683b4aa" xsi:nil="true"/>
    <Has_Leaders_Only_SectionGroup xmlns="6175c4d1-a53c-410c-92b6-74bcb683b4aa" xsi:nil="true"/>
    <DefaultSectionNames xmlns="6175c4d1-a53c-410c-92b6-74bcb683b4aa" xsi:nil="true"/>
    <Leaders xmlns="6175c4d1-a53c-410c-92b6-74bcb683b4aa">
      <UserInfo>
        <DisplayName/>
        <AccountId xsi:nil="true"/>
        <AccountType/>
      </UserInfo>
    </Leaders>
    <Templates xmlns="6175c4d1-a53c-410c-92b6-74bcb683b4aa" xsi:nil="true"/>
    <Self_Registration_Enabled xmlns="6175c4d1-a53c-410c-92b6-74bcb683b4aa" xsi:nil="true"/>
  </documentManagement>
</p:properties>
</file>

<file path=customXml/itemProps1.xml><?xml version="1.0" encoding="utf-8"?>
<ds:datastoreItem xmlns:ds="http://schemas.openxmlformats.org/officeDocument/2006/customXml" ds:itemID="{A6D936F8-FE8D-4E19-8EA6-44E86565289D}">
  <ds:schemaRefs>
    <ds:schemaRef ds:uri="http://schemas.microsoft.com/sharepoint/v3/contenttype/forms"/>
  </ds:schemaRefs>
</ds:datastoreItem>
</file>

<file path=customXml/itemProps2.xml><?xml version="1.0" encoding="utf-8"?>
<ds:datastoreItem xmlns:ds="http://schemas.openxmlformats.org/officeDocument/2006/customXml" ds:itemID="{6006FDB2-0D82-4FE5-9A83-3FB95FCF7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75c4d1-a53c-410c-92b6-74bcb683b4aa"/>
    <ds:schemaRef ds:uri="ef373230-e173-4e6a-8f42-59bce9da1d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D9630B-119C-40F2-A3DA-70F1F5262772}">
  <ds:schemaRefs>
    <ds:schemaRef ds:uri="6175c4d1-a53c-410c-92b6-74bcb683b4aa"/>
    <ds:schemaRef ds:uri="ef373230-e173-4e6a-8f42-59bce9da1dde"/>
    <ds:schemaRef ds:uri="http://purl.org/dc/term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10</vt:i4>
      </vt:variant>
    </vt:vector>
  </HeadingPairs>
  <TitlesOfParts>
    <vt:vector size="11" baseType="lpstr">
      <vt:lpstr>130-22A175</vt:lpstr>
      <vt:lpstr>Account_Title</vt:lpstr>
      <vt:lpstr>Activity_Number</vt:lpstr>
      <vt:lpstr>Amount_for_1_3_allocation</vt:lpstr>
      <vt:lpstr>Amount_for_2_3_allocation</vt:lpstr>
      <vt:lpstr>FTE__Position</vt:lpstr>
      <vt:lpstr>Function</vt:lpstr>
      <vt:lpstr>Object</vt:lpstr>
      <vt:lpstr>'130-22A175'!Print_Titles</vt:lpstr>
      <vt:lpstr>Total_allocation</vt:lpstr>
      <vt:lpstr>Use_of__Funds_Number</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cp:lastPrinted>2022-01-04T18:56:31Z</cp:lastPrinted>
  <dcterms:created xsi:type="dcterms:W3CDTF">2021-06-09T18:28:06Z</dcterms:created>
  <dcterms:modified xsi:type="dcterms:W3CDTF">2022-04-11T17:47:40Z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