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47844481-1778-F94F-A91C-20BBF8AEBA81}" xr6:coauthVersionLast="47" xr6:coauthVersionMax="47" xr10:uidLastSave="{00000000-0000-0000-0000-000000000000}"/>
  <bookViews>
    <workbookView xWindow="0" yWindow="500" windowWidth="38400" windowHeight="19820" firstSheet="2" activeTab="2" xr2:uid="{00000000-000D-0000-FFFF-FFFF00000000}"/>
  </bookViews>
  <sheets>
    <sheet name="Sheet1" sheetId="1" r:id="rId1"/>
    <sheet name="Talbert update" sheetId="2" r:id="rId2"/>
    <sheet name="To Finance" sheetId="3" r:id="rId3"/>
    <sheet name="Sheet2" sheetId="4" r:id="rId4"/>
  </sheets>
  <definedNames>
    <definedName name="_xlnm._FilterDatabase" localSheetId="0" hidden="1">Sheet1!$A$1:$BC$407</definedName>
    <definedName name="_xlnm._FilterDatabase" localSheetId="1" hidden="1">'Talbert update'!$A$1:$BC$409</definedName>
    <definedName name="_xlnm._FilterDatabase" localSheetId="2" hidden="1">'To Finance'!$A$1:$M$414</definedName>
    <definedName name="Account_Title___Narrative">'To Finance'!$E$1</definedName>
    <definedName name="Activity_Number">'To Finance'!$D$1</definedName>
    <definedName name="Amount_for__1_3_allocation">'To Finance'!$H$1</definedName>
    <definedName name="Amount_for__2_3_allocation">'To Finance'!$G$1</definedName>
    <definedName name="FICA">Sheet2!$B$2</definedName>
    <definedName name="FTE_Position">'To Finance'!$F$1</definedName>
    <definedName name="Function">'To Finance'!$A$1</definedName>
    <definedName name="Health">Sheet2!$B$3</definedName>
    <definedName name="Life">Sheet2!$B$4</definedName>
    <definedName name="Medicare">Sheet2!$B$6</definedName>
    <definedName name="Object">'To Finance'!$B$1</definedName>
    <definedName name="Retirement">Sheet2!$B$1</definedName>
    <definedName name="Totals">'To Finance'!$J$1</definedName>
    <definedName name="Use_of_Funds_Number">'To Finance'!$C$1</definedName>
    <definedName name="Work_Comp">Sheet2!$B$5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1" i="3" l="1"/>
  <c r="J290" i="3" l="1"/>
  <c r="J257" i="3" l="1"/>
  <c r="J386" i="3"/>
  <c r="J177" i="3"/>
  <c r="J188" i="3"/>
  <c r="J187" i="3"/>
  <c r="J186" i="3"/>
  <c r="J185" i="3"/>
  <c r="I386" i="3" l="1"/>
  <c r="I262" i="3"/>
  <c r="I264" i="3"/>
  <c r="I261" i="3"/>
  <c r="I257" i="3"/>
  <c r="I188" i="3"/>
  <c r="I187" i="3"/>
  <c r="I186" i="3"/>
  <c r="I185" i="3"/>
  <c r="G184" i="3"/>
  <c r="H184" i="3"/>
  <c r="H185" i="3" l="1"/>
  <c r="H186" i="3"/>
  <c r="H187" i="3"/>
  <c r="H188" i="3"/>
  <c r="G185" i="3"/>
  <c r="G186" i="3"/>
  <c r="G187" i="3"/>
  <c r="G188" i="3"/>
  <c r="J385" i="3"/>
  <c r="J331" i="3"/>
  <c r="J266" i="3"/>
  <c r="J113" i="3"/>
  <c r="J12" i="3" l="1"/>
  <c r="J259" i="3"/>
  <c r="J4" i="3"/>
  <c r="J264" i="3" l="1"/>
  <c r="J262" i="3"/>
  <c r="J261" i="3"/>
  <c r="J10" i="3"/>
  <c r="J9" i="3"/>
  <c r="J8" i="3"/>
  <c r="J7" i="3"/>
  <c r="J6" i="3"/>
  <c r="J5" i="3"/>
  <c r="J52" i="3"/>
  <c r="J353" i="3"/>
  <c r="J366" i="3" s="1"/>
  <c r="J362" i="3" l="1"/>
  <c r="J367" i="3"/>
  <c r="J364" i="3"/>
  <c r="J365" i="3"/>
  <c r="J357" i="3"/>
  <c r="J160" i="3"/>
  <c r="J14" i="3"/>
  <c r="J39" i="3"/>
  <c r="J346" i="3"/>
  <c r="J277" i="3"/>
  <c r="J148" i="3"/>
  <c r="J147" i="3"/>
  <c r="J57" i="3"/>
  <c r="J50" i="3"/>
  <c r="J44" i="3"/>
  <c r="J43" i="3"/>
  <c r="J41" i="3"/>
  <c r="J16" i="3" l="1"/>
  <c r="J17" i="3"/>
  <c r="J19" i="3"/>
  <c r="J15" i="3"/>
  <c r="J20" i="3"/>
  <c r="J349" i="3"/>
  <c r="J352" i="3"/>
  <c r="J348" i="3"/>
  <c r="J347" i="3"/>
  <c r="J350" i="3"/>
  <c r="J351" i="3"/>
  <c r="J18" i="3"/>
  <c r="I277" i="3"/>
  <c r="I346" i="3"/>
  <c r="I249" i="3"/>
  <c r="I197" i="3"/>
  <c r="I196" i="3"/>
  <c r="I176" i="3"/>
  <c r="I172" i="3"/>
  <c r="I171" i="3"/>
  <c r="I170" i="3"/>
  <c r="I169" i="3"/>
  <c r="I163" i="3"/>
  <c r="I147" i="3"/>
  <c r="J149" i="3"/>
  <c r="H15" i="3"/>
  <c r="I5" i="3"/>
  <c r="I7" i="3"/>
  <c r="I10" i="3"/>
  <c r="I9" i="3"/>
  <c r="I8" i="3"/>
  <c r="I6" i="3"/>
  <c r="I352" i="3" l="1"/>
  <c r="G352" i="3" s="1"/>
  <c r="I153" i="3"/>
  <c r="G353" i="3"/>
  <c r="H5" i="3"/>
  <c r="H8" i="3"/>
  <c r="G9" i="3"/>
  <c r="G6" i="3"/>
  <c r="G10" i="3"/>
  <c r="H7" i="3"/>
  <c r="I347" i="3"/>
  <c r="I348" i="3"/>
  <c r="I349" i="3"/>
  <c r="I350" i="3"/>
  <c r="I351" i="3"/>
  <c r="I357" i="3"/>
  <c r="I362" i="3"/>
  <c r="I364" i="3"/>
  <c r="I365" i="3"/>
  <c r="I366" i="3"/>
  <c r="I367" i="3"/>
  <c r="H6" i="3"/>
  <c r="I150" i="3"/>
  <c r="H353" i="3"/>
  <c r="I154" i="3"/>
  <c r="I151" i="3"/>
  <c r="I152" i="3"/>
  <c r="I149" i="3"/>
  <c r="H9" i="3"/>
  <c r="H10" i="3"/>
  <c r="G16" i="3"/>
  <c r="H18" i="3"/>
  <c r="G18" i="3"/>
  <c r="H17" i="3"/>
  <c r="H16" i="3"/>
  <c r="G15" i="3"/>
  <c r="G17" i="3"/>
  <c r="G5" i="3"/>
  <c r="G7" i="3"/>
  <c r="G8" i="3"/>
  <c r="J387" i="3"/>
  <c r="J388" i="3"/>
  <c r="J383" i="3"/>
  <c r="J375" i="3"/>
  <c r="J373" i="3"/>
  <c r="J345" i="3"/>
  <c r="J344" i="3"/>
  <c r="J332" i="3"/>
  <c r="J330" i="3"/>
  <c r="J328" i="3"/>
  <c r="J327" i="3"/>
  <c r="J409" i="3"/>
  <c r="J326" i="3"/>
  <c r="J311" i="3"/>
  <c r="J309" i="3"/>
  <c r="J308" i="3"/>
  <c r="J307" i="3"/>
  <c r="J306" i="3"/>
  <c r="J300" i="3"/>
  <c r="J292" i="3"/>
  <c r="J279" i="3"/>
  <c r="J278" i="3"/>
  <c r="J276" i="3"/>
  <c r="J275" i="3"/>
  <c r="J268" i="3"/>
  <c r="J398" i="3"/>
  <c r="J267" i="3"/>
  <c r="J126" i="3"/>
  <c r="J221" i="3"/>
  <c r="J219" i="3"/>
  <c r="J218" i="3"/>
  <c r="J217" i="3"/>
  <c r="J215" i="3"/>
  <c r="J214" i="3"/>
  <c r="J204" i="3"/>
  <c r="J203" i="3"/>
  <c r="J201" i="3"/>
  <c r="J199" i="3"/>
  <c r="J189" i="3"/>
  <c r="J178" i="3"/>
  <c r="J170" i="3"/>
  <c r="J159" i="3"/>
  <c r="J156" i="3"/>
  <c r="J141" i="3"/>
  <c r="J154" i="3"/>
  <c r="J153" i="3"/>
  <c r="J152" i="3"/>
  <c r="J151" i="3"/>
  <c r="J150" i="3"/>
  <c r="J132" i="3"/>
  <c r="J127" i="3"/>
  <c r="J124" i="3"/>
  <c r="J115" i="3"/>
  <c r="J112" i="3"/>
  <c r="H352" i="3" l="1"/>
  <c r="J238" i="3"/>
  <c r="J239" i="3"/>
  <c r="J164" i="3"/>
  <c r="I229" i="3"/>
  <c r="J174" i="3"/>
  <c r="J193" i="3"/>
  <c r="J192" i="3"/>
  <c r="J196" i="3"/>
  <c r="J197" i="3"/>
  <c r="J191" i="3"/>
  <c r="J195" i="3"/>
  <c r="J247" i="3"/>
  <c r="J404" i="3"/>
  <c r="J361" i="3"/>
  <c r="J294" i="3"/>
  <c r="J381" i="3"/>
  <c r="J359" i="3"/>
  <c r="J252" i="3"/>
  <c r="J235" i="3"/>
  <c r="H349" i="3"/>
  <c r="H348" i="3"/>
  <c r="H351" i="3"/>
  <c r="G350" i="3"/>
  <c r="G347" i="3"/>
  <c r="G349" i="3"/>
  <c r="G351" i="3"/>
  <c r="H347" i="3"/>
  <c r="G348" i="3"/>
  <c r="H350" i="3"/>
  <c r="J166" i="3"/>
  <c r="J403" i="3"/>
  <c r="J407" i="3"/>
  <c r="J402" i="3"/>
  <c r="J406" i="3"/>
  <c r="J163" i="3"/>
  <c r="J176" i="3"/>
  <c r="J379" i="3"/>
  <c r="J120" i="3"/>
  <c r="J295" i="3"/>
  <c r="J171" i="3"/>
  <c r="J232" i="3"/>
  <c r="J356" i="3"/>
  <c r="J377" i="3"/>
  <c r="J229" i="3"/>
  <c r="J172" i="3"/>
  <c r="J240" i="3"/>
  <c r="J360" i="3"/>
  <c r="J378" i="3"/>
  <c r="J226" i="3"/>
  <c r="J230" i="3"/>
  <c r="J233" i="3"/>
  <c r="J237" i="3"/>
  <c r="J241" i="3"/>
  <c r="J245" i="3"/>
  <c r="J250" i="3"/>
  <c r="J254" i="3"/>
  <c r="J296" i="3"/>
  <c r="J355" i="3"/>
  <c r="J248" i="3"/>
  <c r="J118" i="3"/>
  <c r="J119" i="3"/>
  <c r="J165" i="3"/>
  <c r="J169" i="3"/>
  <c r="J173" i="3"/>
  <c r="J223" i="3"/>
  <c r="J227" i="3"/>
  <c r="J234" i="3"/>
  <c r="J242" i="3"/>
  <c r="J246" i="3"/>
  <c r="J251" i="3"/>
  <c r="J298" i="3"/>
  <c r="J358" i="3"/>
  <c r="J122" i="3"/>
  <c r="J161" i="3"/>
  <c r="J225" i="3"/>
  <c r="J236" i="3"/>
  <c r="J244" i="3"/>
  <c r="J253" i="3"/>
  <c r="J167" i="3"/>
  <c r="J162" i="3"/>
  <c r="I195" i="3"/>
  <c r="J224" i="3"/>
  <c r="J228" i="3"/>
  <c r="J231" i="3"/>
  <c r="J243" i="3"/>
  <c r="H19" i="3"/>
  <c r="G19" i="3"/>
  <c r="J95" i="3"/>
  <c r="J93" i="3"/>
  <c r="J86" i="3"/>
  <c r="J85" i="3"/>
  <c r="J84" i="3"/>
  <c r="J82" i="3"/>
  <c r="J81" i="3"/>
  <c r="J80" i="3"/>
  <c r="J56" i="3"/>
  <c r="J55" i="3"/>
  <c r="J53" i="3"/>
  <c r="J51" i="3"/>
  <c r="J47" i="3"/>
  <c r="J45" i="3"/>
  <c r="J2" i="3"/>
  <c r="I39" i="3"/>
  <c r="J11" i="3"/>
  <c r="J70" i="3" l="1"/>
  <c r="J38" i="3"/>
  <c r="J35" i="3"/>
  <c r="J22" i="3"/>
  <c r="J68" i="3"/>
  <c r="J249" i="3"/>
  <c r="J60" i="3"/>
  <c r="J64" i="3"/>
  <c r="J69" i="3"/>
  <c r="J27" i="3"/>
  <c r="J32" i="3"/>
  <c r="J31" i="3"/>
  <c r="J37" i="3"/>
  <c r="J25" i="3"/>
  <c r="J107" i="3"/>
  <c r="J98" i="3"/>
  <c r="J109" i="3"/>
  <c r="J105" i="3"/>
  <c r="J101" i="3"/>
  <c r="J100" i="3"/>
  <c r="J21" i="3"/>
  <c r="J26" i="3"/>
  <c r="J33" i="3"/>
  <c r="J61" i="3"/>
  <c r="J65" i="3"/>
  <c r="J108" i="3"/>
  <c r="J103" i="3"/>
  <c r="J99" i="3"/>
  <c r="J106" i="3"/>
  <c r="J102" i="3"/>
  <c r="J110" i="3"/>
  <c r="J23" i="3"/>
  <c r="J28" i="3"/>
  <c r="J34" i="3"/>
  <c r="J62" i="3"/>
  <c r="J67" i="3"/>
  <c r="J24" i="3"/>
  <c r="J29" i="3"/>
  <c r="J36" i="3"/>
  <c r="J63" i="3"/>
  <c r="G20" i="3"/>
  <c r="H20" i="3"/>
  <c r="H128" i="3"/>
  <c r="J128" i="3" s="1"/>
  <c r="H410" i="3"/>
  <c r="G410" i="3"/>
  <c r="H409" i="3"/>
  <c r="G409" i="3"/>
  <c r="I408" i="3"/>
  <c r="H407" i="3"/>
  <c r="G407" i="3"/>
  <c r="H406" i="3"/>
  <c r="G406" i="3"/>
  <c r="I405" i="3"/>
  <c r="H404" i="3"/>
  <c r="G404" i="3"/>
  <c r="H403" i="3"/>
  <c r="G403" i="3"/>
  <c r="H402" i="3"/>
  <c r="G402" i="3"/>
  <c r="I401" i="3"/>
  <c r="I400" i="3"/>
  <c r="I399" i="3"/>
  <c r="H398" i="3"/>
  <c r="G398" i="3"/>
  <c r="I397" i="3"/>
  <c r="G397" i="3" s="1"/>
  <c r="I396" i="3"/>
  <c r="I395" i="3"/>
  <c r="I394" i="3"/>
  <c r="I393" i="3"/>
  <c r="I392" i="3"/>
  <c r="I391" i="3"/>
  <c r="I390" i="3"/>
  <c r="I389" i="3"/>
  <c r="H388" i="3"/>
  <c r="G388" i="3"/>
  <c r="H387" i="3"/>
  <c r="G387" i="3"/>
  <c r="H386" i="3"/>
  <c r="G386" i="3"/>
  <c r="H385" i="3"/>
  <c r="G385" i="3"/>
  <c r="H383" i="3"/>
  <c r="G383" i="3"/>
  <c r="H384" i="3"/>
  <c r="G384" i="3"/>
  <c r="I382" i="3"/>
  <c r="I380" i="3"/>
  <c r="H378" i="3"/>
  <c r="G378" i="3"/>
  <c r="H377" i="3"/>
  <c r="G377" i="3"/>
  <c r="I376" i="3"/>
  <c r="H375" i="3"/>
  <c r="G375" i="3"/>
  <c r="I374" i="3"/>
  <c r="H373" i="3"/>
  <c r="G373" i="3"/>
  <c r="H372" i="3"/>
  <c r="G372" i="3"/>
  <c r="H371" i="3"/>
  <c r="G371" i="3"/>
  <c r="H370" i="3"/>
  <c r="G370" i="3"/>
  <c r="H369" i="3"/>
  <c r="G369" i="3"/>
  <c r="I368" i="3"/>
  <c r="H367" i="3"/>
  <c r="G367" i="3"/>
  <c r="H366" i="3"/>
  <c r="G366" i="3"/>
  <c r="H365" i="3"/>
  <c r="G365" i="3"/>
  <c r="H364" i="3"/>
  <c r="G364" i="3"/>
  <c r="I363" i="3"/>
  <c r="H361" i="3"/>
  <c r="G361" i="3"/>
  <c r="H360" i="3"/>
  <c r="G360" i="3"/>
  <c r="H359" i="3"/>
  <c r="G359" i="3"/>
  <c r="H358" i="3"/>
  <c r="G358" i="3"/>
  <c r="H362" i="3"/>
  <c r="G362" i="3"/>
  <c r="H356" i="3"/>
  <c r="G356" i="3"/>
  <c r="H355" i="3"/>
  <c r="G355" i="3"/>
  <c r="H357" i="3"/>
  <c r="G357" i="3"/>
  <c r="I354" i="3"/>
  <c r="H345" i="3"/>
  <c r="G345" i="3"/>
  <c r="H344" i="3"/>
  <c r="G344" i="3"/>
  <c r="H346" i="3"/>
  <c r="G346" i="3"/>
  <c r="I343" i="3"/>
  <c r="I342" i="3"/>
  <c r="I341" i="3"/>
  <c r="I340" i="3"/>
  <c r="I339" i="3"/>
  <c r="I338" i="3"/>
  <c r="I337" i="3"/>
  <c r="I336" i="3"/>
  <c r="I335" i="3"/>
  <c r="I334" i="3"/>
  <c r="I333" i="3"/>
  <c r="I332" i="3"/>
  <c r="H331" i="3"/>
  <c r="G331" i="3"/>
  <c r="H330" i="3"/>
  <c r="G330" i="3"/>
  <c r="H329" i="3"/>
  <c r="G329" i="3"/>
  <c r="H328" i="3"/>
  <c r="G328" i="3"/>
  <c r="H327" i="3"/>
  <c r="G327" i="3"/>
  <c r="H326" i="3"/>
  <c r="G326" i="3"/>
  <c r="I325" i="3"/>
  <c r="I324" i="3"/>
  <c r="I323" i="3"/>
  <c r="I322" i="3"/>
  <c r="I321" i="3"/>
  <c r="I320" i="3"/>
  <c r="I319" i="3"/>
  <c r="I318" i="3"/>
  <c r="I317" i="3"/>
  <c r="I316" i="3"/>
  <c r="I315" i="3"/>
  <c r="I314" i="3"/>
  <c r="I313" i="3"/>
  <c r="I312" i="3"/>
  <c r="H311" i="3"/>
  <c r="G311" i="3"/>
  <c r="H310" i="3"/>
  <c r="G310" i="3"/>
  <c r="H309" i="3"/>
  <c r="G309" i="3"/>
  <c r="H308" i="3"/>
  <c r="G308" i="3"/>
  <c r="H307" i="3"/>
  <c r="G307" i="3"/>
  <c r="H306" i="3"/>
  <c r="G306" i="3"/>
  <c r="H305" i="3"/>
  <c r="G305" i="3"/>
  <c r="I304" i="3"/>
  <c r="I303" i="3"/>
  <c r="I302" i="3"/>
  <c r="I301" i="3"/>
  <c r="H300" i="3"/>
  <c r="G300" i="3"/>
  <c r="I299" i="3"/>
  <c r="H298" i="3"/>
  <c r="G298" i="3"/>
  <c r="I297" i="3"/>
  <c r="H296" i="3"/>
  <c r="G296" i="3"/>
  <c r="H295" i="3"/>
  <c r="G295" i="3"/>
  <c r="H294" i="3"/>
  <c r="G294" i="3"/>
  <c r="I293" i="3"/>
  <c r="H292" i="3"/>
  <c r="G292" i="3"/>
  <c r="I291" i="3"/>
  <c r="I289" i="3"/>
  <c r="I288" i="3"/>
  <c r="I287" i="3"/>
  <c r="I286" i="3"/>
  <c r="H286" i="3" s="1"/>
  <c r="I285" i="3"/>
  <c r="I284" i="3"/>
  <c r="I283" i="3"/>
  <c r="I282" i="3"/>
  <c r="I281" i="3"/>
  <c r="H279" i="3"/>
  <c r="G279" i="3"/>
  <c r="H278" i="3"/>
  <c r="G278" i="3"/>
  <c r="H277" i="3"/>
  <c r="G277" i="3"/>
  <c r="H280" i="3"/>
  <c r="G280" i="3"/>
  <c r="H276" i="3"/>
  <c r="G276" i="3"/>
  <c r="H275" i="3"/>
  <c r="G275" i="3"/>
  <c r="I274" i="3"/>
  <c r="I273" i="3"/>
  <c r="I272" i="3"/>
  <c r="I271" i="3"/>
  <c r="H270" i="3"/>
  <c r="G270" i="3"/>
  <c r="H269" i="3"/>
  <c r="G269" i="3"/>
  <c r="H268" i="3"/>
  <c r="G268" i="3"/>
  <c r="H267" i="3"/>
  <c r="G267" i="3"/>
  <c r="H266" i="3"/>
  <c r="G266" i="3"/>
  <c r="H264" i="3"/>
  <c r="G264" i="3"/>
  <c r="I265" i="3"/>
  <c r="H262" i="3"/>
  <c r="G262" i="3"/>
  <c r="H261" i="3"/>
  <c r="G261" i="3"/>
  <c r="I263" i="3"/>
  <c r="I260" i="3"/>
  <c r="H259" i="3"/>
  <c r="G259" i="3"/>
  <c r="I258" i="3"/>
  <c r="H257" i="3"/>
  <c r="G257" i="3"/>
  <c r="I256" i="3"/>
  <c r="I255" i="3"/>
  <c r="H251" i="3"/>
  <c r="G251" i="3"/>
  <c r="H254" i="3"/>
  <c r="G254" i="3"/>
  <c r="H250" i="3"/>
  <c r="G250" i="3"/>
  <c r="H253" i="3"/>
  <c r="G253" i="3"/>
  <c r="H252" i="3"/>
  <c r="G252" i="3"/>
  <c r="H247" i="3"/>
  <c r="G247" i="3"/>
  <c r="H249" i="3"/>
  <c r="G249" i="3"/>
  <c r="H248" i="3"/>
  <c r="G248" i="3"/>
  <c r="H242" i="3"/>
  <c r="G242" i="3"/>
  <c r="H246" i="3"/>
  <c r="G246" i="3"/>
  <c r="H245" i="3"/>
  <c r="G245" i="3"/>
  <c r="H244" i="3"/>
  <c r="G244" i="3"/>
  <c r="H243" i="3"/>
  <c r="G243" i="3"/>
  <c r="G241" i="3"/>
  <c r="H241" i="3"/>
  <c r="H232" i="3"/>
  <c r="G232" i="3"/>
  <c r="H231" i="3"/>
  <c r="G231" i="3"/>
  <c r="H240" i="3"/>
  <c r="G240" i="3"/>
  <c r="H239" i="3"/>
  <c r="G239" i="3"/>
  <c r="H238" i="3"/>
  <c r="G238" i="3"/>
  <c r="H237" i="3"/>
  <c r="G237" i="3"/>
  <c r="H230" i="3"/>
  <c r="G230" i="3"/>
  <c r="H229" i="3"/>
  <c r="G229" i="3"/>
  <c r="H236" i="3"/>
  <c r="G236" i="3"/>
  <c r="H235" i="3"/>
  <c r="G235" i="3"/>
  <c r="H234" i="3"/>
  <c r="G234" i="3"/>
  <c r="H233" i="3"/>
  <c r="G233" i="3"/>
  <c r="H224" i="3"/>
  <c r="G224" i="3"/>
  <c r="H228" i="3"/>
  <c r="G228" i="3"/>
  <c r="H223" i="3"/>
  <c r="G223" i="3"/>
  <c r="H227" i="3"/>
  <c r="G227" i="3"/>
  <c r="H226" i="3"/>
  <c r="G226" i="3"/>
  <c r="H225" i="3"/>
  <c r="G225" i="3"/>
  <c r="I222" i="3"/>
  <c r="H221" i="3"/>
  <c r="G221" i="3"/>
  <c r="I220" i="3"/>
  <c r="H218" i="3"/>
  <c r="G218" i="3"/>
  <c r="H219" i="3"/>
  <c r="G219" i="3"/>
  <c r="H217" i="3"/>
  <c r="G217" i="3"/>
  <c r="I216" i="3"/>
  <c r="H215" i="3"/>
  <c r="G215" i="3"/>
  <c r="H214" i="3"/>
  <c r="G214" i="3"/>
  <c r="I213" i="3"/>
  <c r="I212" i="3"/>
  <c r="I211" i="3"/>
  <c r="I210" i="3"/>
  <c r="I209" i="3"/>
  <c r="I208" i="3"/>
  <c r="I207" i="3"/>
  <c r="I206" i="3"/>
  <c r="I205" i="3"/>
  <c r="H204" i="3"/>
  <c r="G204" i="3"/>
  <c r="H203" i="3"/>
  <c r="G203" i="3"/>
  <c r="H202" i="3"/>
  <c r="G202" i="3"/>
  <c r="H201" i="3"/>
  <c r="G201" i="3"/>
  <c r="H200" i="3"/>
  <c r="G200" i="3"/>
  <c r="H199" i="3"/>
  <c r="G199" i="3"/>
  <c r="I198" i="3"/>
  <c r="H197" i="3"/>
  <c r="G197" i="3"/>
  <c r="H196" i="3"/>
  <c r="G196" i="3"/>
  <c r="H195" i="3"/>
  <c r="G195" i="3"/>
  <c r="I194" i="3"/>
  <c r="H193" i="3"/>
  <c r="G193" i="3"/>
  <c r="H192" i="3"/>
  <c r="G192" i="3"/>
  <c r="H191" i="3"/>
  <c r="G191" i="3"/>
  <c r="I190" i="3"/>
  <c r="H189" i="3"/>
  <c r="G189" i="3"/>
  <c r="I183" i="3"/>
  <c r="I182" i="3"/>
  <c r="I181" i="3"/>
  <c r="I180" i="3"/>
  <c r="H179" i="3"/>
  <c r="G179" i="3"/>
  <c r="H178" i="3"/>
  <c r="G178" i="3"/>
  <c r="H177" i="3"/>
  <c r="G177" i="3"/>
  <c r="I175" i="3"/>
  <c r="H176" i="3"/>
  <c r="G176" i="3"/>
  <c r="H174" i="3"/>
  <c r="G174" i="3"/>
  <c r="H173" i="3"/>
  <c r="G173" i="3"/>
  <c r="H172" i="3"/>
  <c r="G172" i="3"/>
  <c r="H171" i="3"/>
  <c r="G171" i="3"/>
  <c r="I168" i="3"/>
  <c r="H170" i="3"/>
  <c r="G170" i="3"/>
  <c r="H169" i="3"/>
  <c r="G169" i="3"/>
  <c r="H167" i="3"/>
  <c r="G167" i="3"/>
  <c r="H166" i="3"/>
  <c r="G166" i="3"/>
  <c r="H165" i="3"/>
  <c r="G165" i="3"/>
  <c r="H164" i="3"/>
  <c r="G164" i="3"/>
  <c r="H163" i="3"/>
  <c r="G163" i="3"/>
  <c r="H162" i="3"/>
  <c r="G162" i="3"/>
  <c r="H161" i="3"/>
  <c r="G161" i="3"/>
  <c r="H160" i="3"/>
  <c r="G160" i="3"/>
  <c r="H159" i="3"/>
  <c r="G159" i="3"/>
  <c r="I158" i="3"/>
  <c r="I157" i="3"/>
  <c r="H156" i="3"/>
  <c r="G156" i="3"/>
  <c r="H155" i="3"/>
  <c r="G155" i="3"/>
  <c r="H154" i="3"/>
  <c r="G154" i="3"/>
  <c r="H153" i="3"/>
  <c r="G153" i="3"/>
  <c r="H152" i="3"/>
  <c r="G152" i="3"/>
  <c r="H151" i="3"/>
  <c r="G151" i="3"/>
  <c r="H150" i="3"/>
  <c r="G150" i="3"/>
  <c r="H149" i="3"/>
  <c r="G149" i="3"/>
  <c r="H147" i="3"/>
  <c r="G147" i="3"/>
  <c r="H148" i="3"/>
  <c r="G148" i="3"/>
  <c r="I146" i="3"/>
  <c r="I145" i="3"/>
  <c r="I144" i="3"/>
  <c r="I143" i="3"/>
  <c r="I142" i="3"/>
  <c r="H141" i="3"/>
  <c r="G141" i="3"/>
  <c r="I140" i="3"/>
  <c r="I139" i="3"/>
  <c r="I138" i="3"/>
  <c r="I137" i="3"/>
  <c r="I136" i="3"/>
  <c r="I135" i="3"/>
  <c r="H134" i="3"/>
  <c r="G134" i="3"/>
  <c r="H133" i="3"/>
  <c r="G133" i="3"/>
  <c r="H127" i="3"/>
  <c r="G127" i="3"/>
  <c r="H126" i="3"/>
  <c r="G126" i="3"/>
  <c r="H132" i="3"/>
  <c r="G132" i="3"/>
  <c r="H125" i="3"/>
  <c r="G125" i="3"/>
  <c r="H124" i="3"/>
  <c r="G124" i="3"/>
  <c r="I123" i="3"/>
  <c r="H122" i="3"/>
  <c r="G122" i="3"/>
  <c r="I121" i="3"/>
  <c r="H120" i="3"/>
  <c r="G120" i="3"/>
  <c r="H119" i="3"/>
  <c r="G119" i="3"/>
  <c r="H118" i="3"/>
  <c r="G118" i="3"/>
  <c r="I117" i="3"/>
  <c r="I116" i="3"/>
  <c r="H115" i="3"/>
  <c r="G115" i="3"/>
  <c r="I114" i="3"/>
  <c r="H113" i="3"/>
  <c r="G113" i="3"/>
  <c r="H112" i="3"/>
  <c r="G112" i="3"/>
  <c r="I111" i="3"/>
  <c r="H110" i="3"/>
  <c r="G110" i="3"/>
  <c r="H109" i="3"/>
  <c r="G109" i="3"/>
  <c r="H108" i="3"/>
  <c r="G108" i="3"/>
  <c r="H107" i="3"/>
  <c r="G107" i="3"/>
  <c r="H106" i="3"/>
  <c r="G106" i="3"/>
  <c r="H105" i="3"/>
  <c r="G105" i="3"/>
  <c r="I104" i="3"/>
  <c r="H103" i="3"/>
  <c r="G103" i="3"/>
  <c r="H102" i="3"/>
  <c r="G102" i="3"/>
  <c r="H101" i="3"/>
  <c r="G101" i="3"/>
  <c r="H100" i="3"/>
  <c r="G100" i="3"/>
  <c r="H99" i="3"/>
  <c r="G99" i="3"/>
  <c r="H98" i="3"/>
  <c r="G98" i="3"/>
  <c r="I97" i="3"/>
  <c r="I96" i="3"/>
  <c r="H95" i="3"/>
  <c r="G95" i="3"/>
  <c r="I94" i="3"/>
  <c r="H93" i="3"/>
  <c r="G93" i="3"/>
  <c r="I92" i="3"/>
  <c r="I91" i="3"/>
  <c r="I90" i="3"/>
  <c r="I89" i="3"/>
  <c r="H88" i="3"/>
  <c r="G88" i="3"/>
  <c r="H87" i="3"/>
  <c r="H86" i="3"/>
  <c r="G86" i="3"/>
  <c r="H85" i="3"/>
  <c r="G85" i="3"/>
  <c r="H84" i="3"/>
  <c r="G84" i="3"/>
  <c r="I83" i="3"/>
  <c r="H82" i="3"/>
  <c r="G82" i="3"/>
  <c r="H81" i="3"/>
  <c r="G81" i="3"/>
  <c r="H80" i="3"/>
  <c r="G80" i="3"/>
  <c r="I79" i="3"/>
  <c r="I78" i="3"/>
  <c r="H77" i="3"/>
  <c r="G77" i="3"/>
  <c r="H76" i="3"/>
  <c r="G76" i="3"/>
  <c r="H74" i="3"/>
  <c r="G74" i="3"/>
  <c r="H75" i="3"/>
  <c r="G75" i="3"/>
  <c r="H73" i="3"/>
  <c r="G73" i="3"/>
  <c r="H72" i="3"/>
  <c r="G72" i="3"/>
  <c r="H71" i="3"/>
  <c r="G71" i="3"/>
  <c r="H69" i="3"/>
  <c r="G69" i="3"/>
  <c r="H70" i="3"/>
  <c r="G70" i="3"/>
  <c r="H68" i="3"/>
  <c r="G68" i="3"/>
  <c r="H67" i="3"/>
  <c r="G67" i="3"/>
  <c r="I66" i="3"/>
  <c r="H63" i="3"/>
  <c r="G63" i="3"/>
  <c r="H62" i="3"/>
  <c r="G62" i="3"/>
  <c r="H65" i="3"/>
  <c r="G65" i="3"/>
  <c r="H64" i="3"/>
  <c r="G64" i="3"/>
  <c r="H60" i="3"/>
  <c r="G60" i="3"/>
  <c r="H61" i="3"/>
  <c r="G61" i="3"/>
  <c r="I59" i="3"/>
  <c r="I58" i="3"/>
  <c r="H57" i="3"/>
  <c r="G57" i="3"/>
  <c r="H56" i="3"/>
  <c r="G56" i="3"/>
  <c r="H55" i="3"/>
  <c r="G55" i="3"/>
  <c r="H29" i="3"/>
  <c r="G29" i="3"/>
  <c r="H28" i="3"/>
  <c r="G28" i="3"/>
  <c r="H27" i="3"/>
  <c r="G27" i="3"/>
  <c r="H26" i="3"/>
  <c r="G26" i="3"/>
  <c r="H25" i="3"/>
  <c r="G25" i="3"/>
  <c r="H24" i="3"/>
  <c r="G24" i="3"/>
  <c r="H23" i="3"/>
  <c r="G23" i="3"/>
  <c r="H22" i="3"/>
  <c r="G22" i="3"/>
  <c r="G21" i="3"/>
  <c r="G12" i="3"/>
  <c r="H11" i="3"/>
  <c r="G11" i="3"/>
  <c r="H2" i="3"/>
  <c r="G2" i="3"/>
  <c r="I54" i="3"/>
  <c r="H53" i="3"/>
  <c r="G53" i="3"/>
  <c r="H51" i="3"/>
  <c r="G51" i="3"/>
  <c r="H50" i="3"/>
  <c r="G50" i="3"/>
  <c r="H49" i="3"/>
  <c r="G49" i="3"/>
  <c r="H48" i="3"/>
  <c r="G48" i="3"/>
  <c r="H47" i="3"/>
  <c r="G47" i="3"/>
  <c r="H46" i="3"/>
  <c r="G46" i="3"/>
  <c r="H45" i="3"/>
  <c r="G45" i="3"/>
  <c r="H43" i="3"/>
  <c r="G43" i="3"/>
  <c r="H42" i="3"/>
  <c r="G42" i="3"/>
  <c r="I44" i="3"/>
  <c r="H41" i="3"/>
  <c r="G41" i="3"/>
  <c r="I40" i="3"/>
  <c r="H39" i="3"/>
  <c r="G39" i="3"/>
  <c r="H38" i="3"/>
  <c r="G38" i="3"/>
  <c r="H37" i="3"/>
  <c r="G37" i="3"/>
  <c r="H36" i="3"/>
  <c r="G36" i="3"/>
  <c r="H35" i="3"/>
  <c r="G35" i="3"/>
  <c r="H34" i="3"/>
  <c r="G34" i="3"/>
  <c r="H33" i="3"/>
  <c r="G33" i="3"/>
  <c r="H32" i="3"/>
  <c r="G32" i="3"/>
  <c r="H31" i="3"/>
  <c r="G31" i="3"/>
  <c r="I30" i="3"/>
  <c r="I13" i="3"/>
  <c r="G14" i="3"/>
  <c r="H14" i="3"/>
  <c r="H4" i="3"/>
  <c r="I3" i="3"/>
  <c r="H44" i="3" l="1"/>
  <c r="H59" i="3"/>
  <c r="H78" i="3"/>
  <c r="H83" i="3"/>
  <c r="H91" i="3"/>
  <c r="H94" i="3"/>
  <c r="H97" i="3"/>
  <c r="G144" i="3"/>
  <c r="H183" i="3"/>
  <c r="H211" i="3"/>
  <c r="H271" i="3"/>
  <c r="G302" i="3"/>
  <c r="G319" i="3"/>
  <c r="G323" i="3"/>
  <c r="H389" i="3"/>
  <c r="H393" i="3"/>
  <c r="G3" i="3"/>
  <c r="H66" i="3"/>
  <c r="H79" i="3"/>
  <c r="H104" i="3"/>
  <c r="H145" i="3"/>
  <c r="H212" i="3"/>
  <c r="H303" i="3"/>
  <c r="H312" i="3"/>
  <c r="H324" i="3"/>
  <c r="H334" i="3"/>
  <c r="H342" i="3"/>
  <c r="H390" i="3"/>
  <c r="H405" i="3"/>
  <c r="H30" i="3"/>
  <c r="G54" i="3"/>
  <c r="G89" i="3"/>
  <c r="G111" i="3"/>
  <c r="G116" i="3"/>
  <c r="G121" i="3"/>
  <c r="G135" i="3"/>
  <c r="G139" i="3"/>
  <c r="G142" i="3"/>
  <c r="G146" i="3"/>
  <c r="G175" i="3"/>
  <c r="G181" i="3"/>
  <c r="G194" i="3"/>
  <c r="G205" i="3"/>
  <c r="H209" i="3"/>
  <c r="G213" i="3"/>
  <c r="G220" i="3"/>
  <c r="H255" i="3"/>
  <c r="H258" i="3"/>
  <c r="H263" i="3"/>
  <c r="H273" i="3"/>
  <c r="H283" i="3"/>
  <c r="G286" i="3"/>
  <c r="H293" i="3"/>
  <c r="G304" i="3"/>
  <c r="H313" i="3"/>
  <c r="H317" i="3"/>
  <c r="H321" i="3"/>
  <c r="H325" i="3"/>
  <c r="H335" i="3"/>
  <c r="H339" i="3"/>
  <c r="H343" i="3"/>
  <c r="G363" i="3"/>
  <c r="G374" i="3"/>
  <c r="G380" i="3"/>
  <c r="G391" i="3"/>
  <c r="G395" i="3"/>
  <c r="H401" i="3"/>
  <c r="H408" i="3"/>
  <c r="H137" i="3"/>
  <c r="H158" i="3"/>
  <c r="H207" i="3"/>
  <c r="H281" i="3"/>
  <c r="H285" i="3"/>
  <c r="G288" i="3"/>
  <c r="G299" i="3"/>
  <c r="G315" i="3"/>
  <c r="G333" i="3"/>
  <c r="G337" i="3"/>
  <c r="G341" i="3"/>
  <c r="H399" i="3"/>
  <c r="H13" i="3"/>
  <c r="H40" i="3"/>
  <c r="H92" i="3"/>
  <c r="H123" i="3"/>
  <c r="H138" i="3"/>
  <c r="G180" i="3"/>
  <c r="H198" i="3"/>
  <c r="G208" i="3"/>
  <c r="H222" i="3"/>
  <c r="G260" i="3"/>
  <c r="G272" i="3"/>
  <c r="H282" i="3"/>
  <c r="H289" i="3"/>
  <c r="H297" i="3"/>
  <c r="H316" i="3"/>
  <c r="H320" i="3"/>
  <c r="H338" i="3"/>
  <c r="H354" i="3"/>
  <c r="H376" i="3"/>
  <c r="H394" i="3"/>
  <c r="H397" i="3"/>
  <c r="H400" i="3"/>
  <c r="H52" i="3"/>
  <c r="H58" i="3"/>
  <c r="H90" i="3"/>
  <c r="H96" i="3"/>
  <c r="H114" i="3"/>
  <c r="H117" i="3"/>
  <c r="H136" i="3"/>
  <c r="H140" i="3"/>
  <c r="H143" i="3"/>
  <c r="H157" i="3"/>
  <c r="H168" i="3"/>
  <c r="H182" i="3"/>
  <c r="H190" i="3"/>
  <c r="H206" i="3"/>
  <c r="H210" i="3"/>
  <c r="H216" i="3"/>
  <c r="H256" i="3"/>
  <c r="G265" i="3"/>
  <c r="G274" i="3"/>
  <c r="G284" i="3"/>
  <c r="H287" i="3"/>
  <c r="H291" i="3"/>
  <c r="H301" i="3"/>
  <c r="H314" i="3"/>
  <c r="H318" i="3"/>
  <c r="H322" i="3"/>
  <c r="H332" i="3"/>
  <c r="H336" i="3"/>
  <c r="H340" i="3"/>
  <c r="H368" i="3"/>
  <c r="H382" i="3"/>
  <c r="H392" i="3"/>
  <c r="H396" i="3"/>
  <c r="G336" i="3"/>
  <c r="G30" i="3"/>
  <c r="G92" i="3"/>
  <c r="H144" i="3"/>
  <c r="H208" i="3"/>
  <c r="G332" i="3"/>
  <c r="H220" i="3"/>
  <c r="H265" i="3"/>
  <c r="H180" i="3"/>
  <c r="G322" i="3"/>
  <c r="G393" i="3"/>
  <c r="H3" i="3"/>
  <c r="G282" i="3"/>
  <c r="H304" i="3"/>
  <c r="H274" i="3"/>
  <c r="H302" i="3"/>
  <c r="J411" i="3"/>
  <c r="G158" i="3"/>
  <c r="G207" i="3"/>
  <c r="G123" i="3"/>
  <c r="H146" i="3"/>
  <c r="H205" i="3"/>
  <c r="H272" i="3"/>
  <c r="H288" i="3"/>
  <c r="G314" i="3"/>
  <c r="G354" i="3"/>
  <c r="G389" i="3"/>
  <c r="G408" i="3"/>
  <c r="G138" i="3"/>
  <c r="G318" i="3"/>
  <c r="G340" i="3"/>
  <c r="G44" i="3"/>
  <c r="H142" i="3"/>
  <c r="H284" i="3"/>
  <c r="H175" i="3"/>
  <c r="G97" i="3"/>
  <c r="G66" i="3"/>
  <c r="G79" i="3"/>
  <c r="G91" i="3"/>
  <c r="G94" i="3"/>
  <c r="H111" i="3"/>
  <c r="G137" i="3"/>
  <c r="G313" i="3"/>
  <c r="G317" i="3"/>
  <c r="G321" i="3"/>
  <c r="G325" i="3"/>
  <c r="G335" i="3"/>
  <c r="G339" i="3"/>
  <c r="G343" i="3"/>
  <c r="H380" i="3"/>
  <c r="H391" i="3"/>
  <c r="H395" i="3"/>
  <c r="G401" i="3"/>
  <c r="G405" i="3"/>
  <c r="G13" i="3"/>
  <c r="G40" i="3"/>
  <c r="G59" i="3"/>
  <c r="G78" i="3"/>
  <c r="G83" i="3"/>
  <c r="H89" i="3"/>
  <c r="G104" i="3"/>
  <c r="H116" i="3"/>
  <c r="H135" i="3"/>
  <c r="G145" i="3"/>
  <c r="G183" i="3"/>
  <c r="H194" i="3"/>
  <c r="G198" i="3"/>
  <c r="G209" i="3"/>
  <c r="G211" i="3"/>
  <c r="H213" i="3"/>
  <c r="G256" i="3"/>
  <c r="H260" i="3"/>
  <c r="G263" i="3"/>
  <c r="G273" i="3"/>
  <c r="G283" i="3"/>
  <c r="G287" i="3"/>
  <c r="G291" i="3"/>
  <c r="G293" i="3"/>
  <c r="H299" i="3"/>
  <c r="G301" i="3"/>
  <c r="H315" i="3"/>
  <c r="H319" i="3"/>
  <c r="H323" i="3"/>
  <c r="H333" i="3"/>
  <c r="H337" i="3"/>
  <c r="H341" i="3"/>
  <c r="H363" i="3"/>
  <c r="G400" i="3"/>
  <c r="H54" i="3"/>
  <c r="H121" i="3"/>
  <c r="H139" i="3"/>
  <c r="H181" i="3"/>
  <c r="H374" i="3"/>
  <c r="G376" i="3"/>
  <c r="G390" i="3"/>
  <c r="G394" i="3"/>
  <c r="G4" i="3"/>
  <c r="G52" i="3"/>
  <c r="G87" i="3"/>
  <c r="G90" i="3"/>
  <c r="G96" i="3"/>
  <c r="G114" i="3"/>
  <c r="G117" i="3"/>
  <c r="G136" i="3"/>
  <c r="G140" i="3"/>
  <c r="G143" i="3"/>
  <c r="G157" i="3"/>
  <c r="G168" i="3"/>
  <c r="G182" i="3"/>
  <c r="G190" i="3"/>
  <c r="G206" i="3"/>
  <c r="G210" i="3"/>
  <c r="G212" i="3"/>
  <c r="G216" i="3"/>
  <c r="G222" i="3"/>
  <c r="G255" i="3"/>
  <c r="G258" i="3"/>
  <c r="G271" i="3"/>
  <c r="G281" i="3"/>
  <c r="G285" i="3"/>
  <c r="G289" i="3"/>
  <c r="G297" i="3"/>
  <c r="G303" i="3"/>
  <c r="G312" i="3"/>
  <c r="G316" i="3"/>
  <c r="G320" i="3"/>
  <c r="G324" i="3"/>
  <c r="G334" i="3"/>
  <c r="G338" i="3"/>
  <c r="G342" i="3"/>
  <c r="G368" i="3"/>
  <c r="G382" i="3"/>
  <c r="G392" i="3"/>
  <c r="G396" i="3"/>
  <c r="G399" i="3"/>
  <c r="G58" i="3"/>
  <c r="I293" i="2"/>
  <c r="G24" i="2"/>
  <c r="H24" i="2"/>
  <c r="I5" i="2"/>
  <c r="I4" i="2"/>
  <c r="H4" i="2" s="1"/>
  <c r="I335" i="2"/>
  <c r="G4" i="2" l="1"/>
  <c r="H411" i="3"/>
  <c r="G411" i="3"/>
  <c r="I411" i="3" l="1"/>
  <c r="H280" i="2"/>
  <c r="G280" i="2"/>
  <c r="H408" i="2"/>
  <c r="G408" i="2"/>
  <c r="H407" i="2"/>
  <c r="G407" i="2"/>
  <c r="H406" i="2"/>
  <c r="G406" i="2"/>
  <c r="I405" i="2"/>
  <c r="H405" i="2" s="1"/>
  <c r="H404" i="2"/>
  <c r="G404" i="2"/>
  <c r="H403" i="2"/>
  <c r="G403" i="2"/>
  <c r="I402" i="2"/>
  <c r="H402" i="2" s="1"/>
  <c r="H401" i="2"/>
  <c r="G401" i="2"/>
  <c r="H400" i="2"/>
  <c r="G400" i="2"/>
  <c r="H399" i="2"/>
  <c r="G399" i="2"/>
  <c r="I398" i="2"/>
  <c r="H398" i="2" s="1"/>
  <c r="I397" i="2"/>
  <c r="H397" i="2" s="1"/>
  <c r="G397" i="2"/>
  <c r="I396" i="2"/>
  <c r="H396" i="2" s="1"/>
  <c r="H395" i="2"/>
  <c r="G395" i="2"/>
  <c r="I394" i="2"/>
  <c r="H394" i="2" s="1"/>
  <c r="I393" i="2"/>
  <c r="H393" i="2" s="1"/>
  <c r="I392" i="2"/>
  <c r="G392" i="2" s="1"/>
  <c r="I391" i="2"/>
  <c r="G391" i="2" s="1"/>
  <c r="I390" i="2"/>
  <c r="H390" i="2" s="1"/>
  <c r="I389" i="2"/>
  <c r="H389" i="2" s="1"/>
  <c r="I388" i="2"/>
  <c r="G388" i="2" s="1"/>
  <c r="I387" i="2"/>
  <c r="G387" i="2" s="1"/>
  <c r="I386" i="2"/>
  <c r="H386" i="2" s="1"/>
  <c r="H385" i="2"/>
  <c r="G385" i="2"/>
  <c r="H384" i="2"/>
  <c r="G384" i="2"/>
  <c r="H383" i="2"/>
  <c r="G383" i="2"/>
  <c r="H382" i="2"/>
  <c r="G382" i="2"/>
  <c r="H381" i="2"/>
  <c r="G381" i="2"/>
  <c r="H380" i="2"/>
  <c r="G380" i="2"/>
  <c r="I379" i="2"/>
  <c r="H379" i="2" s="1"/>
  <c r="I377" i="2"/>
  <c r="G377" i="2" s="1"/>
  <c r="H375" i="2"/>
  <c r="G375" i="2"/>
  <c r="H374" i="2"/>
  <c r="G374" i="2"/>
  <c r="I373" i="2"/>
  <c r="G373" i="2" s="1"/>
  <c r="H372" i="2"/>
  <c r="G372" i="2"/>
  <c r="I371" i="2"/>
  <c r="G371" i="2" s="1"/>
  <c r="H370" i="2"/>
  <c r="G370" i="2"/>
  <c r="H369" i="2"/>
  <c r="G369" i="2"/>
  <c r="H368" i="2"/>
  <c r="G368" i="2"/>
  <c r="H367" i="2"/>
  <c r="G367" i="2"/>
  <c r="H366" i="2"/>
  <c r="G366" i="2"/>
  <c r="I365" i="2"/>
  <c r="H365" i="2" s="1"/>
  <c r="H364" i="2"/>
  <c r="G364" i="2"/>
  <c r="H363" i="2"/>
  <c r="G363" i="2"/>
  <c r="H362" i="2"/>
  <c r="G362" i="2"/>
  <c r="H361" i="2"/>
  <c r="G361" i="2"/>
  <c r="I360" i="2"/>
  <c r="G360" i="2" s="1"/>
  <c r="H359" i="2"/>
  <c r="G359" i="2"/>
  <c r="H358" i="2"/>
  <c r="G358" i="2"/>
  <c r="H357" i="2"/>
  <c r="G357" i="2"/>
  <c r="H356" i="2"/>
  <c r="G356" i="2"/>
  <c r="H355" i="2"/>
  <c r="G355" i="2"/>
  <c r="H354" i="2"/>
  <c r="G354" i="2"/>
  <c r="H353" i="2"/>
  <c r="G353" i="2"/>
  <c r="H352" i="2"/>
  <c r="G352" i="2"/>
  <c r="I351" i="2"/>
  <c r="G351" i="2" s="1"/>
  <c r="H351" i="2"/>
  <c r="H350" i="2"/>
  <c r="G350" i="2"/>
  <c r="H349" i="2"/>
  <c r="G349" i="2"/>
  <c r="H348" i="2"/>
  <c r="G348" i="2"/>
  <c r="H347" i="2"/>
  <c r="G347" i="2"/>
  <c r="I346" i="2"/>
  <c r="H346" i="2" s="1"/>
  <c r="I345" i="2"/>
  <c r="H345" i="2" s="1"/>
  <c r="I344" i="2"/>
  <c r="G344" i="2" s="1"/>
  <c r="I343" i="2"/>
  <c r="H343" i="2" s="1"/>
  <c r="G343" i="2"/>
  <c r="I342" i="2"/>
  <c r="G342" i="2" s="1"/>
  <c r="I341" i="2"/>
  <c r="H341" i="2" s="1"/>
  <c r="I340" i="2"/>
  <c r="G340" i="2" s="1"/>
  <c r="H340" i="2"/>
  <c r="I339" i="2"/>
  <c r="H339" i="2" s="1"/>
  <c r="I338" i="2"/>
  <c r="H338" i="2" s="1"/>
  <c r="I337" i="2"/>
  <c r="H337" i="2" s="1"/>
  <c r="I336" i="2"/>
  <c r="G336" i="2" s="1"/>
  <c r="H335" i="2"/>
  <c r="G335" i="2"/>
  <c r="H334" i="2"/>
  <c r="G334" i="2"/>
  <c r="H333" i="2"/>
  <c r="G333" i="2"/>
  <c r="H332" i="2"/>
  <c r="G332" i="2"/>
  <c r="H331" i="2"/>
  <c r="G331" i="2"/>
  <c r="H330" i="2"/>
  <c r="G330" i="2"/>
  <c r="H329" i="2"/>
  <c r="G329" i="2"/>
  <c r="I328" i="2"/>
  <c r="H328" i="2" s="1"/>
  <c r="I327" i="2"/>
  <c r="G327" i="2" s="1"/>
  <c r="I326" i="2"/>
  <c r="H326" i="2" s="1"/>
  <c r="I325" i="2"/>
  <c r="G325" i="2" s="1"/>
  <c r="I324" i="2"/>
  <c r="G324" i="2" s="1"/>
  <c r="H324" i="2"/>
  <c r="I323" i="2"/>
  <c r="H323" i="2" s="1"/>
  <c r="I322" i="2"/>
  <c r="H322" i="2" s="1"/>
  <c r="I321" i="2"/>
  <c r="G321" i="2" s="1"/>
  <c r="I320" i="2"/>
  <c r="H320" i="2" s="1"/>
  <c r="I319" i="2"/>
  <c r="G319" i="2" s="1"/>
  <c r="I318" i="2"/>
  <c r="H318" i="2" s="1"/>
  <c r="I317" i="2"/>
  <c r="G317" i="2" s="1"/>
  <c r="I316" i="2"/>
  <c r="G316" i="2" s="1"/>
  <c r="I315" i="2"/>
  <c r="H315" i="2" s="1"/>
  <c r="H314" i="2"/>
  <c r="G314" i="2"/>
  <c r="H313" i="2"/>
  <c r="G313" i="2"/>
  <c r="H312" i="2"/>
  <c r="G312" i="2"/>
  <c r="H311" i="2"/>
  <c r="G311" i="2"/>
  <c r="H310" i="2"/>
  <c r="G310" i="2"/>
  <c r="H309" i="2"/>
  <c r="G309" i="2"/>
  <c r="H308" i="2"/>
  <c r="G308" i="2"/>
  <c r="I307" i="2"/>
  <c r="G307" i="2" s="1"/>
  <c r="I306" i="2"/>
  <c r="H306" i="2" s="1"/>
  <c r="I305" i="2"/>
  <c r="H305" i="2" s="1"/>
  <c r="I304" i="2"/>
  <c r="G304" i="2" s="1"/>
  <c r="H303" i="2"/>
  <c r="G303" i="2"/>
  <c r="I302" i="2"/>
  <c r="H302" i="2" s="1"/>
  <c r="H301" i="2"/>
  <c r="G301" i="2"/>
  <c r="I300" i="2"/>
  <c r="H300" i="2" s="1"/>
  <c r="H299" i="2"/>
  <c r="G299" i="2"/>
  <c r="H298" i="2"/>
  <c r="G298" i="2"/>
  <c r="H297" i="2"/>
  <c r="G297" i="2"/>
  <c r="I296" i="2"/>
  <c r="H296" i="2" s="1"/>
  <c r="H295" i="2"/>
  <c r="G295" i="2"/>
  <c r="I294" i="2"/>
  <c r="G294" i="2" s="1"/>
  <c r="H294" i="2"/>
  <c r="H293" i="2"/>
  <c r="G293" i="2"/>
  <c r="I292" i="2"/>
  <c r="H292" i="2" s="1"/>
  <c r="I291" i="2"/>
  <c r="G291" i="2" s="1"/>
  <c r="I290" i="2"/>
  <c r="H290" i="2" s="1"/>
  <c r="I289" i="2"/>
  <c r="H289" i="2" s="1"/>
  <c r="I288" i="2"/>
  <c r="H288" i="2" s="1"/>
  <c r="I287" i="2"/>
  <c r="G287" i="2" s="1"/>
  <c r="I286" i="2"/>
  <c r="G286" i="2" s="1"/>
  <c r="I285" i="2"/>
  <c r="H285" i="2" s="1"/>
  <c r="I284" i="2"/>
  <c r="H284" i="2" s="1"/>
  <c r="H283" i="2"/>
  <c r="G283" i="2"/>
  <c r="H282" i="2"/>
  <c r="G282" i="2"/>
  <c r="H281" i="2"/>
  <c r="G281" i="2"/>
  <c r="H279" i="2"/>
  <c r="G279" i="2"/>
  <c r="H278" i="2"/>
  <c r="G278" i="2"/>
  <c r="I277" i="2"/>
  <c r="H277" i="2" s="1"/>
  <c r="I276" i="2"/>
  <c r="H276" i="2" s="1"/>
  <c r="I275" i="2"/>
  <c r="G275" i="2" s="1"/>
  <c r="I274" i="2"/>
  <c r="H274" i="2" s="1"/>
  <c r="H273" i="2"/>
  <c r="G273" i="2"/>
  <c r="H272" i="2"/>
  <c r="G272" i="2"/>
  <c r="H271" i="2"/>
  <c r="G271" i="2"/>
  <c r="H270" i="2"/>
  <c r="G270" i="2"/>
  <c r="H269" i="2"/>
  <c r="G269" i="2"/>
  <c r="H268" i="2"/>
  <c r="G268" i="2"/>
  <c r="I267" i="2"/>
  <c r="H267" i="2"/>
  <c r="G267" i="2"/>
  <c r="H266" i="2"/>
  <c r="G266" i="2"/>
  <c r="H265" i="2"/>
  <c r="G265" i="2"/>
  <c r="I264" i="2"/>
  <c r="H264" i="2" s="1"/>
  <c r="H263" i="2"/>
  <c r="G263" i="2"/>
  <c r="I262" i="2"/>
  <c r="G262" i="2" s="1"/>
  <c r="H261" i="2"/>
  <c r="G261" i="2"/>
  <c r="I260" i="2"/>
  <c r="H260" i="2" s="1"/>
  <c r="H259" i="2"/>
  <c r="G259" i="2"/>
  <c r="I258" i="2"/>
  <c r="G258" i="2" s="1"/>
  <c r="I257" i="2"/>
  <c r="G257" i="2" s="1"/>
  <c r="H256" i="2"/>
  <c r="G256" i="2"/>
  <c r="H255" i="2"/>
  <c r="G255" i="2"/>
  <c r="H254" i="2"/>
  <c r="G254" i="2"/>
  <c r="H253" i="2"/>
  <c r="G253" i="2"/>
  <c r="H252" i="2"/>
  <c r="G252" i="2"/>
  <c r="H251" i="2"/>
  <c r="G251" i="2"/>
  <c r="H250" i="2"/>
  <c r="G250" i="2"/>
  <c r="H249" i="2"/>
  <c r="G249" i="2"/>
  <c r="H248" i="2"/>
  <c r="G248" i="2"/>
  <c r="H247" i="2"/>
  <c r="G247" i="2"/>
  <c r="H246" i="2"/>
  <c r="G246" i="2"/>
  <c r="H245" i="2"/>
  <c r="G245" i="2"/>
  <c r="H244" i="2"/>
  <c r="G244" i="2"/>
  <c r="H243" i="2"/>
  <c r="G243" i="2"/>
  <c r="H242" i="2"/>
  <c r="G242" i="2"/>
  <c r="H241" i="2"/>
  <c r="G241" i="2"/>
  <c r="I240" i="2"/>
  <c r="H240" i="2" s="1"/>
  <c r="H239" i="2"/>
  <c r="G239" i="2"/>
  <c r="H238" i="2"/>
  <c r="G238" i="2"/>
  <c r="H237" i="2"/>
  <c r="G237" i="2"/>
  <c r="H236" i="2"/>
  <c r="G236" i="2"/>
  <c r="H235" i="2"/>
  <c r="G235" i="2"/>
  <c r="H234" i="2"/>
  <c r="G234" i="2"/>
  <c r="H233" i="2"/>
  <c r="G233" i="2"/>
  <c r="H232" i="2"/>
  <c r="G232" i="2"/>
  <c r="H231" i="2"/>
  <c r="G231" i="2"/>
  <c r="H230" i="2"/>
  <c r="G230" i="2"/>
  <c r="H229" i="2"/>
  <c r="G229" i="2"/>
  <c r="H228" i="2"/>
  <c r="G228" i="2"/>
  <c r="H227" i="2"/>
  <c r="G227" i="2"/>
  <c r="H226" i="2"/>
  <c r="G226" i="2"/>
  <c r="H225" i="2"/>
  <c r="G225" i="2"/>
  <c r="H224" i="2"/>
  <c r="G224" i="2"/>
  <c r="H223" i="2"/>
  <c r="G223" i="2"/>
  <c r="H222" i="2"/>
  <c r="G222" i="2"/>
  <c r="H221" i="2"/>
  <c r="G221" i="2"/>
  <c r="H220" i="2"/>
  <c r="G220" i="2"/>
  <c r="H219" i="2"/>
  <c r="G219" i="2"/>
  <c r="I218" i="2"/>
  <c r="G218" i="2" s="1"/>
  <c r="H218" i="2"/>
  <c r="H217" i="2"/>
  <c r="G217" i="2"/>
  <c r="I216" i="2"/>
  <c r="G216" i="2" s="1"/>
  <c r="H215" i="2"/>
  <c r="G215" i="2"/>
  <c r="H214" i="2"/>
  <c r="G214" i="2"/>
  <c r="H213" i="2"/>
  <c r="G213" i="2"/>
  <c r="H212" i="2"/>
  <c r="G212" i="2"/>
  <c r="I211" i="2"/>
  <c r="H211" i="2" s="1"/>
  <c r="H210" i="2"/>
  <c r="G210" i="2"/>
  <c r="H209" i="2"/>
  <c r="G209" i="2"/>
  <c r="I208" i="2"/>
  <c r="H208" i="2" s="1"/>
  <c r="G208" i="2"/>
  <c r="H207" i="2"/>
  <c r="G207" i="2"/>
  <c r="H206" i="2"/>
  <c r="G206" i="2"/>
  <c r="H205" i="2"/>
  <c r="G205" i="2"/>
  <c r="I204" i="2"/>
  <c r="H204" i="2" s="1"/>
  <c r="H203" i="2"/>
  <c r="G203" i="2"/>
  <c r="H202" i="2"/>
  <c r="G202" i="2"/>
  <c r="H201" i="2"/>
  <c r="G201" i="2"/>
  <c r="I200" i="2"/>
  <c r="G200" i="2" s="1"/>
  <c r="I199" i="2"/>
  <c r="H199" i="2" s="1"/>
  <c r="H198" i="2"/>
  <c r="G198" i="2"/>
  <c r="I197" i="2"/>
  <c r="G197" i="2" s="1"/>
  <c r="H196" i="2"/>
  <c r="G196" i="2"/>
  <c r="I195" i="2"/>
  <c r="H195" i="2" s="1"/>
  <c r="I194" i="2"/>
  <c r="G194" i="2" s="1"/>
  <c r="I193" i="2"/>
  <c r="H193" i="2"/>
  <c r="G193" i="2"/>
  <c r="I192" i="2"/>
  <c r="H192" i="2" s="1"/>
  <c r="H191" i="2"/>
  <c r="G191" i="2"/>
  <c r="H190" i="2"/>
  <c r="G190" i="2"/>
  <c r="H189" i="2"/>
  <c r="G189" i="2"/>
  <c r="H188" i="2"/>
  <c r="G188" i="2"/>
  <c r="H187" i="2"/>
  <c r="G187" i="2"/>
  <c r="H186" i="2"/>
  <c r="G186" i="2"/>
  <c r="I185" i="2"/>
  <c r="H185" i="2" s="1"/>
  <c r="H184" i="2"/>
  <c r="G184" i="2"/>
  <c r="H183" i="2"/>
  <c r="G183" i="2"/>
  <c r="H182" i="2"/>
  <c r="G182" i="2"/>
  <c r="I181" i="2"/>
  <c r="H181" i="2" s="1"/>
  <c r="H180" i="2"/>
  <c r="G180" i="2"/>
  <c r="H179" i="2"/>
  <c r="G179" i="2"/>
  <c r="H178" i="2"/>
  <c r="G178" i="2"/>
  <c r="I177" i="2"/>
  <c r="G177" i="2" s="1"/>
  <c r="H176" i="2"/>
  <c r="G176" i="2"/>
  <c r="I175" i="2"/>
  <c r="G175" i="2" s="1"/>
  <c r="I174" i="2"/>
  <c r="H174" i="2" s="1"/>
  <c r="I173" i="2"/>
  <c r="H173" i="2" s="1"/>
  <c r="I172" i="2"/>
  <c r="H172" i="2" s="1"/>
  <c r="H171" i="2"/>
  <c r="G171" i="2"/>
  <c r="H170" i="2"/>
  <c r="G170" i="2"/>
  <c r="H169" i="2"/>
  <c r="G169" i="2"/>
  <c r="I168" i="2"/>
  <c r="G168" i="2" s="1"/>
  <c r="H167" i="2"/>
  <c r="G167" i="2"/>
  <c r="H166" i="2"/>
  <c r="G166" i="2"/>
  <c r="H165" i="2"/>
  <c r="G165" i="2"/>
  <c r="H164" i="2"/>
  <c r="G164" i="2"/>
  <c r="H163" i="2"/>
  <c r="G163" i="2"/>
  <c r="I162" i="2"/>
  <c r="H162" i="2" s="1"/>
  <c r="H161" i="2"/>
  <c r="G161" i="2"/>
  <c r="H160" i="2"/>
  <c r="G160" i="2"/>
  <c r="H159" i="2"/>
  <c r="G159" i="2"/>
  <c r="H158" i="2"/>
  <c r="G158" i="2"/>
  <c r="H157" i="2"/>
  <c r="G157" i="2"/>
  <c r="H156" i="2"/>
  <c r="G156" i="2"/>
  <c r="H155" i="2"/>
  <c r="G155" i="2"/>
  <c r="H154" i="2"/>
  <c r="G154" i="2"/>
  <c r="H153" i="2"/>
  <c r="G153" i="2"/>
  <c r="H152" i="2"/>
  <c r="G152" i="2"/>
  <c r="H151" i="2"/>
  <c r="G151" i="2"/>
  <c r="I150" i="2"/>
  <c r="G150" i="2" s="1"/>
  <c r="I149" i="2"/>
  <c r="G149" i="2" s="1"/>
  <c r="H148" i="2"/>
  <c r="G148" i="2"/>
  <c r="H147" i="2"/>
  <c r="G147" i="2"/>
  <c r="H146" i="2"/>
  <c r="G146" i="2"/>
  <c r="H145" i="2"/>
  <c r="G145" i="2"/>
  <c r="H144" i="2"/>
  <c r="G144" i="2"/>
  <c r="H143" i="2"/>
  <c r="G143" i="2"/>
  <c r="H142" i="2"/>
  <c r="G142" i="2"/>
  <c r="H141" i="2"/>
  <c r="G141" i="2"/>
  <c r="H140" i="2"/>
  <c r="G140" i="2"/>
  <c r="H139" i="2"/>
  <c r="G139" i="2"/>
  <c r="I138" i="2"/>
  <c r="H138" i="2" s="1"/>
  <c r="I137" i="2"/>
  <c r="H137" i="2" s="1"/>
  <c r="I136" i="2"/>
  <c r="G136" i="2" s="1"/>
  <c r="I135" i="2"/>
  <c r="H135" i="2" s="1"/>
  <c r="I134" i="2"/>
  <c r="G134" i="2" s="1"/>
  <c r="H133" i="2"/>
  <c r="G133" i="2"/>
  <c r="I132" i="2"/>
  <c r="H132" i="2" s="1"/>
  <c r="I131" i="2"/>
  <c r="G131" i="2" s="1"/>
  <c r="I130" i="2"/>
  <c r="H130" i="2" s="1"/>
  <c r="I129" i="2"/>
  <c r="G129" i="2" s="1"/>
  <c r="I128" i="2"/>
  <c r="H128" i="2" s="1"/>
  <c r="I127" i="2"/>
  <c r="H127" i="2" s="1"/>
  <c r="H126" i="2"/>
  <c r="G126" i="2"/>
  <c r="H125" i="2"/>
  <c r="G125" i="2"/>
  <c r="H124" i="2"/>
  <c r="G124" i="2"/>
  <c r="H123" i="2"/>
  <c r="G123" i="2"/>
  <c r="H122" i="2"/>
  <c r="G122" i="2"/>
  <c r="H121" i="2"/>
  <c r="G121" i="2"/>
  <c r="H120" i="2"/>
  <c r="G120" i="2"/>
  <c r="H119" i="2"/>
  <c r="G119" i="2"/>
  <c r="I118" i="2"/>
  <c r="H118" i="2" s="1"/>
  <c r="H117" i="2"/>
  <c r="G117" i="2"/>
  <c r="I116" i="2"/>
  <c r="H116" i="2" s="1"/>
  <c r="H115" i="2"/>
  <c r="G115" i="2"/>
  <c r="H114" i="2"/>
  <c r="G114" i="2"/>
  <c r="H113" i="2"/>
  <c r="G113" i="2"/>
  <c r="I112" i="2"/>
  <c r="G112" i="2" s="1"/>
  <c r="I111" i="2"/>
  <c r="H111" i="2" s="1"/>
  <c r="H110" i="2"/>
  <c r="G110" i="2"/>
  <c r="I109" i="2"/>
  <c r="G109" i="2" s="1"/>
  <c r="H108" i="2"/>
  <c r="G108" i="2"/>
  <c r="H107" i="2"/>
  <c r="G107" i="2"/>
  <c r="I106" i="2"/>
  <c r="H106" i="2" s="1"/>
  <c r="H105" i="2"/>
  <c r="G105" i="2"/>
  <c r="H104" i="2"/>
  <c r="G104" i="2"/>
  <c r="H103" i="2"/>
  <c r="G103" i="2"/>
  <c r="H102" i="2"/>
  <c r="G102" i="2"/>
  <c r="H101" i="2"/>
  <c r="G101" i="2"/>
  <c r="H100" i="2"/>
  <c r="G100" i="2"/>
  <c r="I99" i="2"/>
  <c r="H99" i="2" s="1"/>
  <c r="H98" i="2"/>
  <c r="G98" i="2"/>
  <c r="H97" i="2"/>
  <c r="G97" i="2"/>
  <c r="H96" i="2"/>
  <c r="G96" i="2"/>
  <c r="H95" i="2"/>
  <c r="G95" i="2"/>
  <c r="H94" i="2"/>
  <c r="G94" i="2"/>
  <c r="H93" i="2"/>
  <c r="G93" i="2"/>
  <c r="I92" i="2"/>
  <c r="G92" i="2" s="1"/>
  <c r="I91" i="2"/>
  <c r="H91" i="2" s="1"/>
  <c r="H90" i="2"/>
  <c r="G90" i="2"/>
  <c r="I89" i="2"/>
  <c r="G89" i="2" s="1"/>
  <c r="H88" i="2"/>
  <c r="G88" i="2"/>
  <c r="I87" i="2"/>
  <c r="H87" i="2" s="1"/>
  <c r="I86" i="2"/>
  <c r="G86" i="2" s="1"/>
  <c r="I85" i="2"/>
  <c r="H85" i="2" s="1"/>
  <c r="I84" i="2"/>
  <c r="G84" i="2" s="1"/>
  <c r="H83" i="2"/>
  <c r="G83" i="2"/>
  <c r="I82" i="2"/>
  <c r="H82" i="2" s="1"/>
  <c r="G82" i="2"/>
  <c r="H81" i="2"/>
  <c r="G81" i="2"/>
  <c r="H80" i="2"/>
  <c r="G80" i="2"/>
  <c r="H79" i="2"/>
  <c r="G79" i="2"/>
  <c r="I78" i="2"/>
  <c r="G78" i="2" s="1"/>
  <c r="H77" i="2"/>
  <c r="G77" i="2"/>
  <c r="H76" i="2"/>
  <c r="G76" i="2"/>
  <c r="H75" i="2"/>
  <c r="G75" i="2"/>
  <c r="I74" i="2"/>
  <c r="H74" i="2" s="1"/>
  <c r="I73" i="2"/>
  <c r="G73" i="2" s="1"/>
  <c r="H72" i="2"/>
  <c r="G72" i="2"/>
  <c r="H71" i="2"/>
  <c r="G71" i="2"/>
  <c r="H70" i="2"/>
  <c r="G70" i="2"/>
  <c r="H69" i="2"/>
  <c r="G69" i="2"/>
  <c r="H68" i="2"/>
  <c r="G68" i="2"/>
  <c r="H67" i="2"/>
  <c r="G67" i="2"/>
  <c r="H66" i="2"/>
  <c r="G66" i="2"/>
  <c r="H65" i="2"/>
  <c r="G65" i="2"/>
  <c r="H64" i="2"/>
  <c r="G64" i="2"/>
  <c r="H63" i="2"/>
  <c r="G63" i="2"/>
  <c r="H62" i="2"/>
  <c r="G62" i="2"/>
  <c r="I61" i="2"/>
  <c r="H61" i="2" s="1"/>
  <c r="H60" i="2"/>
  <c r="G60" i="2"/>
  <c r="H59" i="2"/>
  <c r="G59" i="2"/>
  <c r="H58" i="2"/>
  <c r="G58" i="2"/>
  <c r="H57" i="2"/>
  <c r="G57" i="2"/>
  <c r="H56" i="2"/>
  <c r="G56" i="2"/>
  <c r="H55" i="2"/>
  <c r="G55" i="2"/>
  <c r="I54" i="2"/>
  <c r="G54" i="2" s="1"/>
  <c r="I53" i="2"/>
  <c r="G53" i="2" s="1"/>
  <c r="H52" i="2"/>
  <c r="G52" i="2"/>
  <c r="H51" i="2"/>
  <c r="G51" i="2"/>
  <c r="H50" i="2"/>
  <c r="G50" i="2"/>
  <c r="H49" i="2"/>
  <c r="G49" i="2"/>
  <c r="H48" i="2"/>
  <c r="G48" i="2"/>
  <c r="H47" i="2"/>
  <c r="G47" i="2"/>
  <c r="H46" i="2"/>
  <c r="G46" i="2"/>
  <c r="H45" i="2"/>
  <c r="G45" i="2"/>
  <c r="H44" i="2"/>
  <c r="G44" i="2"/>
  <c r="H43" i="2"/>
  <c r="G43" i="2"/>
  <c r="H42" i="2"/>
  <c r="G42" i="2"/>
  <c r="G41" i="2"/>
  <c r="G40" i="2"/>
  <c r="H39" i="2"/>
  <c r="G39" i="2"/>
  <c r="H38" i="2"/>
  <c r="G38" i="2"/>
  <c r="I37" i="2"/>
  <c r="H37" i="2" s="1"/>
  <c r="H36" i="2"/>
  <c r="G36" i="2"/>
  <c r="I35" i="2"/>
  <c r="H35" i="2" s="1"/>
  <c r="H34" i="2"/>
  <c r="G34" i="2"/>
  <c r="H33" i="2"/>
  <c r="G33" i="2"/>
  <c r="H32" i="2"/>
  <c r="G32" i="2"/>
  <c r="H31" i="2"/>
  <c r="G31" i="2"/>
  <c r="H30" i="2"/>
  <c r="G30" i="2"/>
  <c r="H29" i="2"/>
  <c r="G29" i="2"/>
  <c r="H28" i="2"/>
  <c r="G28" i="2"/>
  <c r="H27" i="2"/>
  <c r="G27" i="2"/>
  <c r="H26" i="2"/>
  <c r="G26" i="2"/>
  <c r="I25" i="2"/>
  <c r="G25" i="2" s="1"/>
  <c r="I23" i="2"/>
  <c r="H23" i="2" s="1"/>
  <c r="H22" i="2"/>
  <c r="G22" i="2"/>
  <c r="H21" i="2"/>
  <c r="G21" i="2"/>
  <c r="H20" i="2"/>
  <c r="G20" i="2"/>
  <c r="H19" i="2"/>
  <c r="G19" i="2"/>
  <c r="H18" i="2"/>
  <c r="G18" i="2"/>
  <c r="H17" i="2"/>
  <c r="G17" i="2"/>
  <c r="H16" i="2"/>
  <c r="G16" i="2"/>
  <c r="H15" i="2"/>
  <c r="G15" i="2"/>
  <c r="H14" i="2"/>
  <c r="G14" i="2"/>
  <c r="H13" i="2"/>
  <c r="G13" i="2"/>
  <c r="H12" i="2"/>
  <c r="G12" i="2"/>
  <c r="H11" i="2"/>
  <c r="G11" i="2"/>
  <c r="I10" i="2"/>
  <c r="G10" i="2" s="1"/>
  <c r="H9" i="2"/>
  <c r="G9" i="2"/>
  <c r="H8" i="2"/>
  <c r="G8" i="2"/>
  <c r="H7" i="2"/>
  <c r="G7" i="2"/>
  <c r="I6" i="2"/>
  <c r="H6" i="2" s="1"/>
  <c r="H5" i="2"/>
  <c r="G5" i="2"/>
  <c r="I3" i="2"/>
  <c r="G3" i="2" s="1"/>
  <c r="H2" i="2"/>
  <c r="G2" i="2"/>
  <c r="H392" i="2" l="1"/>
  <c r="H3" i="2"/>
  <c r="H53" i="2"/>
  <c r="H286" i="2"/>
  <c r="H317" i="2"/>
  <c r="H377" i="2"/>
  <c r="H387" i="2"/>
  <c r="G128" i="2"/>
  <c r="H134" i="2"/>
  <c r="G199" i="2"/>
  <c r="H177" i="2"/>
  <c r="G289" i="2"/>
  <c r="H131" i="2"/>
  <c r="H325" i="2"/>
  <c r="G23" i="2"/>
  <c r="H316" i="2"/>
  <c r="H257" i="2"/>
  <c r="G338" i="2"/>
  <c r="G37" i="2"/>
  <c r="H109" i="2"/>
  <c r="K412" i="3"/>
  <c r="K411" i="3"/>
  <c r="G91" i="2"/>
  <c r="G277" i="2"/>
  <c r="H287" i="2"/>
  <c r="G173" i="2"/>
  <c r="H129" i="2"/>
  <c r="H319" i="2"/>
  <c r="G339" i="2"/>
  <c r="H388" i="2"/>
  <c r="G132" i="2"/>
  <c r="H360" i="2"/>
  <c r="H89" i="2"/>
  <c r="H391" i="2"/>
  <c r="G300" i="2"/>
  <c r="H78" i="2"/>
  <c r="G328" i="2"/>
  <c r="H54" i="2"/>
  <c r="H149" i="2"/>
  <c r="H373" i="2"/>
  <c r="H150" i="2"/>
  <c r="G192" i="2"/>
  <c r="H200" i="2"/>
  <c r="G6" i="2"/>
  <c r="H258" i="2"/>
  <c r="G323" i="2"/>
  <c r="H168" i="2"/>
  <c r="G127" i="2"/>
  <c r="G135" i="2"/>
  <c r="H194" i="2"/>
  <c r="G260" i="2"/>
  <c r="H307" i="2"/>
  <c r="H342" i="2"/>
  <c r="H84" i="2"/>
  <c r="G35" i="2"/>
  <c r="G162" i="2"/>
  <c r="H10" i="2"/>
  <c r="G85" i="2"/>
  <c r="H112" i="2"/>
  <c r="H262" i="2"/>
  <c r="H327" i="2"/>
  <c r="H175" i="2"/>
  <c r="H216" i="2"/>
  <c r="H275" i="2"/>
  <c r="H291" i="2"/>
  <c r="H321" i="2"/>
  <c r="H336" i="2"/>
  <c r="H371" i="2"/>
  <c r="G405" i="2"/>
  <c r="G106" i="2"/>
  <c r="G111" i="2"/>
  <c r="G116" i="2"/>
  <c r="G138" i="2"/>
  <c r="G174" i="2"/>
  <c r="G181" i="2"/>
  <c r="G204" i="2"/>
  <c r="G211" i="2"/>
  <c r="G240" i="2"/>
  <c r="G274" i="2"/>
  <c r="G285" i="2"/>
  <c r="G290" i="2"/>
  <c r="G296" i="2"/>
  <c r="G306" i="2"/>
  <c r="G315" i="2"/>
  <c r="G320" i="2"/>
  <c r="G346" i="2"/>
  <c r="G398" i="2"/>
  <c r="H25" i="2"/>
  <c r="H73" i="2"/>
  <c r="H86" i="2"/>
  <c r="H92" i="2"/>
  <c r="H136" i="2"/>
  <c r="H197" i="2"/>
  <c r="H304" i="2"/>
  <c r="H344" i="2"/>
  <c r="G386" i="2"/>
  <c r="G390" i="2"/>
  <c r="G394" i="2"/>
  <c r="G402" i="2"/>
  <c r="G61" i="2"/>
  <c r="G74" i="2"/>
  <c r="G87" i="2"/>
  <c r="G99" i="2"/>
  <c r="G118" i="2"/>
  <c r="G130" i="2"/>
  <c r="G137" i="2"/>
  <c r="G172" i="2"/>
  <c r="G185" i="2"/>
  <c r="G195" i="2"/>
  <c r="G264" i="2"/>
  <c r="G276" i="2"/>
  <c r="G284" i="2"/>
  <c r="G288" i="2"/>
  <c r="G292" i="2"/>
  <c r="G302" i="2"/>
  <c r="G305" i="2"/>
  <c r="G318" i="2"/>
  <c r="G322" i="2"/>
  <c r="G326" i="2"/>
  <c r="G337" i="2"/>
  <c r="G341" i="2"/>
  <c r="G345" i="2"/>
  <c r="G365" i="2"/>
  <c r="G379" i="2"/>
  <c r="G389" i="2"/>
  <c r="G393" i="2"/>
  <c r="G396" i="2"/>
  <c r="H409" i="2" l="1"/>
  <c r="G409" i="2"/>
  <c r="I409" i="2" l="1"/>
  <c r="J409" i="2" s="1"/>
  <c r="G279" i="1" l="1"/>
  <c r="H279" i="1"/>
  <c r="I33" i="1"/>
  <c r="I3" i="1"/>
  <c r="H251" i="1" l="1"/>
  <c r="G251" i="1"/>
  <c r="H229" i="1"/>
  <c r="G229" i="1"/>
  <c r="H245" i="1"/>
  <c r="G245" i="1"/>
  <c r="H241" i="1"/>
  <c r="G241" i="1"/>
  <c r="H228" i="1"/>
  <c r="G228" i="1"/>
  <c r="H219" i="1"/>
  <c r="G219" i="1"/>
  <c r="H212" i="1"/>
  <c r="G212" i="1"/>
  <c r="H205" i="1"/>
  <c r="G205" i="1"/>
  <c r="H201" i="1"/>
  <c r="G201" i="1"/>
  <c r="H204" i="1"/>
  <c r="G204" i="1"/>
  <c r="H203" i="1"/>
  <c r="G203" i="1"/>
  <c r="H200" i="1"/>
  <c r="G200" i="1"/>
  <c r="H199" i="1"/>
  <c r="G199" i="1"/>
  <c r="H196" i="1"/>
  <c r="G196" i="1"/>
  <c r="H194" i="1"/>
  <c r="G194" i="1"/>
  <c r="H79" i="1"/>
  <c r="G79" i="1"/>
  <c r="H75" i="1"/>
  <c r="G75" i="1"/>
  <c r="H78" i="1"/>
  <c r="G78" i="1"/>
  <c r="H77" i="1"/>
  <c r="G77" i="1"/>
  <c r="H74" i="1"/>
  <c r="G74" i="1"/>
  <c r="H73" i="1"/>
  <c r="G73" i="1"/>
  <c r="H70" i="1"/>
  <c r="G70" i="1"/>
  <c r="H21" i="1"/>
  <c r="G21" i="1"/>
  <c r="H8" i="1"/>
  <c r="G8" i="1"/>
  <c r="H17" i="1"/>
  <c r="G17" i="1"/>
  <c r="H13" i="1"/>
  <c r="G13" i="1"/>
  <c r="H7" i="1"/>
  <c r="G7" i="1"/>
  <c r="H6" i="1"/>
  <c r="G6" i="1"/>
  <c r="H4" i="1"/>
  <c r="G4" i="1"/>
  <c r="H2" i="1"/>
  <c r="G2" i="1"/>
  <c r="I403" i="1"/>
  <c r="H403" i="1" s="1"/>
  <c r="I400" i="1"/>
  <c r="H400" i="1" s="1"/>
  <c r="I396" i="1"/>
  <c r="H396" i="1" s="1"/>
  <c r="I395" i="1"/>
  <c r="G395" i="1" s="1"/>
  <c r="I394" i="1"/>
  <c r="H394" i="1" s="1"/>
  <c r="I392" i="1"/>
  <c r="G392" i="1" s="1"/>
  <c r="I391" i="1"/>
  <c r="H391" i="1" s="1"/>
  <c r="I390" i="1"/>
  <c r="G390" i="1" s="1"/>
  <c r="I389" i="1"/>
  <c r="H389" i="1" s="1"/>
  <c r="I388" i="1"/>
  <c r="H388" i="1" s="1"/>
  <c r="I387" i="1"/>
  <c r="H387" i="1" s="1"/>
  <c r="I386" i="1"/>
  <c r="G386" i="1" s="1"/>
  <c r="I385" i="1"/>
  <c r="H385" i="1" s="1"/>
  <c r="I384" i="1"/>
  <c r="H384" i="1" s="1"/>
  <c r="I377" i="1"/>
  <c r="H377" i="1" s="1"/>
  <c r="I375" i="1"/>
  <c r="G375" i="1" s="1"/>
  <c r="I371" i="1"/>
  <c r="G371" i="1" s="1"/>
  <c r="I369" i="1"/>
  <c r="G369" i="1" s="1"/>
  <c r="I363" i="1"/>
  <c r="H363" i="1" s="1"/>
  <c r="I358" i="1"/>
  <c r="G358" i="1" s="1"/>
  <c r="I349" i="1"/>
  <c r="H349" i="1" s="1"/>
  <c r="I344" i="1"/>
  <c r="G344" i="1" s="1"/>
  <c r="I343" i="1"/>
  <c r="H343" i="1" s="1"/>
  <c r="I342" i="1"/>
  <c r="G342" i="1" s="1"/>
  <c r="I341" i="1"/>
  <c r="G341" i="1" s="1"/>
  <c r="I340" i="1"/>
  <c r="G340" i="1" s="1"/>
  <c r="I339" i="1"/>
  <c r="H339" i="1" s="1"/>
  <c r="I338" i="1"/>
  <c r="H338" i="1" s="1"/>
  <c r="I337" i="1"/>
  <c r="G337" i="1" s="1"/>
  <c r="I336" i="1"/>
  <c r="H336" i="1" s="1"/>
  <c r="I335" i="1"/>
  <c r="H335" i="1" s="1"/>
  <c r="I334" i="1"/>
  <c r="H334" i="1" s="1"/>
  <c r="I325" i="1"/>
  <c r="G325" i="1" s="1"/>
  <c r="I324" i="1"/>
  <c r="H324" i="1" s="1"/>
  <c r="I323" i="1"/>
  <c r="H323" i="1" s="1"/>
  <c r="I322" i="1"/>
  <c r="H322" i="1" s="1"/>
  <c r="I321" i="1"/>
  <c r="G321" i="1" s="1"/>
  <c r="I320" i="1"/>
  <c r="G320" i="1" s="1"/>
  <c r="I319" i="1"/>
  <c r="H319" i="1" s="1"/>
  <c r="I318" i="1"/>
  <c r="H318" i="1" s="1"/>
  <c r="I317" i="1"/>
  <c r="G317" i="1" s="1"/>
  <c r="I316" i="1"/>
  <c r="H316" i="1" s="1"/>
  <c r="I315" i="1"/>
  <c r="H315" i="1" s="1"/>
  <c r="I314" i="1"/>
  <c r="H314" i="1" s="1"/>
  <c r="I313" i="1"/>
  <c r="G313" i="1" s="1"/>
  <c r="I312" i="1"/>
  <c r="G312" i="1" s="1"/>
  <c r="I304" i="1"/>
  <c r="H304" i="1" s="1"/>
  <c r="I303" i="1"/>
  <c r="H303" i="1" s="1"/>
  <c r="I302" i="1"/>
  <c r="G302" i="1" s="1"/>
  <c r="I301" i="1"/>
  <c r="H301" i="1" s="1"/>
  <c r="I299" i="1"/>
  <c r="H299" i="1" s="1"/>
  <c r="I297" i="1"/>
  <c r="H297" i="1" s="1"/>
  <c r="I293" i="1"/>
  <c r="G293" i="1" s="1"/>
  <c r="I291" i="1"/>
  <c r="G291" i="1" s="1"/>
  <c r="H291" i="1"/>
  <c r="I289" i="1"/>
  <c r="H289" i="1" s="1"/>
  <c r="I288" i="1"/>
  <c r="H288" i="1" s="1"/>
  <c r="I287" i="1"/>
  <c r="G287" i="1" s="1"/>
  <c r="I286" i="1"/>
  <c r="H286" i="1" s="1"/>
  <c r="I285" i="1"/>
  <c r="H285" i="1" s="1"/>
  <c r="I284" i="1"/>
  <c r="H284" i="1" s="1"/>
  <c r="I283" i="1"/>
  <c r="G283" i="1" s="1"/>
  <c r="I282" i="1"/>
  <c r="G282" i="1" s="1"/>
  <c r="I281" i="1"/>
  <c r="H281" i="1" s="1"/>
  <c r="I275" i="1"/>
  <c r="H275" i="1" s="1"/>
  <c r="I274" i="1"/>
  <c r="G274" i="1" s="1"/>
  <c r="I273" i="1"/>
  <c r="H273" i="1" s="1"/>
  <c r="I272" i="1"/>
  <c r="H272" i="1" s="1"/>
  <c r="I265" i="1"/>
  <c r="H265" i="1" s="1"/>
  <c r="I262" i="1"/>
  <c r="G262" i="1" s="1"/>
  <c r="I260" i="1"/>
  <c r="G260" i="1" s="1"/>
  <c r="I258" i="1"/>
  <c r="H258" i="1" s="1"/>
  <c r="I256" i="1"/>
  <c r="H256" i="1" s="1"/>
  <c r="I255" i="1"/>
  <c r="G255" i="1" s="1"/>
  <c r="I238" i="1"/>
  <c r="H238" i="1" s="1"/>
  <c r="I216" i="1"/>
  <c r="H216" i="1" s="1"/>
  <c r="I214" i="1"/>
  <c r="H214" i="1" s="1"/>
  <c r="I209" i="1"/>
  <c r="G209" i="1" s="1"/>
  <c r="I206" i="1"/>
  <c r="G206" i="1" s="1"/>
  <c r="I202" i="1"/>
  <c r="H202" i="1" s="1"/>
  <c r="I198" i="1"/>
  <c r="H198" i="1" s="1"/>
  <c r="I197" i="1"/>
  <c r="G197" i="1" s="1"/>
  <c r="I195" i="1"/>
  <c r="H195" i="1" s="1"/>
  <c r="I193" i="1"/>
  <c r="H193" i="1" s="1"/>
  <c r="I192" i="1"/>
  <c r="H192" i="1" s="1"/>
  <c r="I191" i="1"/>
  <c r="G191" i="1" s="1"/>
  <c r="I190" i="1"/>
  <c r="G190" i="1" s="1"/>
  <c r="I183" i="1"/>
  <c r="H183" i="1" s="1"/>
  <c r="I179" i="1"/>
  <c r="H179" i="1" s="1"/>
  <c r="I175" i="1"/>
  <c r="G175" i="1" s="1"/>
  <c r="I173" i="1"/>
  <c r="H173" i="1" s="1"/>
  <c r="I172" i="1"/>
  <c r="H172" i="1" s="1"/>
  <c r="I171" i="1"/>
  <c r="H171" i="1" s="1"/>
  <c r="I170" i="1"/>
  <c r="G170" i="1" s="1"/>
  <c r="I166" i="1"/>
  <c r="G166" i="1" s="1"/>
  <c r="I160" i="1"/>
  <c r="H160" i="1" s="1"/>
  <c r="I148" i="1"/>
  <c r="H148" i="1" s="1"/>
  <c r="I147" i="1"/>
  <c r="G147" i="1" s="1"/>
  <c r="I136" i="1"/>
  <c r="H136" i="1" s="1"/>
  <c r="I135" i="1"/>
  <c r="H135" i="1" s="1"/>
  <c r="I134" i="1"/>
  <c r="H134" i="1" s="1"/>
  <c r="I133" i="1"/>
  <c r="G133" i="1" s="1"/>
  <c r="I132" i="1"/>
  <c r="G132" i="1" s="1"/>
  <c r="I130" i="1"/>
  <c r="H130" i="1" s="1"/>
  <c r="I129" i="1"/>
  <c r="H129" i="1" s="1"/>
  <c r="I128" i="1"/>
  <c r="G128" i="1" s="1"/>
  <c r="I127" i="1"/>
  <c r="H127" i="1" s="1"/>
  <c r="I126" i="1"/>
  <c r="H126" i="1" s="1"/>
  <c r="I125" i="1"/>
  <c r="H125" i="1" s="1"/>
  <c r="I116" i="1"/>
  <c r="G116" i="1" s="1"/>
  <c r="I114" i="1"/>
  <c r="G114" i="1" s="1"/>
  <c r="I110" i="1"/>
  <c r="H110" i="1" s="1"/>
  <c r="I109" i="1"/>
  <c r="H109" i="1" s="1"/>
  <c r="I107" i="1"/>
  <c r="G107" i="1" s="1"/>
  <c r="I104" i="1"/>
  <c r="H104" i="1" s="1"/>
  <c r="I97" i="1"/>
  <c r="H97" i="1" s="1"/>
  <c r="I90" i="1"/>
  <c r="H90" i="1" s="1"/>
  <c r="I89" i="1"/>
  <c r="G89" i="1" s="1"/>
  <c r="I87" i="1"/>
  <c r="G87" i="1" s="1"/>
  <c r="I85" i="1"/>
  <c r="G85" i="1" s="1"/>
  <c r="I84" i="1"/>
  <c r="G84" i="1" s="1"/>
  <c r="I83" i="1"/>
  <c r="H83" i="1" s="1"/>
  <c r="I82" i="1"/>
  <c r="H82" i="1" s="1"/>
  <c r="I80" i="1"/>
  <c r="G80" i="1" s="1"/>
  <c r="I76" i="1"/>
  <c r="H76" i="1" s="1"/>
  <c r="I72" i="1"/>
  <c r="H72" i="1" s="1"/>
  <c r="I71" i="1"/>
  <c r="H71" i="1" s="1"/>
  <c r="I52" i="1"/>
  <c r="H52" i="1" s="1"/>
  <c r="I51" i="1"/>
  <c r="H51" i="1" s="1"/>
  <c r="H64" i="1"/>
  <c r="G64" i="1"/>
  <c r="I59" i="1"/>
  <c r="H59" i="1" s="1"/>
  <c r="I5" i="1"/>
  <c r="H5" i="1" s="1"/>
  <c r="I35" i="1"/>
  <c r="G35" i="1" s="1"/>
  <c r="I22" i="1"/>
  <c r="G22" i="1" s="1"/>
  <c r="I9" i="1"/>
  <c r="H9" i="1" s="1"/>
  <c r="H3" i="1"/>
  <c r="H333" i="1"/>
  <c r="G333" i="1"/>
  <c r="H405" i="1"/>
  <c r="G405" i="1"/>
  <c r="H404" i="1"/>
  <c r="G404" i="1"/>
  <c r="H406" i="1"/>
  <c r="G406" i="1"/>
  <c r="H402" i="1"/>
  <c r="G402" i="1"/>
  <c r="H401" i="1"/>
  <c r="G401" i="1"/>
  <c r="H399" i="1"/>
  <c r="G399" i="1"/>
  <c r="H398" i="1"/>
  <c r="G398" i="1"/>
  <c r="H397" i="1"/>
  <c r="G397" i="1"/>
  <c r="H393" i="1"/>
  <c r="G393" i="1"/>
  <c r="H378" i="1"/>
  <c r="G378" i="1"/>
  <c r="H383" i="1"/>
  <c r="G383" i="1"/>
  <c r="H382" i="1"/>
  <c r="G382" i="1"/>
  <c r="H381" i="1"/>
  <c r="G381" i="1"/>
  <c r="H380" i="1"/>
  <c r="G380" i="1"/>
  <c r="H379" i="1"/>
  <c r="G379" i="1"/>
  <c r="H373" i="1"/>
  <c r="G373" i="1"/>
  <c r="H372" i="1"/>
  <c r="G372" i="1"/>
  <c r="H370" i="1"/>
  <c r="G370" i="1"/>
  <c r="H368" i="1"/>
  <c r="G368" i="1"/>
  <c r="H367" i="1"/>
  <c r="G367" i="1"/>
  <c r="H366" i="1"/>
  <c r="G366" i="1"/>
  <c r="H365" i="1"/>
  <c r="G365" i="1"/>
  <c r="H364" i="1"/>
  <c r="G364" i="1"/>
  <c r="H362" i="1"/>
  <c r="G362" i="1"/>
  <c r="H361" i="1"/>
  <c r="G361" i="1"/>
  <c r="H360" i="1"/>
  <c r="G360" i="1"/>
  <c r="H359" i="1"/>
  <c r="G359" i="1"/>
  <c r="H353" i="1"/>
  <c r="G353" i="1"/>
  <c r="H357" i="1"/>
  <c r="G357" i="1"/>
  <c r="H356" i="1"/>
  <c r="G356" i="1"/>
  <c r="H355" i="1"/>
  <c r="G355" i="1"/>
  <c r="H354" i="1"/>
  <c r="G354" i="1"/>
  <c r="H350" i="1"/>
  <c r="G350" i="1"/>
  <c r="H352" i="1"/>
  <c r="G352" i="1"/>
  <c r="H351" i="1"/>
  <c r="G351" i="1"/>
  <c r="H346" i="1"/>
  <c r="G346" i="1"/>
  <c r="H345" i="1"/>
  <c r="G345" i="1"/>
  <c r="H348" i="1"/>
  <c r="G348" i="1"/>
  <c r="H347" i="1"/>
  <c r="G347" i="1"/>
  <c r="H332" i="1"/>
  <c r="G332" i="1"/>
  <c r="H331" i="1"/>
  <c r="G331" i="1"/>
  <c r="H329" i="1"/>
  <c r="G329" i="1"/>
  <c r="H330" i="1"/>
  <c r="G330" i="1"/>
  <c r="H328" i="1"/>
  <c r="G328" i="1"/>
  <c r="H327" i="1"/>
  <c r="G327" i="1"/>
  <c r="H326" i="1"/>
  <c r="G326" i="1"/>
  <c r="H311" i="1"/>
  <c r="G311" i="1"/>
  <c r="H310" i="1"/>
  <c r="G310" i="1"/>
  <c r="H305" i="1"/>
  <c r="G305" i="1"/>
  <c r="H307" i="1"/>
  <c r="G307" i="1"/>
  <c r="H306" i="1"/>
  <c r="G306" i="1"/>
  <c r="H309" i="1"/>
  <c r="G309" i="1"/>
  <c r="H308" i="1"/>
  <c r="G308" i="1"/>
  <c r="H300" i="1"/>
  <c r="G300" i="1"/>
  <c r="H298" i="1"/>
  <c r="G298" i="1"/>
  <c r="H296" i="1"/>
  <c r="G296" i="1"/>
  <c r="H295" i="1"/>
  <c r="G295" i="1"/>
  <c r="H294" i="1"/>
  <c r="G294" i="1"/>
  <c r="H292" i="1"/>
  <c r="G292" i="1"/>
  <c r="H290" i="1"/>
  <c r="G290" i="1"/>
  <c r="H277" i="1"/>
  <c r="G277" i="1"/>
  <c r="H280" i="1"/>
  <c r="G280" i="1"/>
  <c r="H278" i="1"/>
  <c r="G278" i="1"/>
  <c r="H276" i="1"/>
  <c r="G276" i="1"/>
  <c r="H270" i="1"/>
  <c r="G270" i="1"/>
  <c r="H269" i="1"/>
  <c r="G269" i="1"/>
  <c r="H268" i="1"/>
  <c r="G268" i="1"/>
  <c r="H267" i="1"/>
  <c r="G267" i="1"/>
  <c r="H266" i="1"/>
  <c r="G266" i="1"/>
  <c r="H264" i="1"/>
  <c r="G264" i="1"/>
  <c r="H263" i="1"/>
  <c r="G263" i="1"/>
  <c r="H261" i="1"/>
  <c r="G261" i="1"/>
  <c r="H259" i="1"/>
  <c r="G259" i="1"/>
  <c r="H257" i="1"/>
  <c r="G257" i="1"/>
  <c r="H254" i="1"/>
  <c r="G254" i="1"/>
  <c r="H253" i="1"/>
  <c r="G253" i="1"/>
  <c r="H250" i="1"/>
  <c r="G250" i="1"/>
  <c r="H249" i="1"/>
  <c r="G249" i="1"/>
  <c r="H252" i="1"/>
  <c r="G252" i="1"/>
  <c r="H248" i="1"/>
  <c r="G248" i="1"/>
  <c r="H246" i="1"/>
  <c r="G246" i="1"/>
  <c r="H247" i="1"/>
  <c r="G247" i="1"/>
  <c r="H244" i="1"/>
  <c r="G244" i="1"/>
  <c r="H243" i="1"/>
  <c r="G243" i="1"/>
  <c r="H242" i="1"/>
  <c r="G242" i="1"/>
  <c r="H240" i="1"/>
  <c r="G240" i="1"/>
  <c r="H239" i="1"/>
  <c r="G239" i="1"/>
  <c r="H237" i="1"/>
  <c r="G237" i="1"/>
  <c r="H236" i="1"/>
  <c r="G236" i="1"/>
  <c r="H235" i="1"/>
  <c r="G235" i="1"/>
  <c r="H234" i="1"/>
  <c r="G234" i="1"/>
  <c r="H233" i="1"/>
  <c r="G233" i="1"/>
  <c r="H227" i="1"/>
  <c r="G227" i="1"/>
  <c r="H226" i="1"/>
  <c r="G226" i="1"/>
  <c r="H232" i="1"/>
  <c r="G232" i="1"/>
  <c r="H225" i="1"/>
  <c r="G225" i="1"/>
  <c r="H224" i="1"/>
  <c r="G224" i="1"/>
  <c r="H231" i="1"/>
  <c r="G231" i="1"/>
  <c r="H230" i="1"/>
  <c r="G230" i="1"/>
  <c r="H221" i="1"/>
  <c r="G221" i="1"/>
  <c r="H223" i="1"/>
  <c r="G223" i="1"/>
  <c r="H222" i="1"/>
  <c r="G222" i="1"/>
  <c r="H220" i="1"/>
  <c r="G220" i="1"/>
  <c r="H218" i="1"/>
  <c r="G218" i="1"/>
  <c r="H217" i="1"/>
  <c r="G217" i="1"/>
  <c r="H215" i="1"/>
  <c r="G215" i="1"/>
  <c r="H213" i="1"/>
  <c r="G213" i="1"/>
  <c r="H211" i="1"/>
  <c r="G211" i="1"/>
  <c r="H210" i="1"/>
  <c r="G210" i="1"/>
  <c r="H208" i="1"/>
  <c r="G208" i="1"/>
  <c r="H207" i="1"/>
  <c r="G207" i="1"/>
  <c r="H189" i="1"/>
  <c r="G189" i="1"/>
  <c r="H188" i="1"/>
  <c r="G188" i="1"/>
  <c r="H186" i="1"/>
  <c r="G186" i="1"/>
  <c r="H187" i="1"/>
  <c r="G187" i="1"/>
  <c r="H185" i="1"/>
  <c r="G185" i="1"/>
  <c r="H184" i="1"/>
  <c r="G184" i="1"/>
  <c r="H182" i="1"/>
  <c r="G182" i="1"/>
  <c r="H181" i="1"/>
  <c r="G181" i="1"/>
  <c r="H180" i="1"/>
  <c r="G180" i="1"/>
  <c r="H178" i="1"/>
  <c r="G178" i="1"/>
  <c r="H177" i="1"/>
  <c r="G177" i="1"/>
  <c r="H176" i="1"/>
  <c r="G176" i="1"/>
  <c r="H174" i="1"/>
  <c r="G174" i="1"/>
  <c r="H169" i="1"/>
  <c r="G169" i="1"/>
  <c r="H168" i="1"/>
  <c r="G168" i="1"/>
  <c r="H167" i="1"/>
  <c r="G167" i="1"/>
  <c r="H165" i="1"/>
  <c r="G165" i="1"/>
  <c r="H159" i="1"/>
  <c r="G159" i="1"/>
  <c r="H162" i="1"/>
  <c r="G162" i="1"/>
  <c r="H161" i="1"/>
  <c r="G161" i="1"/>
  <c r="H158" i="1"/>
  <c r="G158" i="1"/>
  <c r="H153" i="1"/>
  <c r="G153" i="1"/>
  <c r="H150" i="1"/>
  <c r="G150" i="1"/>
  <c r="H164" i="1"/>
  <c r="G164" i="1"/>
  <c r="H163" i="1"/>
  <c r="G163" i="1"/>
  <c r="H157" i="1"/>
  <c r="G157" i="1"/>
  <c r="H156" i="1"/>
  <c r="G156" i="1"/>
  <c r="H155" i="1"/>
  <c r="G155" i="1"/>
  <c r="H154" i="1"/>
  <c r="G154" i="1"/>
  <c r="H152" i="1"/>
  <c r="G152" i="1"/>
  <c r="H151" i="1"/>
  <c r="G151" i="1"/>
  <c r="H149" i="1"/>
  <c r="G149" i="1"/>
  <c r="H146" i="1"/>
  <c r="G146" i="1"/>
  <c r="H145" i="1"/>
  <c r="G145" i="1"/>
  <c r="H144" i="1"/>
  <c r="G144" i="1"/>
  <c r="H141" i="1"/>
  <c r="G141" i="1"/>
  <c r="H143" i="1"/>
  <c r="G143" i="1"/>
  <c r="H142" i="1"/>
  <c r="G142" i="1"/>
  <c r="H140" i="1"/>
  <c r="G140" i="1"/>
  <c r="H139" i="1"/>
  <c r="G139" i="1"/>
  <c r="H138" i="1"/>
  <c r="G138" i="1"/>
  <c r="H137" i="1"/>
  <c r="G137" i="1"/>
  <c r="H131" i="1"/>
  <c r="G131" i="1"/>
  <c r="H124" i="1"/>
  <c r="G124" i="1"/>
  <c r="H123" i="1"/>
  <c r="G123" i="1"/>
  <c r="H121" i="1"/>
  <c r="G121" i="1"/>
  <c r="H122" i="1"/>
  <c r="G122" i="1"/>
  <c r="H119" i="1"/>
  <c r="G119" i="1"/>
  <c r="H120" i="1"/>
  <c r="G120" i="1"/>
  <c r="H118" i="1"/>
  <c r="G118" i="1"/>
  <c r="H117" i="1"/>
  <c r="G117" i="1"/>
  <c r="H115" i="1"/>
  <c r="G115" i="1"/>
  <c r="H113" i="1"/>
  <c r="G113" i="1"/>
  <c r="H112" i="1"/>
  <c r="G112" i="1"/>
  <c r="H111" i="1"/>
  <c r="G111" i="1"/>
  <c r="H108" i="1"/>
  <c r="G108" i="1"/>
  <c r="H106" i="1"/>
  <c r="G106" i="1"/>
  <c r="H105" i="1"/>
  <c r="G105" i="1"/>
  <c r="H103" i="1"/>
  <c r="G103" i="1"/>
  <c r="H102" i="1"/>
  <c r="G102" i="1"/>
  <c r="H101" i="1"/>
  <c r="G101" i="1"/>
  <c r="H100" i="1"/>
  <c r="G100" i="1"/>
  <c r="H99" i="1"/>
  <c r="G99" i="1"/>
  <c r="H98" i="1"/>
  <c r="G98" i="1"/>
  <c r="H96" i="1"/>
  <c r="G96" i="1"/>
  <c r="H95" i="1"/>
  <c r="G95" i="1"/>
  <c r="H94" i="1"/>
  <c r="G94" i="1"/>
  <c r="H93" i="1"/>
  <c r="G93" i="1"/>
  <c r="H92" i="1"/>
  <c r="G92" i="1"/>
  <c r="H91" i="1"/>
  <c r="G91" i="1"/>
  <c r="H88" i="1"/>
  <c r="G88" i="1"/>
  <c r="H86" i="1"/>
  <c r="G86" i="1"/>
  <c r="H81" i="1"/>
  <c r="G81" i="1"/>
  <c r="H69" i="1"/>
  <c r="G69" i="1"/>
  <c r="H68" i="1"/>
  <c r="G68" i="1"/>
  <c r="H67" i="1"/>
  <c r="G67" i="1"/>
  <c r="H66" i="1"/>
  <c r="G66" i="1"/>
  <c r="H65" i="1"/>
  <c r="G65" i="1"/>
  <c r="H62" i="1"/>
  <c r="G62" i="1"/>
  <c r="H63" i="1"/>
  <c r="G63" i="1"/>
  <c r="H61" i="1"/>
  <c r="G61" i="1"/>
  <c r="H60" i="1"/>
  <c r="G60" i="1"/>
  <c r="H56" i="1"/>
  <c r="G56" i="1"/>
  <c r="H55" i="1"/>
  <c r="G55" i="1"/>
  <c r="H58" i="1"/>
  <c r="G58" i="1"/>
  <c r="H57" i="1"/>
  <c r="G57" i="1"/>
  <c r="H53" i="1"/>
  <c r="G53" i="1"/>
  <c r="H54" i="1"/>
  <c r="G54" i="1"/>
  <c r="H50" i="1"/>
  <c r="G50" i="1"/>
  <c r="H49" i="1"/>
  <c r="G49" i="1"/>
  <c r="H48" i="1"/>
  <c r="G48" i="1"/>
  <c r="H271" i="1"/>
  <c r="G271" i="1"/>
  <c r="H34" i="1"/>
  <c r="G34" i="1"/>
  <c r="H32" i="1"/>
  <c r="G32" i="1"/>
  <c r="H33" i="1"/>
  <c r="G33" i="1"/>
  <c r="H31" i="1"/>
  <c r="G31" i="1"/>
  <c r="H30" i="1"/>
  <c r="G30" i="1"/>
  <c r="H29" i="1"/>
  <c r="G29" i="1"/>
  <c r="H25" i="1"/>
  <c r="G25" i="1"/>
  <c r="H26" i="1"/>
  <c r="G26" i="1"/>
  <c r="H28" i="1"/>
  <c r="G28" i="1"/>
  <c r="H27" i="1"/>
  <c r="G27" i="1"/>
  <c r="I23" i="1"/>
  <c r="G23" i="1" s="1"/>
  <c r="H24" i="1"/>
  <c r="G24" i="1"/>
  <c r="H20" i="1"/>
  <c r="G20" i="1"/>
  <c r="H19" i="1"/>
  <c r="G19" i="1"/>
  <c r="H18" i="1"/>
  <c r="G18" i="1"/>
  <c r="H16" i="1"/>
  <c r="G16" i="1"/>
  <c r="H15" i="1"/>
  <c r="G15" i="1"/>
  <c r="H14" i="1"/>
  <c r="G14" i="1"/>
  <c r="H12" i="1"/>
  <c r="G12" i="1"/>
  <c r="H11" i="1"/>
  <c r="G11" i="1"/>
  <c r="H10" i="1"/>
  <c r="G10" i="1"/>
  <c r="H47" i="1"/>
  <c r="G47" i="1"/>
  <c r="H46" i="1"/>
  <c r="G46" i="1"/>
  <c r="H45" i="1"/>
  <c r="G45" i="1"/>
  <c r="H44" i="1"/>
  <c r="G44" i="1"/>
  <c r="H43" i="1"/>
  <c r="G43" i="1"/>
  <c r="H42" i="1"/>
  <c r="G42" i="1"/>
  <c r="H41" i="1"/>
  <c r="G41" i="1"/>
  <c r="H40" i="1"/>
  <c r="G40" i="1"/>
  <c r="G39" i="1"/>
  <c r="G38" i="1"/>
  <c r="H37" i="1"/>
  <c r="G37" i="1"/>
  <c r="H36" i="1"/>
  <c r="G36" i="1"/>
  <c r="H320" i="1" l="1"/>
  <c r="H342" i="1"/>
  <c r="G172" i="1"/>
  <c r="G384" i="1"/>
  <c r="G323" i="1"/>
  <c r="H166" i="1"/>
  <c r="H371" i="1"/>
  <c r="G9" i="1"/>
  <c r="G299" i="1"/>
  <c r="H22" i="1"/>
  <c r="G59" i="1"/>
  <c r="G173" i="1"/>
  <c r="H282" i="1"/>
  <c r="G285" i="1"/>
  <c r="H312" i="1"/>
  <c r="G315" i="1"/>
  <c r="H392" i="1"/>
  <c r="G72" i="1"/>
  <c r="H87" i="1"/>
  <c r="G97" i="1"/>
  <c r="G127" i="1"/>
  <c r="H206" i="1"/>
  <c r="G216" i="1"/>
  <c r="H390" i="1"/>
  <c r="H114" i="1"/>
  <c r="G126" i="1"/>
  <c r="H84" i="1"/>
  <c r="H190" i="1"/>
  <c r="G193" i="1"/>
  <c r="G238" i="1"/>
  <c r="G286" i="1"/>
  <c r="H340" i="1"/>
  <c r="H358" i="1"/>
  <c r="H369" i="1"/>
  <c r="H395" i="1"/>
  <c r="G403" i="1"/>
  <c r="G316" i="1"/>
  <c r="G385" i="1"/>
  <c r="H132" i="1"/>
  <c r="G135" i="1"/>
  <c r="H260" i="1"/>
  <c r="G272" i="1"/>
  <c r="G319" i="1"/>
  <c r="G336" i="1"/>
  <c r="H344" i="1"/>
  <c r="G400" i="1"/>
  <c r="G130" i="1"/>
  <c r="G183" i="1"/>
  <c r="G258" i="1"/>
  <c r="G289" i="1"/>
  <c r="G389" i="1"/>
  <c r="G51" i="1"/>
  <c r="G76" i="1"/>
  <c r="G104" i="1"/>
  <c r="G136" i="1"/>
  <c r="G195" i="1"/>
  <c r="G273" i="1"/>
  <c r="G301" i="1"/>
  <c r="G324" i="1"/>
  <c r="G339" i="1"/>
  <c r="G349" i="1"/>
  <c r="H375" i="1"/>
  <c r="G388" i="1"/>
  <c r="G394" i="1"/>
  <c r="G52" i="1"/>
  <c r="G83" i="1"/>
  <c r="G110" i="1"/>
  <c r="G160" i="1"/>
  <c r="G202" i="1"/>
  <c r="G281" i="1"/>
  <c r="G304" i="1"/>
  <c r="G335" i="1"/>
  <c r="H386" i="1"/>
  <c r="H23" i="1"/>
  <c r="H35" i="1"/>
  <c r="H80" i="1"/>
  <c r="H85" i="1"/>
  <c r="H89" i="1"/>
  <c r="H107" i="1"/>
  <c r="H116" i="1"/>
  <c r="H128" i="1"/>
  <c r="H133" i="1"/>
  <c r="H147" i="1"/>
  <c r="H170" i="1"/>
  <c r="H175" i="1"/>
  <c r="H191" i="1"/>
  <c r="H197" i="1"/>
  <c r="H209" i="1"/>
  <c r="H255" i="1"/>
  <c r="H262" i="1"/>
  <c r="H274" i="1"/>
  <c r="H283" i="1"/>
  <c r="H287" i="1"/>
  <c r="H293" i="1"/>
  <c r="H302" i="1"/>
  <c r="H313" i="1"/>
  <c r="H317" i="1"/>
  <c r="H321" i="1"/>
  <c r="H325" i="1"/>
  <c r="H337" i="1"/>
  <c r="H341" i="1"/>
  <c r="G343" i="1"/>
  <c r="G363" i="1"/>
  <c r="G377" i="1"/>
  <c r="G387" i="1"/>
  <c r="G391" i="1"/>
  <c r="G396" i="1"/>
  <c r="G3" i="1"/>
  <c r="G5" i="1"/>
  <c r="G71" i="1"/>
  <c r="G82" i="1"/>
  <c r="G90" i="1"/>
  <c r="G109" i="1"/>
  <c r="G125" i="1"/>
  <c r="G129" i="1"/>
  <c r="G134" i="1"/>
  <c r="G148" i="1"/>
  <c r="G171" i="1"/>
  <c r="G179" i="1"/>
  <c r="G192" i="1"/>
  <c r="G198" i="1"/>
  <c r="G214" i="1"/>
  <c r="G256" i="1"/>
  <c r="G265" i="1"/>
  <c r="G275" i="1"/>
  <c r="G284" i="1"/>
  <c r="G288" i="1"/>
  <c r="G297" i="1"/>
  <c r="G303" i="1"/>
  <c r="G314" i="1"/>
  <c r="G318" i="1"/>
  <c r="G322" i="1"/>
  <c r="G334" i="1"/>
  <c r="G338" i="1"/>
  <c r="H407" i="1" l="1"/>
  <c r="G407" i="1"/>
  <c r="I407" i="1" l="1"/>
</calcChain>
</file>

<file path=xl/sharedStrings.xml><?xml version="1.0" encoding="utf-8"?>
<sst xmlns="http://schemas.openxmlformats.org/spreadsheetml/2006/main" count="2782" uniqueCount="606">
  <si>
    <t>Function</t>
  </si>
  <si>
    <t>Object</t>
  </si>
  <si>
    <t>Use of Funds Number**</t>
  </si>
  <si>
    <t>Activity Number **</t>
  </si>
  <si>
    <t>Account Title &amp; Narrative</t>
  </si>
  <si>
    <t>FTE Position</t>
  </si>
  <si>
    <t xml:space="preserve">Amount for 
2/3 allocation </t>
  </si>
  <si>
    <t xml:space="preserve">Amount for 
1/3 allocation </t>
  </si>
  <si>
    <t>Amount</t>
  </si>
  <si>
    <t>2K</t>
  </si>
  <si>
    <t>2C</t>
  </si>
  <si>
    <t>Activity 3C-6C</t>
  </si>
  <si>
    <t xml:space="preserve"> 8C,12C</t>
  </si>
  <si>
    <t>2I</t>
  </si>
  <si>
    <t xml:space="preserve">Supplies - Personal Protection Equipment (PPE) will be purchased for use by students and staff to reduce the risks related to the coronavirus.                </t>
  </si>
  <si>
    <t>Technology-Related Noncapilatized Fixture and Equipment -Document cameras for instruction to support interactive flat panels (IFP) 1,857 hovercams x 321.00 = $596,097.  Purchase brack boxed for specialized classrooms. $582.70 x 500 = $291,350.00</t>
  </si>
  <si>
    <t>2M</t>
  </si>
  <si>
    <t>FICA Benefits - FICA Benefits of 4 Behavior Specialists.</t>
  </si>
  <si>
    <t xml:space="preserve">2I </t>
  </si>
  <si>
    <t>Supplies - Personal Protection Equipment (PPE) will be purchased for use by students and staff to reduce the risks related to the coronavirus for exceptional students.  $50,000.00</t>
  </si>
  <si>
    <t>2D</t>
  </si>
  <si>
    <t>Salaries - 7 Pre-K Teachers. Year 1 Salary is based on $45,000 + 3%, $46,350 Year 2 Salary is based on $46,350 = 3%, $47,741</t>
  </si>
  <si>
    <t>FICA Benefits - FICA Benefits of 7 Pre-K Teachers</t>
  </si>
  <si>
    <t>FICA Benefits - FICA Benefits of7 Pre-K Paraprofessionals</t>
  </si>
  <si>
    <t>1C</t>
  </si>
  <si>
    <t>10C</t>
  </si>
  <si>
    <t>1-2M</t>
  </si>
  <si>
    <t>Activity 6C 11C,12C</t>
  </si>
  <si>
    <t>9C,10C</t>
  </si>
  <si>
    <t xml:space="preserve">2L </t>
  </si>
  <si>
    <t xml:space="preserve">6C </t>
  </si>
  <si>
    <t>2L</t>
  </si>
  <si>
    <t>Salaries _Graduation Facilitators (7) one at each school. They will track, counsel, and mentor students to ensure they are meeting graduation requirements as well as help them get prepared for post-secondary careers or education  7 x $47,000.00 = $ 329,000.00 Year 1 7x  48,410.00 (3%increase ) for Year 2 $338,870.00</t>
  </si>
  <si>
    <t>2,3</t>
  </si>
  <si>
    <t>2E</t>
  </si>
  <si>
    <t xml:space="preserve">2R </t>
  </si>
  <si>
    <t>Salaries Temporary Records Manager @ 26.98/hr for 8 /day for 227 days = $ 48,996.00</t>
  </si>
  <si>
    <t>Retirement Benefits- Temporary Records Manager Assistant</t>
  </si>
  <si>
    <t>FICA  Benefits (District Code 220) Temporary Records Manager Assistant</t>
  </si>
  <si>
    <t>Health Benefits - (MCPS object code 230) Temporary Records Manager Assistant</t>
  </si>
  <si>
    <t>Life Benefits (MCPS Object Code 231)  Temporary Records Manager Assistant</t>
  </si>
  <si>
    <t>Medicare Benefits Temporary Records Manager Assistant</t>
  </si>
  <si>
    <t>Workman's Compensation Benefits (District Code 232) Temporary Records Manager Assistant</t>
  </si>
  <si>
    <t>5C</t>
  </si>
  <si>
    <t>Material and Supplies - PPE for Health clinics</t>
  </si>
  <si>
    <t>2N iii</t>
  </si>
  <si>
    <t>FICA Benefits - FICA Benefits of 48 Home-School Liaisons (year 2 only)</t>
  </si>
  <si>
    <t>2Niii</t>
  </si>
  <si>
    <t>6C</t>
  </si>
  <si>
    <t>2R</t>
  </si>
  <si>
    <t>FICA Benefits - FICA Benefits of 1 Principal on Assignment for Transformation Schools</t>
  </si>
  <si>
    <t>FICA Benefits - FICA Benefits of 1 program specialist for ESSER grants</t>
  </si>
  <si>
    <t>FICA Benefits - FICA Benefits of 1 Budget Specialist for ESSER grants.</t>
  </si>
  <si>
    <t>FICA Benefits - FICA Benefits of 3 Content Area Specialists.</t>
  </si>
  <si>
    <t xml:space="preserve">Workers' Compensation Benefits - (MCPS object code 232) Workers' Compensation benefits of2 Principals on assignment </t>
  </si>
  <si>
    <t>2F</t>
  </si>
  <si>
    <t>Salaries - Instructional Staff (1500) Professional Development (PD Offerings x 36 weeks) Paid at $25.00/hr. x 1 hr. x 1,500 teachers x 36 weeks of trainings x 2 years = $2,700,000.  Instructional Staff (105) SEL / Behavior Support Training stipends at $25.00/hr. x 6 hrs. of training x 105 participants for SEL and behavior support training x 2 years = $31,500.00.  Instructional Staff (1500) Professional Development (Optional 4 Days, July 26-29, 2021).  1500 teachers x $25 /hr. x 5 days x 6 hours per day = $1,125,000. To include MCPS presenters at Parent Partnership Events 10 presenters x 6 hours x 5 events.$15,000.00 Funds include professional development for onboarding new hires and interns.</t>
  </si>
  <si>
    <t>1,2</t>
  </si>
  <si>
    <t>Retirement - MCPS Presenters</t>
  </si>
  <si>
    <t>FICA Benefits - FICA Benefits for: Instructional PD offerings x 36 weeks &amp; SEL and Behavior Support Training (105) &amp; Optional 4 Days of PD Teachers &amp; Optional 5 Days of PD Paraprofessionals)</t>
  </si>
  <si>
    <t>Medicare Benefits -  (MCPS object code 233) Medicare Benefits for: Instructional PD offerings x 36 weeks &amp; SEL and Behavior Support Training (105) &amp; Optional 4 Days of PD Teachers &amp; Optional 4 Days of PD Paraprofessionals)</t>
  </si>
  <si>
    <t>Workers' Compensation Benefits - (MCPS object code 232) Workers' Compensation Benefits for: Instructional PD offerings x 36 weeks &amp; SEL and Behavior Support Training (105) &amp; Optional 4 Days of PD Teachers &amp; Optional 4 Days of PD Paraprofessionals)</t>
  </si>
  <si>
    <t>Out of County Travel - Registration, airfare, hotel, mileage meals for team of 10 for Harvard University Parent Professional Development  @ 2,000 each x 2 years</t>
  </si>
  <si>
    <t>11C</t>
  </si>
  <si>
    <t>3C</t>
  </si>
  <si>
    <t>2J</t>
  </si>
  <si>
    <t xml:space="preserve">Installation  of IFP $325.00 x 200 classrooms </t>
  </si>
  <si>
    <t>2S</t>
  </si>
  <si>
    <t>Salaries - Salaries for 47 Receptionists (Summer School 2022 only) (47 schools x $15.40 p/h x 32 /hrs. weekly x 6 weeks = $135,360 x 2 summers</t>
  </si>
  <si>
    <t xml:space="preserve">2M </t>
  </si>
  <si>
    <t>2Ni</t>
  </si>
  <si>
    <t>1C.</t>
  </si>
  <si>
    <t>2O</t>
  </si>
  <si>
    <t>Capitalized Remodeling and Renovations - Construct Covered Dining area to provide outside dining for fresh air. 4 covered areas x $450,000.00</t>
  </si>
  <si>
    <t>2P</t>
  </si>
  <si>
    <t>Noncapitalized remodeling and renovations - Non-capitalized Heating, Ventilation and Air-Conditioning (HVAC) remodeling and renovations to upgrade and address HVAC needs at schools to improve indoor air quality.  $2,130,293</t>
  </si>
  <si>
    <t>Other Materials and Supplies Recruiting school and department kits. (Non-consumable, stands, framing, onboarding)= $6,000 total</t>
  </si>
  <si>
    <t>Salaries - Hire 20 School Bus Aides (Summer School 2023 &amp; 2024) to expand routing in the district. Bus Drivers. Year 1 = 20 bus aides x $12.45/hr. x 6 hrs./day x 23 days/yr. = $34,362. year 2 $12.82/hr. x 6hrs/day x 23 days/yr. = $35,384</t>
  </si>
  <si>
    <t>Retirement Benefits</t>
  </si>
  <si>
    <t>FICA Benefits - FICA Benefits of 50 Bus Drivers for Summer School</t>
  </si>
  <si>
    <t>FICA Benefits - FICA Benefits of and 20 Bus Aides .</t>
  </si>
  <si>
    <t>FICA Benefits</t>
  </si>
  <si>
    <t>Health Benefits</t>
  </si>
  <si>
    <t>Life Benefits</t>
  </si>
  <si>
    <t>Workers' Compensation Benefits</t>
  </si>
  <si>
    <t>Medicare Benefits</t>
  </si>
  <si>
    <t>McIntosh Activity 1.   Provide transportation for based on the student’s need.  Transportation will  promote and facilitate daily attendance and provide opportunities for afterschool and summer enrichment. $ 16,785.00 for the 3 years.</t>
  </si>
  <si>
    <t xml:space="preserve">Supplies - Personal Protection Equipment (PPE) will be purchased for use by students and staff to reduce the risks related to the coronavirus.  </t>
  </si>
  <si>
    <t>Buses - Purchase 13 School Buses to expand routing in the district.  13 buses x $112,077 each = $1,457,001</t>
  </si>
  <si>
    <t>2I, 2O, 2R</t>
  </si>
  <si>
    <t>7C,8C,14C</t>
  </si>
  <si>
    <t>Other Materials and Supplies - water filters for water filling stations @ 60 each x 3  x 1184= $213,120.00 x 2 years</t>
  </si>
  <si>
    <t xml:space="preserve"> Purchase of Tornado Vacuums with High-Efficiency Particulate Air (HEPA) filtration for daily cleaning demands for all school and district facilities.$400.00 x 345</t>
  </si>
  <si>
    <t>7C,8C-9C</t>
  </si>
  <si>
    <t xml:space="preserve">Professional Services -Contracted Services for Translation 30,000.00 annually x 2 years.  </t>
  </si>
  <si>
    <t>Talent Development $60,000.00 Bonus program for employee referrals @ $200 per referral resulting in hiring and longevity of referred applicant. Expanding recruitment efforts to all employees in the district for targeting up to 150 positions annually toward closing diversity gaps and filling hard to staff positions. 150 referrals per year, $200 per fully met referral specifications @ $30,000 annually= $60,000 total.</t>
  </si>
  <si>
    <t>5100</t>
  </si>
  <si>
    <t>Instructional - Teacher: Bonus Amount</t>
  </si>
  <si>
    <t>Instructional - Classroom Substitutes: Bonus Amount</t>
  </si>
  <si>
    <t>Instructional - Paraprofessionals: Bonus Amount</t>
  </si>
  <si>
    <t>5200</t>
  </si>
  <si>
    <t>ESE - Paraprofessionals: Bonus Amount</t>
  </si>
  <si>
    <t>ESE - Other Support Personnel: Bonus Amount</t>
  </si>
  <si>
    <t>5300</t>
  </si>
  <si>
    <t>CTE - Teacher: Bonus Amount</t>
  </si>
  <si>
    <t>CTE - Other Support Personnel: Bonus Amount</t>
  </si>
  <si>
    <t>CTE - FICA (District Code 220); Medicare (District Code 233)</t>
  </si>
  <si>
    <t>CTE - Workers Comp (District Code 232)</t>
  </si>
  <si>
    <t>5400</t>
  </si>
  <si>
    <t>Adult General - Teacher: Bonus Amount</t>
  </si>
  <si>
    <t>Adult General - Paraprofessionals: Bonus Amount</t>
  </si>
  <si>
    <t>Adult General - FICA (District Code 220); Medicare (District Code 233)</t>
  </si>
  <si>
    <t>Adult General - Workers Comp (District Code 232)</t>
  </si>
  <si>
    <t>5500</t>
  </si>
  <si>
    <t>Pre-K - Other Certified : Bonus Amount</t>
  </si>
  <si>
    <t>Pre-K - Paraprofessionals: Bonus Amount</t>
  </si>
  <si>
    <t>Pre-K - Other Support Personnel: Bonus Amount</t>
  </si>
  <si>
    <t>Pre-K - FICA (District Code 220); Medicare (District Code 233)</t>
  </si>
  <si>
    <t>Pre-K - Workers Comp (District Code 232)</t>
  </si>
  <si>
    <t>5900</t>
  </si>
  <si>
    <t>Other Instruction - Teacher: Bonus Amount</t>
  </si>
  <si>
    <t>Other Instruction - Paraprofessional: Bonus Amount</t>
  </si>
  <si>
    <t>Other Instruction - Other Support Personnel: Bonus Amount</t>
  </si>
  <si>
    <t>Other Instruction - FICA (District Code 220); Medicare (District Code 233)</t>
  </si>
  <si>
    <t>Other Instruction - Workers Comp (District Code 232)</t>
  </si>
  <si>
    <t>6100</t>
  </si>
  <si>
    <t>Student Support Services - Administrator: Bonus Amount</t>
  </si>
  <si>
    <t>Student Support Services - Other Certified : Bonus Amount</t>
  </si>
  <si>
    <t>Student Support Services - Paraprofessionals: Bonus Amount</t>
  </si>
  <si>
    <t>Student Support Services - Other Support Personnel: Bonus Amount</t>
  </si>
  <si>
    <t>Student Support Services - FICA (District Code 220); Medicare (District Code 233)</t>
  </si>
  <si>
    <t>Student Support Services - Workers Comp (District Code 232)</t>
  </si>
  <si>
    <t>6110</t>
  </si>
  <si>
    <t>Attendance and Social Work - Other Certified : Bonus Amount</t>
  </si>
  <si>
    <t>Attendance and Social Work - Paraprofessionals: Bonus Amount</t>
  </si>
  <si>
    <t>Attendance and Social Work - Other Support Personnel: Bonus Amount</t>
  </si>
  <si>
    <t>Attendance and Social Work - FICA (District Code 220); Medicare (District Code 233)</t>
  </si>
  <si>
    <t>Attendance and Social Work - Workers Comp (District Code 232)</t>
  </si>
  <si>
    <t>6130</t>
  </si>
  <si>
    <t>Health services - Other Certified : Bonus Amount</t>
  </si>
  <si>
    <t>Health services - Paraprofessionals: Bonus Amount</t>
  </si>
  <si>
    <t>Health services - FICA (District Code 220); Medicare (District Code 233)</t>
  </si>
  <si>
    <t>Health services - Workers Comp (District Code 232)</t>
  </si>
  <si>
    <t>6140</t>
  </si>
  <si>
    <t>Psychological Services - Other Certified : Bonus Amount</t>
  </si>
  <si>
    <t>Psychological Services - Other Support Personnel: Bonus Amount</t>
  </si>
  <si>
    <t>Psychological Services - FICA (District Code 220); Medicare (District Code 233)</t>
  </si>
  <si>
    <t>Psychological Services - Workers Comp (District Code 232)</t>
  </si>
  <si>
    <t>6150</t>
  </si>
  <si>
    <t>Parental Involvement - Other Support Personnel: Bonus Amount</t>
  </si>
  <si>
    <t>Parental Involvement - FICA (District Code 220); Medicare (District Code 233)</t>
  </si>
  <si>
    <t>Parental Involvement - Workers Comp (District Code 232)</t>
  </si>
  <si>
    <t>6190</t>
  </si>
  <si>
    <t>Other Student Support Services - Other Certified : Bonus Amount</t>
  </si>
  <si>
    <t>Other Student Support Services - FICA (District Code 220); Medicare (District Code 233)</t>
  </si>
  <si>
    <t>Other Student Support Services - Workers Comp (District Code 232)</t>
  </si>
  <si>
    <t>6200</t>
  </si>
  <si>
    <t>Instructional Media Services - Administrator: Bonus Amount</t>
  </si>
  <si>
    <t>Instructional Media Services - Other Certified : Bonus Amount</t>
  </si>
  <si>
    <t>Instructional Media Services - Paraprofessionals: Bonus Amount</t>
  </si>
  <si>
    <t>Instructional Media Services - Other Support Personnel: Bonus Amount</t>
  </si>
  <si>
    <t>Instructional Media Services - FICA (District Code 220); Medicare (District Code 233)</t>
  </si>
  <si>
    <t>Instructional Media Services - Workers Comp (District Code 232)</t>
  </si>
  <si>
    <t>6300</t>
  </si>
  <si>
    <t>Instruction and Curriculum Development Services - Administrator: Bonus Amount</t>
  </si>
  <si>
    <t>Instruction and Curriculum Development Services - Other Certified : Bonus Amount</t>
  </si>
  <si>
    <t>Instruction and Curriculum Development Services - Other Support Personnel: Bonus Amount</t>
  </si>
  <si>
    <t>FICA Benefits - FICA Benefits of 1 Multi-Cultural Coordinator</t>
  </si>
  <si>
    <t>Instruction and Curriculum Development Services - Workers Comp (District Code 232)</t>
  </si>
  <si>
    <t>6400</t>
  </si>
  <si>
    <t>Instructional Staff Training Services - Administrator: Bonus Amount</t>
  </si>
  <si>
    <t>Instructional Staff Training Services - Other Certified : Bonus Amount</t>
  </si>
  <si>
    <t>Instructional Staff Training Services - Other Support Personnel: Bonus Amount</t>
  </si>
  <si>
    <t>Instructional Staff Training Services - FICA (District Code 220); Medicare (District Code 233)</t>
  </si>
  <si>
    <t>Instructional Staff Training Services - Workers Comp (District Code 232)</t>
  </si>
  <si>
    <t>6500</t>
  </si>
  <si>
    <t>Instruction-Related Technology - Administrator: Bonus Amount</t>
  </si>
  <si>
    <t>Instruction-Related Technology - Other Support Personnel: Bonus Amount</t>
  </si>
  <si>
    <t>Instruction-Related Technology - FICA (District Code 220); Medicare (District Code 233)</t>
  </si>
  <si>
    <t>Instruction-Related Technology - Workers Comp (District Code 232)</t>
  </si>
  <si>
    <t>7100</t>
  </si>
  <si>
    <t>Board - Administrator: Bonus Amount</t>
  </si>
  <si>
    <t>Board - Other Support Personnel: Bonus Amount</t>
  </si>
  <si>
    <t>Board - Board Members and Attorney: Bonus Amount</t>
  </si>
  <si>
    <t>Board - FICA (District Code 220); Medicare (District Code 233)</t>
  </si>
  <si>
    <t>Board - Workers Comp (District Code 232)</t>
  </si>
  <si>
    <t>7200</t>
  </si>
  <si>
    <t>General Administration (Superintendent's Office) - Administrator: Bonus Amount</t>
  </si>
  <si>
    <t>General Administration (Superintendent's Office) - Other Support Personnel: Bonus Amount</t>
  </si>
  <si>
    <t>General Administration (Superintendent's Office) - FICA (District Code 220); Medicare (District Code 233)</t>
  </si>
  <si>
    <t>General Administration (Superintendent's Office) - Workers Comp (District Code 232)</t>
  </si>
  <si>
    <t>7300</t>
  </si>
  <si>
    <t>School Administration (Office of the Principal)  - Administrator: Bonus Amount</t>
  </si>
  <si>
    <t>School Administration (Office of the Principal)  - Other Support Personnel: Bonus Amount</t>
  </si>
  <si>
    <t>School Administration (Office of the Principal)  - FICA (District Code 220); Medicare (District Code 233)</t>
  </si>
  <si>
    <t>School Administration (Office of the Principal)  - Workers Comp (District Code 232)</t>
  </si>
  <si>
    <t>7400</t>
  </si>
  <si>
    <t>Facilities acquisition and Construction - Administrator: Bonus Amount</t>
  </si>
  <si>
    <t>Facilities acquisition and Construction - Other Support Personnel: Bonus Amount</t>
  </si>
  <si>
    <t>Facilities acquisition and Construction - FICA (District Code 220); Medicare (District Code 233)</t>
  </si>
  <si>
    <t>Facilities acquisition and Construction - Workers Comp (District Code 232)</t>
  </si>
  <si>
    <t>7500</t>
  </si>
  <si>
    <t>Fiscal Services - Administrator: Bonus Amount</t>
  </si>
  <si>
    <t>Fiscal Services - Other Support Personnel: Bonus Amount</t>
  </si>
  <si>
    <t>Fiscal Services - FICA (District Code 220); Medicare (District Code 233)</t>
  </si>
  <si>
    <t>Fiscal Services - Workers Comp (District Code 232)</t>
  </si>
  <si>
    <t>7710</t>
  </si>
  <si>
    <t>Planning, Research, Development and Evaluation Services - Other Support Personnel: Bonus Amount</t>
  </si>
  <si>
    <t>Planning, Research, Development and Evaluation Services - FICA (District Code 220); Medicare (District Code 233)</t>
  </si>
  <si>
    <t>Planning, Research, Development and Evaluation Services - Workers Comp (District Code 232)</t>
  </si>
  <si>
    <t>7720</t>
  </si>
  <si>
    <t>Information Services - Other Support Personnel: Bonus Amount</t>
  </si>
  <si>
    <t>Information Services - FICA (District Code 220); Medicare (District Code 233)</t>
  </si>
  <si>
    <t>Information Services - Workers Comp (District Code 232)</t>
  </si>
  <si>
    <t>7730</t>
  </si>
  <si>
    <t>Personnel Services - Administrator: Bonus Amount</t>
  </si>
  <si>
    <t>Personnel Services - Other Support Personnel: Bonus Amount</t>
  </si>
  <si>
    <t>Personnel Services - FICA (District Code 220); Medicare (District Code 233)</t>
  </si>
  <si>
    <t>Personnel Services - Workers Comp (District Code 232)</t>
  </si>
  <si>
    <t>7740</t>
  </si>
  <si>
    <t>Statistical Services - Administrator: Bonus Amount</t>
  </si>
  <si>
    <t>Statistical Services - Other Support Personnel: Bonus Amount</t>
  </si>
  <si>
    <t>Statistical Services - FICA (District Code 220); Medicare (District Code 233)</t>
  </si>
  <si>
    <t>Statistical Services - Workers Comp (District Code 232)</t>
  </si>
  <si>
    <t>7760</t>
  </si>
  <si>
    <t>Internal Services - Other Support Personnel: Bonus Amount</t>
  </si>
  <si>
    <t>Internal Services - FICA (District Code 220); Medicare (District Code 233)</t>
  </si>
  <si>
    <t>Internal Services - Workers Comp (District Code 232)</t>
  </si>
  <si>
    <t>7790</t>
  </si>
  <si>
    <t>Other Central Services - Other Support Personnel: Bonus Amount</t>
  </si>
  <si>
    <t>Other Central Services - FICA (District Code 220); Medicare (District Code 233)</t>
  </si>
  <si>
    <t>Other Central Services - Workers Comp (District Code 232)</t>
  </si>
  <si>
    <t>Student Transportation Services - Administrator: Bonus Amount</t>
  </si>
  <si>
    <t>Student Transportation Services - Other Support Personnel: Bonus Amount</t>
  </si>
  <si>
    <t>Student Transportation Services - Workers Comp (District Code 232)</t>
  </si>
  <si>
    <t>7900</t>
  </si>
  <si>
    <t>Operation of Plant  - Administrator: Bonus Amount</t>
  </si>
  <si>
    <t>Operation of Plant  - Other Support Personnel: Bonus Amount</t>
  </si>
  <si>
    <t>Operation of Plant  - FICA (District Code 220); Medicare (District Code 233)</t>
  </si>
  <si>
    <t>Operation of Plant  - Workers Comp (District Code 232)</t>
  </si>
  <si>
    <t>8100</t>
  </si>
  <si>
    <t>Maintenance of Plant  - Administrator: Bonus Amount</t>
  </si>
  <si>
    <t>Maintenance of Plant  - Other Support Personnel: Bonus Amount</t>
  </si>
  <si>
    <t>Maintenance of Plant  - FICA (District Code 220); Medicare (District Code 233)</t>
  </si>
  <si>
    <t>Maintenance of Plant  - Workers Comp (District Code 232)</t>
  </si>
  <si>
    <t>8200</t>
  </si>
  <si>
    <t>Administrative Technology Services - Administrator: Bonus Amount</t>
  </si>
  <si>
    <t>Administrative Technology Services - Other Certified : Bonus Amount</t>
  </si>
  <si>
    <t>Administrative Technology Services - Other Support Personnel: Bonus Amount</t>
  </si>
  <si>
    <t>Administrative Technology Services - FICA (District Code 220); Medicare (District Code 233)</t>
  </si>
  <si>
    <t>Administrative Technology Services - Workers Comp (District Code 232)</t>
  </si>
  <si>
    <t>9100</t>
  </si>
  <si>
    <t>Community Services - Administrator: Bonus Amount</t>
  </si>
  <si>
    <t>Community Services - Other Certified : Bonus Amount</t>
  </si>
  <si>
    <t>Community Services - Other Support Personnel: Bonus Amount</t>
  </si>
  <si>
    <t>Community Services - FICA (District Code 220); Medicare (District Code 233)</t>
  </si>
  <si>
    <t>Community Services - Workers Comp (District Code 232)</t>
  </si>
  <si>
    <r>
      <rPr>
        <b/>
        <u/>
        <sz val="12"/>
        <rFont val="Times New Roman"/>
        <family val="1"/>
      </rPr>
      <t>Salaries</t>
    </r>
    <r>
      <rPr>
        <sz val="12"/>
        <rFont val="Times New Roman"/>
        <family val="1"/>
      </rPr>
      <t xml:space="preserve"> Hire 20 Career Education teachers to support evidenced-based full service secondary schools Salaries $961,169.00 </t>
    </r>
  </si>
  <si>
    <r>
      <rPr>
        <b/>
        <u/>
        <sz val="12"/>
        <rFont val="Times New Roman"/>
        <family val="1"/>
      </rPr>
      <t>Salaries</t>
    </r>
    <r>
      <rPr>
        <sz val="12"/>
        <rFont val="Times New Roman"/>
        <family val="1"/>
      </rPr>
      <t xml:space="preserve"> Hire 1 clerical staff to support reading plan associated with learning loss for one year. Salary $51,477.00 </t>
    </r>
  </si>
  <si>
    <t xml:space="preserve">Salaries Hire a program specialist to support evidenced based art and music curriculum for one year. Salary 75,623.00 </t>
  </si>
  <si>
    <t>C) TOTAL</t>
  </si>
  <si>
    <t>DOE 101</t>
  </si>
  <si>
    <t>ESSER III DOE 101</t>
  </si>
  <si>
    <t>Revised July 2015</t>
  </si>
  <si>
    <t>FICA Benefits - FICA Benefits of 50 Bus Drivers for Summer School 2022 &amp; 2023.</t>
  </si>
  <si>
    <r>
      <rPr>
        <b/>
        <u/>
        <sz val="12"/>
        <rFont val="Times New Roman"/>
        <family val="1"/>
      </rPr>
      <t>Salaries</t>
    </r>
    <r>
      <rPr>
        <sz val="12"/>
        <rFont val="Times New Roman"/>
        <family val="1"/>
      </rPr>
      <t xml:space="preserve"> - The district will hire 5 Intervention Teachers for the four non-Title I schools and Eighth Street Elementary to address student learning loss and teacher efficacy.  5 Intervention Teachers Year 1 = $45,000 + 3% = $46,350= $ 231,750.00 Year 2= $46,350 + 3% = $47,741. x 5 = $238,705.00Salaries - Hire (17) Secondary Intensive Math Teachers.  Hire (10) Elementary Intervention Teachers for Reading and Math.  Year 1 Salary = $46,350 (based on 3% increase on mid-level range of $45,000 after 14 years experience in year 1).  Year 2 is based on $47,741 which includes 3% increase on year 1.</t>
    </r>
  </si>
  <si>
    <r>
      <rPr>
        <b/>
        <u/>
        <sz val="12"/>
        <rFont val="Times New Roman"/>
        <family val="1"/>
      </rPr>
      <t>Salaries</t>
    </r>
    <r>
      <rPr>
        <sz val="12"/>
        <rFont val="Times New Roman"/>
        <family val="1"/>
      </rPr>
      <t xml:space="preserve"> - All schools will hire a Classroom Substitute position to support direct instruction and reduce interruption to highly-effective instruction due to teacher absence. Year 1 (187 days 7 hours a day $16.16 + 3% = $16.64 x 1309 hours x 48  Year 2 $16.64 + 3% = $17.14 x 1309 x 48</t>
    </r>
  </si>
  <si>
    <r>
      <rPr>
        <b/>
        <u/>
        <sz val="12"/>
        <rFont val="Times New Roman"/>
        <family val="1"/>
      </rPr>
      <t>Salaries</t>
    </r>
    <r>
      <rPr>
        <sz val="12"/>
        <rFont val="Times New Roman"/>
        <family val="1"/>
      </rPr>
      <t xml:space="preserve"> - Schools receiving students due to school closing will hire 7 paraprofessionals support schools receiving students.  187 days, 6 hours a day Year 1 =  $16.16 + 3% = $16.64. Year 2 = $16.64 + 3% = $17.14</t>
    </r>
  </si>
  <si>
    <r>
      <rPr>
        <b/>
        <u/>
        <sz val="12"/>
        <rFont val="Times New Roman"/>
        <family val="1"/>
      </rPr>
      <t>Retirement Benefits</t>
    </r>
    <r>
      <rPr>
        <sz val="12"/>
        <rFont val="Times New Roman"/>
        <family val="1"/>
      </rPr>
      <t xml:space="preserve"> - Retirement benefits of Classroom Substitutes</t>
    </r>
  </si>
  <si>
    <r>
      <rPr>
        <b/>
        <u/>
        <sz val="12"/>
        <rFont val="Times New Roman"/>
        <family val="1"/>
      </rPr>
      <t>Retirement Benefits</t>
    </r>
    <r>
      <rPr>
        <sz val="12"/>
        <rFont val="Times New Roman"/>
        <family val="1"/>
      </rPr>
      <t xml:space="preserve"> - Retirement benefits of 5 Intervention Teachers for the 4 Non Title 1 Schools + Eighth Street.</t>
    </r>
  </si>
  <si>
    <r>
      <rPr>
        <b/>
        <u/>
        <sz val="12"/>
        <rFont val="Times New Roman"/>
        <family val="1"/>
      </rPr>
      <t>Retirement Benefits</t>
    </r>
    <r>
      <rPr>
        <sz val="12"/>
        <rFont val="Times New Roman"/>
        <family val="1"/>
      </rPr>
      <t xml:space="preserve"> - Retirement benefits of 7 Paraprofessional</t>
    </r>
  </si>
  <si>
    <r>
      <rPr>
        <b/>
        <u/>
        <sz val="12"/>
        <rFont val="Times New Roman"/>
        <family val="1"/>
      </rPr>
      <t xml:space="preserve">FICA Benefits </t>
    </r>
    <r>
      <rPr>
        <sz val="12"/>
        <rFont val="Times New Roman"/>
        <family val="1"/>
      </rPr>
      <t>- FICA Benefits of Classroom Substitutes</t>
    </r>
  </si>
  <si>
    <r>
      <rPr>
        <b/>
        <u/>
        <sz val="12"/>
        <rFont val="Times New Roman"/>
        <family val="1"/>
      </rPr>
      <t>Medicare Benefits</t>
    </r>
    <r>
      <rPr>
        <sz val="12"/>
        <rFont val="Times New Roman"/>
        <family val="1"/>
      </rPr>
      <t xml:space="preserve"> - (MCPS object code 233)  Medicare benefits of Classroom Substitutes </t>
    </r>
  </si>
  <si>
    <r>
      <rPr>
        <b/>
        <u/>
        <sz val="12"/>
        <rFont val="Times New Roman"/>
        <family val="1"/>
      </rPr>
      <t xml:space="preserve">FICA Benefits </t>
    </r>
    <r>
      <rPr>
        <sz val="12"/>
        <rFont val="Times New Roman"/>
        <family val="1"/>
      </rPr>
      <t>- FICA Benefits of 5 Intervention Teachers for the 4 Non Title 1 Schools + Eighth Street.</t>
    </r>
  </si>
  <si>
    <r>
      <rPr>
        <b/>
        <u/>
        <sz val="12"/>
        <rFont val="Times New Roman"/>
        <family val="1"/>
      </rPr>
      <t>Medicare Benefits</t>
    </r>
    <r>
      <rPr>
        <sz val="12"/>
        <rFont val="Times New Roman"/>
        <family val="1"/>
      </rPr>
      <t xml:space="preserve"> - (MCPS object code 233)  Medicare benefits of 5 Intervention Teachers for the 4 Non Title 1 Schools + Eighth Street.</t>
    </r>
  </si>
  <si>
    <r>
      <rPr>
        <b/>
        <u/>
        <sz val="12"/>
        <rFont val="Times New Roman"/>
        <family val="1"/>
      </rPr>
      <t>FICA Benefits</t>
    </r>
    <r>
      <rPr>
        <sz val="12"/>
        <rFont val="Times New Roman"/>
        <family val="1"/>
      </rPr>
      <t xml:space="preserve"> - FICA Benefits of 7 Paraprofessionals + 100 K-1 paras L300</t>
    </r>
  </si>
  <si>
    <r>
      <rPr>
        <b/>
        <u/>
        <sz val="12"/>
        <rFont val="Times New Roman"/>
        <family val="1"/>
      </rPr>
      <t>Medicare Benefits</t>
    </r>
    <r>
      <rPr>
        <sz val="12"/>
        <rFont val="Times New Roman"/>
        <family val="1"/>
      </rPr>
      <t xml:space="preserve"> - (MCPS object code 233)  Medicare benefits of 7 Paraprofessionals + 100 K-1 paras for L300</t>
    </r>
  </si>
  <si>
    <r>
      <rPr>
        <b/>
        <u/>
        <sz val="12"/>
        <rFont val="Times New Roman"/>
        <family val="1"/>
      </rPr>
      <t>Health Benefits</t>
    </r>
    <r>
      <rPr>
        <sz val="12"/>
        <rFont val="Times New Roman"/>
        <family val="1"/>
      </rPr>
      <t xml:space="preserve"> - (MCPS object code 230) Health benefits of Classroom Substitutes  </t>
    </r>
  </si>
  <si>
    <r>
      <rPr>
        <b/>
        <u/>
        <sz val="12"/>
        <rFont val="Times New Roman"/>
        <family val="1"/>
      </rPr>
      <t>Health Benefits</t>
    </r>
    <r>
      <rPr>
        <sz val="12"/>
        <rFont val="Times New Roman"/>
        <family val="1"/>
      </rPr>
      <t xml:space="preserve"> - (MCPS object code 230) Health benefits of 5 Intervention Teachers for the 4 Non Title 1 Schools + Eighth Street.</t>
    </r>
  </si>
  <si>
    <r>
      <rPr>
        <b/>
        <u/>
        <sz val="12"/>
        <rFont val="Times New Roman"/>
        <family val="1"/>
      </rPr>
      <t>Health Benefits</t>
    </r>
    <r>
      <rPr>
        <sz val="12"/>
        <rFont val="Times New Roman"/>
        <family val="1"/>
      </rPr>
      <t xml:space="preserve"> - (MCPS object code 230) Health benefits of 7 Paraprofessionals</t>
    </r>
  </si>
  <si>
    <r>
      <rPr>
        <b/>
        <u/>
        <sz val="12"/>
        <rFont val="Times New Roman"/>
        <family val="1"/>
      </rPr>
      <t>Life Benefits</t>
    </r>
    <r>
      <rPr>
        <sz val="12"/>
        <rFont val="Times New Roman"/>
        <family val="1"/>
      </rPr>
      <t xml:space="preserve"> -  (MCPS object code 231) Life benefits of Classroom Substitutes</t>
    </r>
  </si>
  <si>
    <r>
      <rPr>
        <b/>
        <u/>
        <sz val="12"/>
        <rFont val="Times New Roman"/>
        <family val="1"/>
      </rPr>
      <t>Life Benefits</t>
    </r>
    <r>
      <rPr>
        <sz val="12"/>
        <rFont val="Times New Roman"/>
        <family val="1"/>
      </rPr>
      <t xml:space="preserve"> -  (MCPS object code 231) Life benefits of 5 Intervention Teachers for the 4 Non Title 1 Schools + Eighth Street.</t>
    </r>
  </si>
  <si>
    <r>
      <rPr>
        <b/>
        <u/>
        <sz val="12"/>
        <rFont val="Times New Roman"/>
        <family val="1"/>
      </rPr>
      <t>Life Benefits</t>
    </r>
    <r>
      <rPr>
        <sz val="12"/>
        <rFont val="Times New Roman"/>
        <family val="1"/>
      </rPr>
      <t xml:space="preserve"> -  (MCPS object code 231) Life benefits of 7 Paraprofessionals + 100 paras for K-1 L300</t>
    </r>
  </si>
  <si>
    <r>
      <rPr>
        <b/>
        <u/>
        <sz val="12"/>
        <rFont val="Times New Roman"/>
        <family val="1"/>
      </rPr>
      <t>Workers' Compensation Benefits</t>
    </r>
    <r>
      <rPr>
        <sz val="12"/>
        <rFont val="Times New Roman"/>
        <family val="1"/>
      </rPr>
      <t xml:space="preserve"> - (MCPS object code 232) Workers' Compensation benefits of Classroom Substitutes  </t>
    </r>
  </si>
  <si>
    <r>
      <rPr>
        <b/>
        <u/>
        <sz val="12"/>
        <rFont val="Times New Roman"/>
        <family val="1"/>
      </rPr>
      <t>Workers' Compensation Benefits</t>
    </r>
    <r>
      <rPr>
        <sz val="12"/>
        <rFont val="Times New Roman"/>
        <family val="1"/>
      </rPr>
      <t xml:space="preserve"> - (MCPS object code 232) Workers' Compensation benefits of 5 Intervention Teachers for the 4 Non Title 1 Schools + Eighth Street.</t>
    </r>
  </si>
  <si>
    <r>
      <rPr>
        <b/>
        <u/>
        <sz val="12"/>
        <rFont val="Times New Roman"/>
        <family val="1"/>
      </rPr>
      <t>Workers' Compensation Benefits</t>
    </r>
    <r>
      <rPr>
        <sz val="12"/>
        <rFont val="Times New Roman"/>
        <family val="1"/>
      </rPr>
      <t xml:space="preserve"> - (MCPS object code 232) Workers' Compensation benefits of 7 Paraprofessionals </t>
    </r>
  </si>
  <si>
    <r>
      <rPr>
        <b/>
        <sz val="12"/>
        <rFont val="Times New Roman"/>
        <family val="1"/>
      </rPr>
      <t>Technology-Related Rentals</t>
    </r>
    <r>
      <rPr>
        <sz val="12"/>
        <rFont val="Times New Roman"/>
        <family val="1"/>
      </rPr>
      <t xml:space="preserve"> - Secondary math interventions online subscriptions</t>
    </r>
  </si>
  <si>
    <r>
      <rPr>
        <b/>
        <sz val="12"/>
        <rFont val="Times New Roman"/>
        <family val="1"/>
      </rPr>
      <t>McIntosh Charter</t>
    </r>
    <r>
      <rPr>
        <sz val="12"/>
        <rFont val="Times New Roman"/>
        <family val="1"/>
      </rPr>
      <t xml:space="preserve"> School -Activity 2.  Salary and benefits for paraprofessional for remediation of students with significant learning loss.  Salary and benefits x 3 years = $54,720.00</t>
    </r>
  </si>
  <si>
    <r>
      <rPr>
        <b/>
        <sz val="12"/>
        <rFont val="Times New Roman"/>
        <family val="1"/>
      </rPr>
      <t>Marion Charter I</t>
    </r>
    <r>
      <rPr>
        <sz val="12"/>
        <rFont val="Times New Roman"/>
        <family val="1"/>
      </rPr>
      <t xml:space="preserve">nstructional activities to address learning loss such as </t>
    </r>
    <r>
      <rPr>
        <b/>
        <sz val="12"/>
        <rFont val="Times New Roman"/>
        <family val="1"/>
      </rPr>
      <t xml:space="preserve"> </t>
    </r>
    <r>
      <rPr>
        <sz val="12"/>
        <rFont val="Times New Roman"/>
        <family val="1"/>
      </rPr>
      <t>Computer Site License for Educational Programs such as Brain Pop, Reflex Math, Reading Rangers, Mystery Science ($62,565.00) I-Ready Reading and Math Site Licenses ( $35,640.00) Evidence based Curriculum items for Reading, Math, Science, and Social Studies ($95,500.00)</t>
    </r>
  </si>
  <si>
    <r>
      <t>Ocali Charter-</t>
    </r>
    <r>
      <rPr>
        <sz val="12"/>
        <rFont val="Times New Roman"/>
        <family val="1"/>
      </rPr>
      <t xml:space="preserve">Purchase evidenced-based school and afterschool curriculum (online and text) specific to low-income students, children with disabilities, English learners, migrant students, students experiencing homelessness, and children in foster care for a continuous process $ 26,414.00-Year 1 and $ 24,778.31 Year 2= 51,212.00 Computers for after school use @ 500/each = $12,500.00 and 1Computer Cart for after school use @ 999 each </t>
    </r>
    <r>
      <rPr>
        <b/>
        <sz val="12"/>
        <rFont val="Times New Roman"/>
        <family val="1"/>
      </rPr>
      <t xml:space="preserve"> </t>
    </r>
  </si>
  <si>
    <r>
      <rPr>
        <b/>
        <sz val="12"/>
        <rFont val="Times New Roman"/>
        <family val="1"/>
      </rPr>
      <t>Technology Related Rentals</t>
    </r>
    <r>
      <rPr>
        <sz val="12"/>
        <rFont val="Times New Roman"/>
        <family val="1"/>
      </rPr>
      <t xml:space="preserve"> - Purchase classroom libraries for Elementary K-5 50 classrooms x 30 schools x $100.00  per classroom for licenses. Year 1. Elementary K-5 50 classrooms x 30 schools x $100.00  per classroom for licenses. Year 2. </t>
    </r>
  </si>
  <si>
    <r>
      <rPr>
        <b/>
        <sz val="12"/>
        <rFont val="Times New Roman"/>
        <family val="1"/>
      </rPr>
      <t>Other Materials and Supplies</t>
    </r>
    <r>
      <rPr>
        <sz val="12"/>
        <rFont val="Times New Roman"/>
        <family val="1"/>
      </rPr>
      <t xml:space="preserve"> - Secondary math interventions</t>
    </r>
  </si>
  <si>
    <r>
      <rPr>
        <b/>
        <sz val="12"/>
        <rFont val="Times New Roman"/>
        <family val="1"/>
      </rPr>
      <t xml:space="preserve">Other Materials and Supplies </t>
    </r>
    <r>
      <rPr>
        <sz val="12"/>
        <rFont val="Times New Roman"/>
        <family val="1"/>
      </rPr>
      <t xml:space="preserve">Purchased classroom libraries for K-5 for 30 school x 50 classroom x $100.00 Year 1 Purchased classroom libraries for K-5 for 30 school x 50 classroom x $100.00 Year 2 </t>
    </r>
  </si>
  <si>
    <r>
      <t xml:space="preserve">Capitalized Computer Hardware and Technology Related Infrastructure </t>
    </r>
    <r>
      <rPr>
        <sz val="12"/>
        <rFont val="Times New Roman"/>
        <family val="1"/>
      </rPr>
      <t>Purchase  Chromebook carts for @ 1,140 each x 96 =$109,440.00.  Purchase Interactive Flat Panels for $1,978.38 x 1857 = 3,673,146.00</t>
    </r>
  </si>
  <si>
    <r>
      <rPr>
        <b/>
        <u/>
        <sz val="12"/>
        <rFont val="Times New Roman"/>
        <family val="1"/>
      </rPr>
      <t>Salaries</t>
    </r>
    <r>
      <rPr>
        <sz val="12"/>
        <rFont val="Times New Roman"/>
        <family val="1"/>
      </rPr>
      <t xml:space="preserve"> - Daily use certified substitutes for instructional personnel engaging in innovative professional development activities including, but not limited to, model classroom immersion, instructional rounds, lesson studies, etc.  As well as reducing interruption to highly-effective instruction due to teacher absences.  </t>
    </r>
  </si>
  <si>
    <r>
      <rPr>
        <b/>
        <u/>
        <sz val="12"/>
        <rFont val="Times New Roman"/>
        <family val="1"/>
      </rPr>
      <t>Salaries -</t>
    </r>
    <r>
      <rPr>
        <sz val="12"/>
        <rFont val="Times New Roman"/>
        <family val="1"/>
      </rPr>
      <t xml:space="preserve"> After school  ESE teachers  30  ESE teachers  6 hr./wk. x $30.51 p/h x  27 weeks= $ 148,279.00  year 2 =  $31.43 p/h x 6 per school x 30 ESE teachers x 6 hr./wk.) x 36 weeks  = $ 203,666.00</t>
    </r>
  </si>
  <si>
    <r>
      <rPr>
        <b/>
        <u/>
        <sz val="12"/>
        <rFont val="Times New Roman"/>
        <family val="1"/>
      </rPr>
      <t>Salaries</t>
    </r>
    <r>
      <rPr>
        <sz val="12"/>
        <rFont val="Times New Roman"/>
        <family val="1"/>
      </rPr>
      <t xml:space="preserve"> - 4 Behavior Specialists will be hired for secondary schools to support academic and behavioral progress of students with disabilities. Year 1 Salary based on 5 years experience = 3%, $64,585. Year 2 is first year salary plus 3%, $66,523</t>
    </r>
  </si>
  <si>
    <r>
      <rPr>
        <b/>
        <u/>
        <sz val="12"/>
        <rFont val="Times New Roman"/>
        <family val="1"/>
      </rPr>
      <t>Salaries</t>
    </r>
    <r>
      <rPr>
        <sz val="12"/>
        <rFont val="Times New Roman"/>
        <family val="1"/>
      </rPr>
      <t>- Afterschool 30 ESE paraprofessionals $ 16.15/ hour for 6 hours for 27 weeks = $78,489.00  Year 2- 30 ESE paraprofessionals $ 16.15/ hour for 6 hours for 36 weeks = $104,652.00</t>
    </r>
  </si>
  <si>
    <r>
      <rPr>
        <b/>
        <u/>
        <sz val="12"/>
        <rFont val="Times New Roman"/>
        <family val="1"/>
      </rPr>
      <t>Retirement Benefits</t>
    </r>
    <r>
      <rPr>
        <sz val="12"/>
        <rFont val="Times New Roman"/>
        <family val="1"/>
      </rPr>
      <t xml:space="preserve"> - Retirement benefits of 4 Behavior Specialists.</t>
    </r>
  </si>
  <si>
    <r>
      <rPr>
        <b/>
        <u/>
        <sz val="12"/>
        <rFont val="Times New Roman"/>
        <family val="1"/>
      </rPr>
      <t xml:space="preserve">Retirement Benefits- </t>
    </r>
    <r>
      <rPr>
        <sz val="12"/>
        <rFont val="Times New Roman"/>
        <family val="1"/>
      </rPr>
      <t>ESE teachers and paraprofessionals</t>
    </r>
  </si>
  <si>
    <r>
      <rPr>
        <b/>
        <u/>
        <sz val="12"/>
        <rFont val="Times New Roman"/>
        <family val="1"/>
      </rPr>
      <t>Medicare Benefits</t>
    </r>
    <r>
      <rPr>
        <sz val="12"/>
        <rFont val="Times New Roman"/>
        <family val="1"/>
      </rPr>
      <t xml:space="preserve"> - (MCPS object code 233) Medicare benefits of 4 Behavior Specialists.</t>
    </r>
  </si>
  <si>
    <r>
      <rPr>
        <b/>
        <u/>
        <sz val="12"/>
        <rFont val="Times New Roman"/>
        <family val="1"/>
      </rPr>
      <t xml:space="preserve">FICA  Benefits </t>
    </r>
    <r>
      <rPr>
        <sz val="12"/>
        <rFont val="Times New Roman"/>
        <family val="1"/>
      </rPr>
      <t xml:space="preserve">(District Code 220) ESE teachers and paraprofessionals </t>
    </r>
  </si>
  <si>
    <r>
      <rPr>
        <b/>
        <u/>
        <sz val="12"/>
        <rFont val="Times New Roman"/>
        <family val="1"/>
      </rPr>
      <t>Medicare Benefits</t>
    </r>
    <r>
      <rPr>
        <sz val="12"/>
        <rFont val="Times New Roman"/>
        <family val="1"/>
      </rPr>
      <t xml:space="preserve"> ESE teachers and paraprofessionals</t>
    </r>
  </si>
  <si>
    <r>
      <rPr>
        <b/>
        <u/>
        <sz val="12"/>
        <rFont val="Times New Roman"/>
        <family val="1"/>
      </rPr>
      <t>Health Benefits</t>
    </r>
    <r>
      <rPr>
        <sz val="12"/>
        <rFont val="Times New Roman"/>
        <family val="1"/>
      </rPr>
      <t xml:space="preserve"> - (MCPS object code 230) Health benefits of 4 Behavior Specialists.</t>
    </r>
  </si>
  <si>
    <r>
      <rPr>
        <b/>
        <u/>
        <sz val="12"/>
        <rFont val="Times New Roman"/>
        <family val="1"/>
      </rPr>
      <t>Life Benefits</t>
    </r>
    <r>
      <rPr>
        <sz val="12"/>
        <rFont val="Times New Roman"/>
        <family val="1"/>
      </rPr>
      <t xml:space="preserve"> - (MCPS object code 231) Life benefits of 4 Behavior Specialists.</t>
    </r>
  </si>
  <si>
    <r>
      <rPr>
        <b/>
        <u/>
        <sz val="12"/>
        <rFont val="Times New Roman"/>
        <family val="1"/>
      </rPr>
      <t>Workers' Compensation Benefits</t>
    </r>
    <r>
      <rPr>
        <sz val="12"/>
        <rFont val="Times New Roman"/>
        <family val="1"/>
      </rPr>
      <t xml:space="preserve"> - (MCPS object code 232) Workers' Compensation benefits of 4 Behavior Specialists.</t>
    </r>
  </si>
  <si>
    <r>
      <rPr>
        <b/>
        <u/>
        <sz val="12"/>
        <rFont val="Times New Roman"/>
        <family val="1"/>
      </rPr>
      <t>Workman's Compensation Benefits</t>
    </r>
    <r>
      <rPr>
        <sz val="12"/>
        <rFont val="Times New Roman"/>
        <family val="1"/>
      </rPr>
      <t xml:space="preserve"> (District Code 232) ESE teachers and paraprofessionals </t>
    </r>
  </si>
  <si>
    <r>
      <rPr>
        <b/>
        <u/>
        <sz val="12"/>
        <rFont val="Times New Roman"/>
        <family val="1"/>
      </rPr>
      <t>Professional and Technical Services</t>
    </r>
    <r>
      <rPr>
        <sz val="12"/>
        <rFont val="Times New Roman"/>
        <family val="1"/>
      </rPr>
      <t xml:space="preserve"> - Provide contracted services tor students with disabilities for ESY as needed for individual student needs (Summer / Afterschool).  3 - Speech Therapist x $50 per hour, 2 - Occupational Therapists x $50 per hour, 2 - Physical Therapists x $50 per hour, 1 - OT Assistant x $32 per hour, 1 - PT Assistant x $32 per hour, 1 - Interpreter x $36 per hour.</t>
    </r>
  </si>
  <si>
    <r>
      <t xml:space="preserve">Technology Related Rentals - </t>
    </r>
    <r>
      <rPr>
        <sz val="12"/>
        <rFont val="Times New Roman"/>
        <family val="1"/>
      </rPr>
      <t>to support tutorial programs to address learning loss</t>
    </r>
  </si>
  <si>
    <r>
      <t xml:space="preserve">Supplies- </t>
    </r>
    <r>
      <rPr>
        <sz val="12"/>
        <rFont val="Times New Roman"/>
        <family val="1"/>
      </rPr>
      <t xml:space="preserve">to support tutorial programs to address learning loss </t>
    </r>
  </si>
  <si>
    <r>
      <t xml:space="preserve">Other Materials and Supplies </t>
    </r>
    <r>
      <rPr>
        <u/>
        <sz val="12"/>
        <rFont val="Times New Roman"/>
        <family val="1"/>
      </rPr>
      <t>t</t>
    </r>
    <r>
      <rPr>
        <sz val="12"/>
        <rFont val="Times New Roman"/>
        <family val="1"/>
      </rPr>
      <t>o support tutorial programs to address learning loss</t>
    </r>
  </si>
  <si>
    <r>
      <rPr>
        <b/>
        <u/>
        <sz val="12"/>
        <rFont val="Times New Roman"/>
        <family val="1"/>
      </rPr>
      <t>Technology Related Textbooks</t>
    </r>
    <r>
      <rPr>
        <sz val="12"/>
        <rFont val="Times New Roman"/>
        <family val="1"/>
      </rPr>
      <t xml:space="preserve"> - CTE Online curriculum to address learning loss for CTE students in clustered programs</t>
    </r>
  </si>
  <si>
    <r>
      <rPr>
        <b/>
        <u/>
        <sz val="12"/>
        <rFont val="Times New Roman"/>
        <family val="1"/>
      </rPr>
      <t>Salaries</t>
    </r>
    <r>
      <rPr>
        <sz val="12"/>
        <rFont val="Times New Roman"/>
        <family val="1"/>
      </rPr>
      <t xml:space="preserve"> - 7 Pre-K Paraprofessionals Salary based on 187 days 6 hours a day. Year 1 = $16.16 + 3% = $16.64 per hour. Year 2 = $16.64 +3 % = $17.14</t>
    </r>
  </si>
  <si>
    <r>
      <rPr>
        <b/>
        <u/>
        <sz val="12"/>
        <rFont val="Times New Roman"/>
        <family val="1"/>
      </rPr>
      <t>Retirement Benefits</t>
    </r>
    <r>
      <rPr>
        <sz val="12"/>
        <rFont val="Times New Roman"/>
        <family val="1"/>
      </rPr>
      <t xml:space="preserve"> - Retirement benefits of 7 Pre-K Teachers </t>
    </r>
  </si>
  <si>
    <r>
      <rPr>
        <b/>
        <u/>
        <sz val="12"/>
        <rFont val="Times New Roman"/>
        <family val="1"/>
      </rPr>
      <t>Retirement Benefits</t>
    </r>
    <r>
      <rPr>
        <sz val="12"/>
        <rFont val="Times New Roman"/>
        <family val="1"/>
      </rPr>
      <t xml:space="preserve"> - Retirement benefits of  7 Pre-K Paraprofessionals</t>
    </r>
  </si>
  <si>
    <r>
      <rPr>
        <b/>
        <u/>
        <sz val="12"/>
        <rFont val="Times New Roman"/>
        <family val="1"/>
      </rPr>
      <t>Medicare Benefits</t>
    </r>
    <r>
      <rPr>
        <sz val="12"/>
        <rFont val="Times New Roman"/>
        <family val="1"/>
      </rPr>
      <t xml:space="preserve"> - (MCPS object code 233)  Medicare benefits of 7 Pre-K Teachers</t>
    </r>
  </si>
  <si>
    <r>
      <rPr>
        <b/>
        <u/>
        <sz val="12"/>
        <rFont val="Times New Roman"/>
        <family val="1"/>
      </rPr>
      <t>Medicare Benefits</t>
    </r>
    <r>
      <rPr>
        <sz val="12"/>
        <rFont val="Times New Roman"/>
        <family val="1"/>
      </rPr>
      <t xml:space="preserve"> - (MCPS object code 233)  Medicare benefits of 7 Pre-K Paraprofessionals</t>
    </r>
  </si>
  <si>
    <r>
      <rPr>
        <b/>
        <u/>
        <sz val="12"/>
        <rFont val="Times New Roman"/>
        <family val="1"/>
      </rPr>
      <t>Health Benefits</t>
    </r>
    <r>
      <rPr>
        <sz val="12"/>
        <rFont val="Times New Roman"/>
        <family val="1"/>
      </rPr>
      <t xml:space="preserve"> - (MCPS object code 230) Health benefits of 7 Pre-K Teachers</t>
    </r>
  </si>
  <si>
    <r>
      <rPr>
        <b/>
        <u/>
        <sz val="12"/>
        <rFont val="Times New Roman"/>
        <family val="1"/>
      </rPr>
      <t>Health Benefits</t>
    </r>
    <r>
      <rPr>
        <sz val="12"/>
        <rFont val="Times New Roman"/>
        <family val="1"/>
      </rPr>
      <t xml:space="preserve"> - (MCPS object code 230) Health benefits of 7 Pre-K Paraprofessionals</t>
    </r>
  </si>
  <si>
    <r>
      <rPr>
        <b/>
        <u/>
        <sz val="12"/>
        <rFont val="Times New Roman"/>
        <family val="1"/>
      </rPr>
      <t>Life Benefits</t>
    </r>
    <r>
      <rPr>
        <sz val="12"/>
        <rFont val="Times New Roman"/>
        <family val="1"/>
      </rPr>
      <t xml:space="preserve"> -  (MCPS object code 231) Life benefits of 7 Pre-K Teachers</t>
    </r>
  </si>
  <si>
    <r>
      <rPr>
        <b/>
        <u/>
        <sz val="12"/>
        <rFont val="Times New Roman"/>
        <family val="1"/>
      </rPr>
      <t>Life Benefits</t>
    </r>
    <r>
      <rPr>
        <sz val="12"/>
        <rFont val="Times New Roman"/>
        <family val="1"/>
      </rPr>
      <t xml:space="preserve"> -  (MCPS object code 231) Life benefits of 7 Pre-K Paraprofessionals</t>
    </r>
  </si>
  <si>
    <r>
      <rPr>
        <b/>
        <u/>
        <sz val="12"/>
        <rFont val="Times New Roman"/>
        <family val="1"/>
      </rPr>
      <t>Workers' Compensation Benefits</t>
    </r>
    <r>
      <rPr>
        <sz val="12"/>
        <rFont val="Times New Roman"/>
        <family val="1"/>
      </rPr>
      <t xml:space="preserve"> - (MCPS object code 232) Workers' Compensation benefits of 7 Pre-K Teachers</t>
    </r>
  </si>
  <si>
    <r>
      <rPr>
        <b/>
        <u/>
        <sz val="12"/>
        <rFont val="Times New Roman"/>
        <family val="1"/>
      </rPr>
      <t>Workers' Compensation Benefits</t>
    </r>
    <r>
      <rPr>
        <sz val="12"/>
        <rFont val="Times New Roman"/>
        <family val="1"/>
      </rPr>
      <t xml:space="preserve"> - (MCPS object code 232) Workers' Compensation benefits of 7 Pre-K Paraprofessionals</t>
    </r>
  </si>
  <si>
    <r>
      <rPr>
        <b/>
        <u/>
        <sz val="12"/>
        <rFont val="Times New Roman"/>
        <family val="1"/>
      </rPr>
      <t>Other Materials and Supplies</t>
    </r>
    <r>
      <rPr>
        <sz val="12"/>
        <rFont val="Times New Roman"/>
        <family val="1"/>
      </rPr>
      <t xml:space="preserve"> - 45 Pre-K kits x $3850 each</t>
    </r>
  </si>
  <si>
    <r>
      <rPr>
        <b/>
        <u/>
        <sz val="12"/>
        <rFont val="Times New Roman"/>
        <family val="1"/>
      </rPr>
      <t>Salaries</t>
    </r>
    <r>
      <rPr>
        <sz val="12"/>
        <rFont val="Times New Roman"/>
        <family val="1"/>
      </rPr>
      <t xml:space="preserve"> - After-school and Summer   Tutoring ( 250 teachers x 6 hr./wk. x $30.51 p/h x 27 weeks = $1,235,655.00  Year 2 =  $31.43 p/h x 6 hours x  315 teachers x  36 weeks=$ 2,138,498.00</t>
    </r>
  </si>
  <si>
    <r>
      <rPr>
        <b/>
        <u/>
        <sz val="12"/>
        <rFont val="Times New Roman"/>
        <family val="1"/>
      </rPr>
      <t xml:space="preserve">Salaries </t>
    </r>
    <r>
      <rPr>
        <sz val="12"/>
        <rFont val="Times New Roman"/>
        <family val="1"/>
      </rPr>
      <t xml:space="preserve">-  Afterschool and Summer  100 paraprofessionals $ 16.15/ hour for 6 hours for 27 weeks = $ 261,630.00 $ Year 2 100 paraprofessionals $ 16.15/ hour for 6 hours for 36 weeks = $ $348,840.00  </t>
    </r>
  </si>
  <si>
    <r>
      <rPr>
        <b/>
        <u/>
        <sz val="12"/>
        <rFont val="Times New Roman"/>
        <family val="1"/>
      </rPr>
      <t>Retirement Benefits</t>
    </r>
    <r>
      <rPr>
        <sz val="12"/>
        <rFont val="Times New Roman"/>
        <family val="1"/>
      </rPr>
      <t xml:space="preserve"> - School Tutoring Teachers and Paras</t>
    </r>
  </si>
  <si>
    <r>
      <rPr>
        <b/>
        <u/>
        <sz val="12"/>
        <rFont val="Times New Roman"/>
        <family val="1"/>
      </rPr>
      <t>FICA Ben</t>
    </r>
    <r>
      <rPr>
        <u/>
        <sz val="12"/>
        <rFont val="Times New Roman"/>
        <family val="1"/>
      </rPr>
      <t>efits - School Teaching and Paras</t>
    </r>
  </si>
  <si>
    <r>
      <rPr>
        <b/>
        <u/>
        <sz val="12"/>
        <rFont val="Times New Roman"/>
        <family val="1"/>
      </rPr>
      <t>Medicare Benefits</t>
    </r>
    <r>
      <rPr>
        <sz val="12"/>
        <rFont val="Times New Roman"/>
        <family val="1"/>
      </rPr>
      <t xml:space="preserve"> - (MCPS object code 233)   Tutoring teachers and paras</t>
    </r>
  </si>
  <si>
    <r>
      <rPr>
        <b/>
        <u/>
        <sz val="12"/>
        <rFont val="Times New Roman"/>
        <family val="1"/>
      </rPr>
      <t>Workers' Compensation Benefits</t>
    </r>
    <r>
      <rPr>
        <sz val="12"/>
        <rFont val="Times New Roman"/>
        <family val="1"/>
      </rPr>
      <t xml:space="preserve"> - (MCPS object code 232)for Tutoring teachers and paras</t>
    </r>
  </si>
  <si>
    <r>
      <t xml:space="preserve">Professional and Technical Services </t>
    </r>
    <r>
      <rPr>
        <sz val="12"/>
        <rFont val="Times New Roman"/>
        <family val="1"/>
      </rPr>
      <t>- Contracted services to alternative schools to provide tutorial services to address the learning gaps. Five (5) sites @ $ 4,000.00 each to provide tutoring, purchased evidenced based curriculum for SY 2021-2022 and 2022 -2023.</t>
    </r>
  </si>
  <si>
    <r>
      <t>Technology Related Materials-</t>
    </r>
    <r>
      <rPr>
        <sz val="12"/>
        <rFont val="Times New Roman"/>
        <family val="1"/>
      </rPr>
      <t xml:space="preserve"> Summer and school year tutorial software licenses to support supplemental instruction.</t>
    </r>
  </si>
  <si>
    <r>
      <rPr>
        <b/>
        <sz val="12"/>
        <rFont val="Times New Roman"/>
        <family val="1"/>
      </rPr>
      <t>McIntosh Charter</t>
    </r>
    <r>
      <rPr>
        <sz val="12"/>
        <rFont val="Times New Roman"/>
        <family val="1"/>
      </rPr>
      <t xml:space="preserve"> Activity 1.  Salaries + benefits for afterschool tutoring for three (5) instructional staff x 2hrs/wk @ $26.00/hr x 36 weeks x 3years = $28,080.00+ benefits $ 5,616.00 = $33,696.00</t>
    </r>
  </si>
  <si>
    <r>
      <rPr>
        <b/>
        <sz val="12"/>
        <rFont val="Times New Roman"/>
        <family val="1"/>
      </rPr>
      <t xml:space="preserve">McIntosh Charter </t>
    </r>
    <r>
      <rPr>
        <sz val="12"/>
        <rFont val="Times New Roman"/>
        <family val="1"/>
      </rPr>
      <t>Activity 1. Salaries and benefits to provide academic and enrichment activities for students during the summer months.    The program will operate Monday-Friday for 6 hours during the moths of June and July for the summer 2022, 2023, and 2024.  6 hours per day for $15.00/hr. for 4 instructional staff for 24 days each summer = $8,640.00 + $1,728 benefits x 3 summers =  $31,104.00</t>
    </r>
  </si>
  <si>
    <r>
      <t xml:space="preserve">Marion  Charter - </t>
    </r>
    <r>
      <rPr>
        <sz val="12"/>
        <rFont val="Times New Roman"/>
        <family val="1"/>
      </rPr>
      <t>Summer School Consumables Items and Supplies Summer 2023/2024 ($7,500.00) Summer School Staff Partial Salaries ($15,000.00) ,After School Tutoring-7 teachers x 3hrs/wk x $30.51 p/h x 36 weeks = $23,065.56.  Year 2: 7 teachers x 3hrs/wk x $$31.43 x 36 wks= $23,761.08 + benefits  $10,475.00.</t>
    </r>
  </si>
  <si>
    <r>
      <t xml:space="preserve">Ocali Charter - </t>
    </r>
    <r>
      <rPr>
        <sz val="12"/>
        <rFont val="Times New Roman"/>
        <family val="1"/>
      </rPr>
      <t>Salaries - After-school tutoring (5 teachers x 6 hr./wk. x $30.51 p/h x 36 weeks = $32,951.00. Year 2 =  $31.43 p/h x 6 hours x  5 teachers x  36 weeks=$ 33,944.00 + benefits =$13,526.00. Salaries - 2 paraprofessionals $ 16.15/ hour for 6 hours for 36 weeks = $6,977.00 Year 2 2 paraprofessionals $ 16.15/ hour for 6 hours for 36 weeks = $6977.00+ benefits $2,820.00</t>
    </r>
    <r>
      <rPr>
        <b/>
        <sz val="12"/>
        <rFont val="Times New Roman"/>
        <family val="1"/>
      </rPr>
      <t xml:space="preserve">
</t>
    </r>
  </si>
  <si>
    <r>
      <rPr>
        <b/>
        <u/>
        <sz val="12"/>
        <rFont val="Times New Roman"/>
        <family val="1"/>
      </rPr>
      <t>Supplies</t>
    </r>
    <r>
      <rPr>
        <sz val="12"/>
        <rFont val="Times New Roman"/>
        <family val="1"/>
      </rPr>
      <t xml:space="preserve"> - Summer and school year tutorial supplies (pencils, pens, paper, glue, etc.)</t>
    </r>
  </si>
  <si>
    <r>
      <rPr>
        <b/>
        <u/>
        <sz val="12"/>
        <rFont val="Times New Roman"/>
        <family val="1"/>
      </rPr>
      <t>Other Materials and Supplies</t>
    </r>
    <r>
      <rPr>
        <sz val="12"/>
        <rFont val="Times New Roman"/>
        <family val="1"/>
      </rPr>
      <t xml:space="preserve"> - Summer School Items (books, backpacks, Lego, etc.)</t>
    </r>
  </si>
  <si>
    <r>
      <rPr>
        <b/>
        <sz val="12"/>
        <rFont val="Times New Roman"/>
        <family val="1"/>
      </rPr>
      <t xml:space="preserve">Ocali Charter </t>
    </r>
    <r>
      <rPr>
        <sz val="12"/>
        <rFont val="Times New Roman"/>
        <family val="1"/>
      </rPr>
      <t>-Student Services Manager 51,500 - Year 1 and 53,045 - Year 2 = benefits 38,600</t>
    </r>
  </si>
  <si>
    <r>
      <rPr>
        <b/>
        <u/>
        <sz val="12"/>
        <rFont val="Times New Roman"/>
        <family val="1"/>
      </rPr>
      <t>Salaries-</t>
    </r>
    <r>
      <rPr>
        <sz val="12"/>
        <rFont val="Times New Roman"/>
        <family val="1"/>
      </rPr>
      <t xml:space="preserve"> Guidance Counselors for 6 weeks of Summer school x $31.27 x 7 hrs day x 4 days a week for 6 weeks =$ 5,254.00 x  67 counselors=$ 352,018.00  Year 2-  Guidance Counselors for 6 weeks of Summer school x $ 40.27 x 7 hrs day  x 4 days a week for 6 weeks =$ 6,765.00 x  67  counselors = $453,279.00</t>
    </r>
  </si>
  <si>
    <r>
      <rPr>
        <b/>
        <u/>
        <sz val="12"/>
        <rFont val="Times New Roman"/>
        <family val="1"/>
      </rPr>
      <t xml:space="preserve">Retirement </t>
    </r>
    <r>
      <rPr>
        <sz val="12"/>
        <rFont val="Times New Roman"/>
        <family val="1"/>
      </rPr>
      <t>for guidance  counselors and Graduation Facilitators 11.41%</t>
    </r>
  </si>
  <si>
    <r>
      <rPr>
        <b/>
        <u/>
        <sz val="12"/>
        <rFont val="Times New Roman"/>
        <family val="1"/>
      </rPr>
      <t>FICA</t>
    </r>
    <r>
      <rPr>
        <sz val="12"/>
        <rFont val="Times New Roman"/>
        <family val="1"/>
      </rPr>
      <t xml:space="preserve"> for guidance counselors and Graduation Facilitators 6.20 %</t>
    </r>
  </si>
  <si>
    <r>
      <rPr>
        <b/>
        <u/>
        <sz val="12"/>
        <rFont val="Times New Roman"/>
        <family val="1"/>
      </rPr>
      <t xml:space="preserve">Health </t>
    </r>
    <r>
      <rPr>
        <sz val="12"/>
        <rFont val="Times New Roman"/>
        <family val="1"/>
      </rPr>
      <t xml:space="preserve">for guidance counselors and Graduation Facilitator17.09% </t>
    </r>
  </si>
  <si>
    <r>
      <rPr>
        <b/>
        <u/>
        <sz val="12"/>
        <rFont val="Times New Roman"/>
        <family val="1"/>
      </rPr>
      <t xml:space="preserve">Life </t>
    </r>
    <r>
      <rPr>
        <sz val="12"/>
        <rFont val="Times New Roman"/>
        <family val="1"/>
      </rPr>
      <t xml:space="preserve"> for guidance counselors and Graduation Facilitator.22%</t>
    </r>
  </si>
  <si>
    <r>
      <rPr>
        <b/>
        <u/>
        <sz val="12"/>
        <rFont val="Times New Roman"/>
        <family val="1"/>
      </rPr>
      <t>Medicare</t>
    </r>
    <r>
      <rPr>
        <sz val="12"/>
        <rFont val="Times New Roman"/>
        <family val="1"/>
      </rPr>
      <t xml:space="preserve"> for guidance counselors and  Graduation Facilitators1.45% MCPS 233</t>
    </r>
  </si>
  <si>
    <r>
      <rPr>
        <b/>
        <u/>
        <sz val="12"/>
        <rFont val="Times New Roman"/>
        <family val="1"/>
      </rPr>
      <t>Work Comp</t>
    </r>
    <r>
      <rPr>
        <sz val="12"/>
        <rFont val="Times New Roman"/>
        <family val="1"/>
      </rPr>
      <t xml:space="preserve"> for guidance counselors and  Graduation Facilitators1.13%  MCPS 240</t>
    </r>
  </si>
  <si>
    <r>
      <rPr>
        <b/>
        <sz val="12"/>
        <rFont val="Times New Roman"/>
        <family val="1"/>
      </rPr>
      <t>Marion Charter</t>
    </r>
    <r>
      <rPr>
        <sz val="12"/>
        <rFont val="Times New Roman"/>
        <family val="1"/>
      </rPr>
      <t xml:space="preserve"> Guidance Salaries</t>
    </r>
    <r>
      <rPr>
        <b/>
        <sz val="12"/>
        <rFont val="Times New Roman"/>
        <family val="1"/>
      </rPr>
      <t xml:space="preserve"> </t>
    </r>
    <r>
      <rPr>
        <sz val="12"/>
        <rFont val="Times New Roman"/>
        <family val="1"/>
      </rPr>
      <t xml:space="preserve">-Mental Health/Guidance Counselor  Salary </t>
    </r>
  </si>
  <si>
    <r>
      <rPr>
        <b/>
        <u/>
        <sz val="12"/>
        <rFont val="Times New Roman"/>
        <family val="1"/>
      </rPr>
      <t>Salaries</t>
    </r>
    <r>
      <rPr>
        <sz val="12"/>
        <rFont val="Times New Roman"/>
        <family val="1"/>
      </rPr>
      <t xml:space="preserve"> -  40 additional days for 1 Health Program Specialist. Year 1= $36.70 per hour x 8 hours x 40 days. Year 2 = $37.80 per hour x 8 hours x 40 days. </t>
    </r>
  </si>
  <si>
    <r>
      <rPr>
        <b/>
        <u/>
        <sz val="12"/>
        <rFont val="Times New Roman"/>
        <family val="1"/>
      </rPr>
      <t>Salaries</t>
    </r>
    <r>
      <rPr>
        <sz val="12"/>
        <rFont val="Times New Roman"/>
        <family val="1"/>
      </rPr>
      <t xml:space="preserve"> - 47 Healthcare Assistants for Summers 2022 and 2023).  Year 1 =$16.02 per hour x 32 hours weekly x 6 weeks. year 2 = $16.50per hour.</t>
    </r>
  </si>
  <si>
    <r>
      <t>Retirement Benefits -</t>
    </r>
    <r>
      <rPr>
        <sz val="12"/>
        <rFont val="Times New Roman"/>
        <family val="1"/>
      </rPr>
      <t>Health Program Specialist</t>
    </r>
    <r>
      <rPr>
        <u/>
        <sz val="12"/>
        <rFont val="Times New Roman"/>
        <family val="1"/>
      </rPr>
      <t xml:space="preserve"> (40 extra days x 2 years)</t>
    </r>
  </si>
  <si>
    <r>
      <rPr>
        <b/>
        <u/>
        <sz val="12"/>
        <rFont val="Times New Roman"/>
        <family val="1"/>
      </rPr>
      <t xml:space="preserve"> Retirement benefits</t>
    </r>
    <r>
      <rPr>
        <sz val="12"/>
        <rFont val="Times New Roman"/>
        <family val="1"/>
      </rPr>
      <t xml:space="preserve"> of 47 Healthcare Assistants (Summers 2022 and 2023)</t>
    </r>
  </si>
  <si>
    <r>
      <rPr>
        <b/>
        <u/>
        <sz val="12"/>
        <rFont val="Times New Roman"/>
        <family val="1"/>
      </rPr>
      <t>FICA Benefits</t>
    </r>
    <r>
      <rPr>
        <sz val="12"/>
        <rFont val="Times New Roman"/>
        <family val="1"/>
      </rPr>
      <t xml:space="preserve"> - FICA Benefits of 1 Health Program Specialist (40 extra days x 2 years)</t>
    </r>
  </si>
  <si>
    <r>
      <rPr>
        <b/>
        <u/>
        <sz val="12"/>
        <rFont val="Times New Roman"/>
        <family val="1"/>
      </rPr>
      <t>Medicare Benefits</t>
    </r>
    <r>
      <rPr>
        <sz val="12"/>
        <rFont val="Times New Roman"/>
        <family val="1"/>
      </rPr>
      <t xml:space="preserve"> - (MCPS object code 233)  Medicare benefits of 1 Health Program Specialist (40 extra days x 2 years)</t>
    </r>
  </si>
  <si>
    <r>
      <rPr>
        <b/>
        <u/>
        <sz val="12"/>
        <rFont val="Times New Roman"/>
        <family val="1"/>
      </rPr>
      <t>FICA Benefits</t>
    </r>
    <r>
      <rPr>
        <sz val="12"/>
        <rFont val="Times New Roman"/>
        <family val="1"/>
      </rPr>
      <t xml:space="preserve"> - FICA Benefits of 47 Healthcare Assistants (Summers 2022 and 2023)</t>
    </r>
  </si>
  <si>
    <r>
      <rPr>
        <b/>
        <u/>
        <sz val="12"/>
        <rFont val="Times New Roman"/>
        <family val="1"/>
      </rPr>
      <t>Medicare Benefits</t>
    </r>
    <r>
      <rPr>
        <sz val="12"/>
        <rFont val="Times New Roman"/>
        <family val="1"/>
      </rPr>
      <t xml:space="preserve"> - (MCPS object code 233)  Medicare benefits of 47 Healthcare Assistants (Summers 2022 and 2023)</t>
    </r>
  </si>
  <si>
    <r>
      <rPr>
        <b/>
        <u/>
        <sz val="12"/>
        <rFont val="Times New Roman"/>
        <family val="1"/>
      </rPr>
      <t>Workers' Compensation Benefits</t>
    </r>
    <r>
      <rPr>
        <sz val="12"/>
        <rFont val="Times New Roman"/>
        <family val="1"/>
      </rPr>
      <t xml:space="preserve"> - (MCPS object code 232) Workers' Compensation benefits of 1 Health Program Specialist (40 extra days x 2 years)</t>
    </r>
  </si>
  <si>
    <r>
      <rPr>
        <b/>
        <u/>
        <sz val="12"/>
        <rFont val="Times New Roman"/>
        <family val="1"/>
      </rPr>
      <t>Workers' Compensation Benefits</t>
    </r>
    <r>
      <rPr>
        <sz val="12"/>
        <rFont val="Times New Roman"/>
        <family val="1"/>
      </rPr>
      <t xml:space="preserve"> - (MCPS object code 232) Workers' Compensation benefits of 47 Healthcare Assistants (Summers 2022 and 2023)</t>
    </r>
  </si>
  <si>
    <r>
      <rPr>
        <b/>
        <u/>
        <sz val="12"/>
        <rFont val="Times New Roman"/>
        <family val="1"/>
      </rPr>
      <t>Professional and Technical Services</t>
    </r>
    <r>
      <rPr>
        <sz val="12"/>
        <rFont val="Times New Roman"/>
        <family val="1"/>
      </rPr>
      <t>- Contracted mental health services for 48 schools and the implementation of evidence-based full-service community schools .  48 schools x 55,900.00 annually for 2 years = $5,366,400</t>
    </r>
  </si>
  <si>
    <r>
      <rPr>
        <b/>
        <sz val="12"/>
        <rFont val="Times New Roman"/>
        <family val="1"/>
      </rPr>
      <t>Ocali Charter</t>
    </r>
    <r>
      <rPr>
        <sz val="12"/>
        <rFont val="Times New Roman"/>
        <family val="1"/>
      </rPr>
      <t xml:space="preserve"> Contract mental health services for school and the implementation of evidence-based full-service community schools 1 mental health counselor/guidance counselor @ $55,900 each for Year 1 = $55,900 and Year 2 =$57,577</t>
    </r>
  </si>
  <si>
    <r>
      <rPr>
        <b/>
        <u/>
        <sz val="12"/>
        <rFont val="Times New Roman"/>
        <family val="1"/>
      </rPr>
      <t>Salaries</t>
    </r>
    <r>
      <rPr>
        <sz val="12"/>
        <rFont val="Times New Roman"/>
        <family val="1"/>
      </rPr>
      <t xml:space="preserve"> - Hire 48 School based Home-School Liaisons who will monitor and provide ongoing support for unaccounted students. Salary based on 48 HSL x 220 days x $16.50 per hour x 8 hours per day = $1,393,920 Year 1 and Year 2</t>
    </r>
  </si>
  <si>
    <r>
      <rPr>
        <b/>
        <u/>
        <sz val="12"/>
        <rFont val="Times New Roman"/>
        <family val="1"/>
      </rPr>
      <t>Retirement Benefits</t>
    </r>
    <r>
      <rPr>
        <sz val="12"/>
        <rFont val="Times New Roman"/>
        <family val="1"/>
      </rPr>
      <t xml:space="preserve"> - Retirement benefits of 48 Home-School Liaisons (year 2 only)</t>
    </r>
  </si>
  <si>
    <r>
      <rPr>
        <b/>
        <u/>
        <sz val="12"/>
        <rFont val="Times New Roman"/>
        <family val="1"/>
      </rPr>
      <t>Medicare Benefits</t>
    </r>
    <r>
      <rPr>
        <sz val="12"/>
        <rFont val="Times New Roman"/>
        <family val="1"/>
      </rPr>
      <t xml:space="preserve"> - (MCPS object code 233)  Medicare benefits of 48 Home-School Liaisons (year 2 only)</t>
    </r>
  </si>
  <si>
    <r>
      <rPr>
        <b/>
        <u/>
        <sz val="12"/>
        <rFont val="Times New Roman"/>
        <family val="1"/>
      </rPr>
      <t>Health Benefits</t>
    </r>
    <r>
      <rPr>
        <sz val="12"/>
        <rFont val="Times New Roman"/>
        <family val="1"/>
      </rPr>
      <t xml:space="preserve"> - (MCPS object code 230) Health benefits of 48 Home-School Liaisons (year 2 only)</t>
    </r>
  </si>
  <si>
    <r>
      <rPr>
        <b/>
        <u/>
        <sz val="12"/>
        <rFont val="Times New Roman"/>
        <family val="1"/>
      </rPr>
      <t>Life Benefits</t>
    </r>
    <r>
      <rPr>
        <sz val="12"/>
        <rFont val="Times New Roman"/>
        <family val="1"/>
      </rPr>
      <t xml:space="preserve"> -  (MCPS object code 231) Life benefits of 48 Home-School Liaisons (year 2 only)</t>
    </r>
  </si>
  <si>
    <r>
      <rPr>
        <b/>
        <u/>
        <sz val="12"/>
        <rFont val="Times New Roman"/>
        <family val="1"/>
      </rPr>
      <t>Workers' Compensation Benefits</t>
    </r>
    <r>
      <rPr>
        <sz val="12"/>
        <rFont val="Times New Roman"/>
        <family val="1"/>
      </rPr>
      <t xml:space="preserve"> - (MCPS object code 232) Workers' Compensation benefits of 48 Home-School Liaisons (year 2 only)</t>
    </r>
  </si>
  <si>
    <r>
      <rPr>
        <b/>
        <u/>
        <sz val="12"/>
        <rFont val="Times New Roman"/>
        <family val="1"/>
      </rPr>
      <t>In-county travel</t>
    </r>
    <r>
      <rPr>
        <sz val="12"/>
        <rFont val="Times New Roman"/>
        <family val="1"/>
      </rPr>
      <t xml:space="preserve"> for HSL approximately 500 miles a month x 10 months  x .056 per mile  x 48 HSL x 2 years =</t>
    </r>
  </si>
  <si>
    <r>
      <rPr>
        <b/>
        <u/>
        <sz val="12"/>
        <rFont val="Times New Roman"/>
        <family val="1"/>
      </rPr>
      <t xml:space="preserve">Other Purchase Services </t>
    </r>
    <r>
      <rPr>
        <sz val="12"/>
        <rFont val="Times New Roman"/>
        <family val="1"/>
      </rPr>
      <t>- Printing for Parent Partnership</t>
    </r>
  </si>
  <si>
    <r>
      <rPr>
        <b/>
        <sz val="12"/>
        <rFont val="Times New Roman"/>
        <family val="1"/>
      </rPr>
      <t>Marion Charter</t>
    </r>
    <r>
      <rPr>
        <sz val="12"/>
        <rFont val="Times New Roman"/>
        <family val="1"/>
      </rPr>
      <t xml:space="preserve"> Support and printing for Parent Communication.</t>
    </r>
  </si>
  <si>
    <r>
      <rPr>
        <b/>
        <sz val="12"/>
        <rFont val="Times New Roman"/>
        <family val="1"/>
      </rPr>
      <t>Ocali Charter</t>
    </r>
    <r>
      <rPr>
        <sz val="12"/>
        <rFont val="Times New Roman"/>
        <family val="1"/>
      </rPr>
      <t xml:space="preserve"> FAST Paraprofessional to coordinate and work with families 20,600- year 1 and 21,218.00 - year 2 + benefits $15,411.00</t>
    </r>
  </si>
  <si>
    <r>
      <rPr>
        <b/>
        <u/>
        <sz val="12"/>
        <rFont val="Times New Roman"/>
        <family val="1"/>
      </rPr>
      <t>Supplies</t>
    </r>
    <r>
      <rPr>
        <sz val="12"/>
        <rFont val="Times New Roman"/>
        <family val="1"/>
      </rPr>
      <t xml:space="preserve"> - Provide supplies for Parent Partnership by supporting parents with resources to best support students. $125,000 x 2 years = $250,000</t>
    </r>
  </si>
  <si>
    <r>
      <rPr>
        <b/>
        <u/>
        <sz val="12"/>
        <rFont val="Times New Roman"/>
        <family val="1"/>
      </rPr>
      <t>Salaries</t>
    </r>
    <r>
      <rPr>
        <sz val="12"/>
        <rFont val="Times New Roman"/>
        <family val="1"/>
      </rPr>
      <t xml:space="preserve"> - The district will hire a Multi-cultural coordinator position to support to support schools and other departments by providing leadership in multicultural education and improve student achievement for all ELL students.  Multi-cultural coordinator salary based on 5 years experience pay grade 74, Year 1 = $79,352 + 3%. Year 2 =$81,733 + 3%</t>
    </r>
  </si>
  <si>
    <r>
      <rPr>
        <b/>
        <u/>
        <sz val="12"/>
        <rFont val="Times New Roman"/>
        <family val="1"/>
      </rPr>
      <t>Salaries</t>
    </r>
    <r>
      <rPr>
        <sz val="12"/>
        <rFont val="Times New Roman"/>
        <family val="1"/>
      </rPr>
      <t xml:space="preserve"> - The district will hire 2 Principal on Assignment to support Elementary    Schools. Year 1 = $86,378. Year 2 = $88,970.</t>
    </r>
  </si>
  <si>
    <r>
      <rPr>
        <b/>
        <u/>
        <sz val="12"/>
        <rFont val="Times New Roman"/>
        <family val="1"/>
      </rPr>
      <t>Salaries</t>
    </r>
    <r>
      <rPr>
        <sz val="12"/>
        <rFont val="Times New Roman"/>
        <family val="1"/>
      </rPr>
      <t xml:space="preserve">  - Stipends to provide classroom teachers 5 hour per week for Professional Learning Centers (PLC) planning.  Salaries for 2,500 classroom teachers x $25 p/h stipend x 5 hours x 36 weeks x 2 years = $22,500,000.00</t>
    </r>
  </si>
  <si>
    <r>
      <rPr>
        <b/>
        <u/>
        <sz val="12"/>
        <rFont val="Times New Roman"/>
        <family val="1"/>
      </rPr>
      <t>Salaries</t>
    </r>
    <r>
      <rPr>
        <sz val="12"/>
        <rFont val="Times New Roman"/>
        <family val="1"/>
      </rPr>
      <t xml:space="preserve"> - The district will hire  1 program specialist to manage  ESSER grants for the Local Education Agency (LEA).  Program specialist  = year 1 =$106,000 year 2 $85,000</t>
    </r>
  </si>
  <si>
    <r>
      <rPr>
        <b/>
        <u/>
        <sz val="12"/>
        <rFont val="Times New Roman"/>
        <family val="1"/>
      </rPr>
      <t>Salaries</t>
    </r>
    <r>
      <rPr>
        <sz val="12"/>
        <rFont val="Times New Roman"/>
        <family val="1"/>
      </rPr>
      <t xml:space="preserve"> - The district will hire 3 Content Area Specialists to aid teachers in supporting students transferred due to school closure to address student learning loss and teacher efficacy.  3 Content Area Specialists Year 1 = $45,000+3% = $46,350. Year 2 = $46,350+3% = $47,741</t>
    </r>
  </si>
  <si>
    <r>
      <rPr>
        <b/>
        <u/>
        <sz val="12"/>
        <rFont val="Times New Roman"/>
        <family val="1"/>
      </rPr>
      <t>Salaries</t>
    </r>
    <r>
      <rPr>
        <sz val="12"/>
        <rFont val="Times New Roman"/>
        <family val="1"/>
      </rPr>
      <t xml:space="preserve"> - The district will hire 1 Budget Specialist to manage ESSER grant budgets for the Local Education Agency (LEA).  Budget Specialist. Year 1 = $57,859 + 3% = $59,595. Year 2 = $59,595 + 3% = $61,383.</t>
    </r>
  </si>
  <si>
    <r>
      <rPr>
        <b/>
        <u/>
        <sz val="12"/>
        <rFont val="Times New Roman"/>
        <family val="1"/>
      </rPr>
      <t>Retirement Benefits</t>
    </r>
    <r>
      <rPr>
        <sz val="12"/>
        <rFont val="Times New Roman"/>
        <family val="1"/>
      </rPr>
      <t xml:space="preserve"> - Retirement benefits of 1 Multi-Cultural Coordinator</t>
    </r>
  </si>
  <si>
    <r>
      <rPr>
        <b/>
        <u/>
        <sz val="12"/>
        <rFont val="Times New Roman"/>
        <family val="1"/>
      </rPr>
      <t>Retirement Benefits</t>
    </r>
    <r>
      <rPr>
        <sz val="12"/>
        <rFont val="Times New Roman"/>
        <family val="1"/>
      </rPr>
      <t xml:space="preserve"> - Retirement benefits of 1 program specialist for ESSER grants</t>
    </r>
  </si>
  <si>
    <r>
      <rPr>
        <b/>
        <u/>
        <sz val="12"/>
        <rFont val="Times New Roman"/>
        <family val="1"/>
      </rPr>
      <t>Retirement Benefits</t>
    </r>
    <r>
      <rPr>
        <sz val="12"/>
        <rFont val="Times New Roman"/>
        <family val="1"/>
      </rPr>
      <t xml:space="preserve"> - Retirement benefits of  2 principals on assignment Elementary Schools</t>
    </r>
  </si>
  <si>
    <r>
      <rPr>
        <b/>
        <u/>
        <sz val="12"/>
        <rFont val="Times New Roman"/>
        <family val="1"/>
      </rPr>
      <t>Retirement Benefits</t>
    </r>
    <r>
      <rPr>
        <sz val="12"/>
        <rFont val="Times New Roman"/>
        <family val="1"/>
      </rPr>
      <t xml:space="preserve"> - Retirement benefits of 1 Budget Specialist for ESSER grants.</t>
    </r>
  </si>
  <si>
    <r>
      <rPr>
        <b/>
        <u/>
        <sz val="12"/>
        <rFont val="Times New Roman"/>
        <family val="1"/>
      </rPr>
      <t xml:space="preserve">Retirement </t>
    </r>
    <r>
      <rPr>
        <u/>
        <sz val="12"/>
        <rFont val="Times New Roman"/>
        <family val="1"/>
      </rPr>
      <t xml:space="preserve">- </t>
    </r>
    <r>
      <rPr>
        <sz val="12"/>
        <rFont val="Times New Roman"/>
        <family val="1"/>
      </rPr>
      <t xml:space="preserve">Benefits for 3 Content Area Specialist </t>
    </r>
  </si>
  <si>
    <r>
      <rPr>
        <b/>
        <u/>
        <sz val="12"/>
        <rFont val="Times New Roman"/>
        <family val="1"/>
      </rPr>
      <t xml:space="preserve">Retirement </t>
    </r>
    <r>
      <rPr>
        <b/>
        <sz val="12"/>
        <rFont val="Times New Roman"/>
        <family val="1"/>
      </rPr>
      <t>-</t>
    </r>
    <r>
      <rPr>
        <sz val="12"/>
        <rFont val="Times New Roman"/>
        <family val="1"/>
      </rPr>
      <t xml:space="preserve"> PLC Instructional Staff</t>
    </r>
  </si>
  <si>
    <r>
      <rPr>
        <b/>
        <u/>
        <sz val="12"/>
        <rFont val="Times New Roman"/>
        <family val="1"/>
      </rPr>
      <t>FICA  Benefits</t>
    </r>
    <r>
      <rPr>
        <sz val="12"/>
        <rFont val="Times New Roman"/>
        <family val="1"/>
      </rPr>
      <t xml:space="preserve"> - Retirement benefits of Classroom Teachers for PLC Planning</t>
    </r>
  </si>
  <si>
    <r>
      <rPr>
        <b/>
        <u/>
        <sz val="12"/>
        <rFont val="Times New Roman"/>
        <family val="1"/>
      </rPr>
      <t>Medicare Benefits</t>
    </r>
    <r>
      <rPr>
        <sz val="12"/>
        <rFont val="Times New Roman"/>
        <family val="1"/>
      </rPr>
      <t xml:space="preserve"> - (MCPS object code 233)  Medicare benefits</t>
    </r>
  </si>
  <si>
    <r>
      <rPr>
        <b/>
        <u/>
        <sz val="12"/>
        <rFont val="Times New Roman"/>
        <family val="1"/>
      </rPr>
      <t>FICA Benefits</t>
    </r>
    <r>
      <rPr>
        <sz val="12"/>
        <rFont val="Times New Roman"/>
        <family val="1"/>
      </rPr>
      <t xml:space="preserve"> - FICA Benefits of 1 Multi-Cultural Coordinator</t>
    </r>
  </si>
  <si>
    <r>
      <rPr>
        <b/>
        <u/>
        <sz val="12"/>
        <rFont val="Times New Roman"/>
        <family val="1"/>
      </rPr>
      <t>Medicare Benefits</t>
    </r>
    <r>
      <rPr>
        <sz val="12"/>
        <rFont val="Times New Roman"/>
        <family val="1"/>
      </rPr>
      <t xml:space="preserve"> - (MCPS object code 233)  Medicare benefits of 1 Multi-Cultural Coordinator</t>
    </r>
  </si>
  <si>
    <r>
      <rPr>
        <b/>
        <u/>
        <sz val="12"/>
        <rFont val="Times New Roman"/>
        <family val="1"/>
      </rPr>
      <t>Medicare Benefits</t>
    </r>
    <r>
      <rPr>
        <sz val="12"/>
        <rFont val="Times New Roman"/>
        <family val="1"/>
      </rPr>
      <t xml:space="preserve"> - (MCPS object code 233)  Medicare benefits of 1 program specialist for ESSER grants</t>
    </r>
  </si>
  <si>
    <r>
      <rPr>
        <b/>
        <u/>
        <sz val="12"/>
        <rFont val="Times New Roman"/>
        <family val="1"/>
      </rPr>
      <t>Medicare Benefits</t>
    </r>
    <r>
      <rPr>
        <sz val="12"/>
        <rFont val="Times New Roman"/>
        <family val="1"/>
      </rPr>
      <t xml:space="preserve"> - (MCPS object code 233)  Medicare benefits of 2  Principal on Assignment for Elementary Schools</t>
    </r>
  </si>
  <si>
    <r>
      <rPr>
        <b/>
        <u/>
        <sz val="12"/>
        <rFont val="Times New Roman"/>
        <family val="1"/>
      </rPr>
      <t>Medicare Benefits</t>
    </r>
    <r>
      <rPr>
        <sz val="12"/>
        <rFont val="Times New Roman"/>
        <family val="1"/>
      </rPr>
      <t xml:space="preserve"> - (MCPS object code 233)  Medicare benefits of 1 Budget Specialist for ESSER grants.</t>
    </r>
  </si>
  <si>
    <r>
      <rPr>
        <b/>
        <u/>
        <sz val="12"/>
        <rFont val="Times New Roman"/>
        <family val="1"/>
      </rPr>
      <t>Medicare Benefits</t>
    </r>
    <r>
      <rPr>
        <sz val="12"/>
        <rFont val="Times New Roman"/>
        <family val="1"/>
      </rPr>
      <t xml:space="preserve"> - (MCPS object code 233)  Medicare benefits of 3 Content Area Specialists.</t>
    </r>
  </si>
  <si>
    <r>
      <rPr>
        <b/>
        <u/>
        <sz val="12"/>
        <rFont val="Times New Roman"/>
        <family val="1"/>
      </rPr>
      <t>Health Benefits</t>
    </r>
    <r>
      <rPr>
        <sz val="12"/>
        <rFont val="Times New Roman"/>
        <family val="1"/>
      </rPr>
      <t xml:space="preserve"> - (MCPS object code 230) Health benefits of 1 Multi-Cultural Coordinator</t>
    </r>
  </si>
  <si>
    <r>
      <rPr>
        <b/>
        <u/>
        <sz val="12"/>
        <rFont val="Times New Roman"/>
        <family val="1"/>
      </rPr>
      <t>Health Benefits</t>
    </r>
    <r>
      <rPr>
        <sz val="12"/>
        <rFont val="Times New Roman"/>
        <family val="1"/>
      </rPr>
      <t xml:space="preserve"> - (MCPS object code 230) Health benefits of 1 program specialist for ESSER grants</t>
    </r>
  </si>
  <si>
    <r>
      <rPr>
        <b/>
        <u/>
        <sz val="12"/>
        <rFont val="Times New Roman"/>
        <family val="1"/>
      </rPr>
      <t>Health Benefits</t>
    </r>
    <r>
      <rPr>
        <sz val="12"/>
        <rFont val="Times New Roman"/>
        <family val="1"/>
      </rPr>
      <t xml:space="preserve"> - (MCPS object code 230) Health benefits of 2 Principal on Assignment for Elementary Schools</t>
    </r>
  </si>
  <si>
    <r>
      <rPr>
        <b/>
        <u/>
        <sz val="12"/>
        <rFont val="Times New Roman"/>
        <family val="1"/>
      </rPr>
      <t>Health Benefits</t>
    </r>
    <r>
      <rPr>
        <sz val="12"/>
        <rFont val="Times New Roman"/>
        <family val="1"/>
      </rPr>
      <t xml:space="preserve"> - (MCPS object code 230) Health benefits of 1 Budget Specialist for ESSER grants.</t>
    </r>
  </si>
  <si>
    <r>
      <t>Health-</t>
    </r>
    <r>
      <rPr>
        <sz val="12"/>
        <rFont val="Times New Roman"/>
        <family val="1"/>
      </rPr>
      <t xml:space="preserve"> Benefits for 3 Content Area Specialist </t>
    </r>
  </si>
  <si>
    <r>
      <rPr>
        <b/>
        <u/>
        <sz val="12"/>
        <rFont val="Times New Roman"/>
        <family val="1"/>
      </rPr>
      <t>Life Benefits</t>
    </r>
    <r>
      <rPr>
        <sz val="12"/>
        <rFont val="Times New Roman"/>
        <family val="1"/>
      </rPr>
      <t xml:space="preserve"> -  (MCPS object code 231) Life benefits of 1 Budget Specialist for ESSER grants.</t>
    </r>
  </si>
  <si>
    <r>
      <rPr>
        <b/>
        <u/>
        <sz val="12"/>
        <rFont val="Times New Roman"/>
        <family val="1"/>
      </rPr>
      <t>Life Benefits</t>
    </r>
    <r>
      <rPr>
        <sz val="12"/>
        <rFont val="Times New Roman"/>
        <family val="1"/>
      </rPr>
      <t xml:space="preserve"> -  (MCPS object code 231) Life benefits of 2 Principal on Assignment for Elementary  Schools</t>
    </r>
  </si>
  <si>
    <r>
      <rPr>
        <b/>
        <u/>
        <sz val="12"/>
        <rFont val="Times New Roman"/>
        <family val="1"/>
      </rPr>
      <t>Life Benefits</t>
    </r>
    <r>
      <rPr>
        <sz val="12"/>
        <rFont val="Times New Roman"/>
        <family val="1"/>
      </rPr>
      <t xml:space="preserve"> -  (MCPS object code 231) Life benefits of 3 Content Area Specialists.</t>
    </r>
  </si>
  <si>
    <r>
      <rPr>
        <b/>
        <u/>
        <sz val="12"/>
        <rFont val="Times New Roman"/>
        <family val="1"/>
      </rPr>
      <t>Workers' Compensation Benefits</t>
    </r>
    <r>
      <rPr>
        <sz val="12"/>
        <rFont val="Times New Roman"/>
        <family val="1"/>
      </rPr>
      <t xml:space="preserve"> - (MCPS object code 232) Workers' Compensation benefits of Classroom Teachers for PLC Planning</t>
    </r>
  </si>
  <si>
    <r>
      <rPr>
        <b/>
        <u/>
        <sz val="12"/>
        <rFont val="Times New Roman"/>
        <family val="1"/>
      </rPr>
      <t>Workers' Compensation Benefits</t>
    </r>
    <r>
      <rPr>
        <sz val="12"/>
        <rFont val="Times New Roman"/>
        <family val="1"/>
      </rPr>
      <t xml:space="preserve"> - (MCPS object code 232) Workers' Compensation benefits of 1 Multi-Cultural Coordinator</t>
    </r>
  </si>
  <si>
    <r>
      <rPr>
        <b/>
        <u/>
        <sz val="12"/>
        <rFont val="Times New Roman"/>
        <family val="1"/>
      </rPr>
      <t>Workers' Compensation Benefits</t>
    </r>
    <r>
      <rPr>
        <sz val="12"/>
        <rFont val="Times New Roman"/>
        <family val="1"/>
      </rPr>
      <t xml:space="preserve"> - (MCPS object code 232) Workers' Compensation benefits of 1 program specialist for ESSER grants</t>
    </r>
  </si>
  <si>
    <r>
      <rPr>
        <b/>
        <u/>
        <sz val="12"/>
        <rFont val="Times New Roman"/>
        <family val="1"/>
      </rPr>
      <t>Workman's Compensation</t>
    </r>
    <r>
      <rPr>
        <u/>
        <sz val="12"/>
        <rFont val="Times New Roman"/>
        <family val="1"/>
      </rPr>
      <t xml:space="preserve"> </t>
    </r>
    <r>
      <rPr>
        <sz val="12"/>
        <rFont val="Times New Roman"/>
        <family val="1"/>
      </rPr>
      <t xml:space="preserve">Benefits for 3 Content Area Specialist </t>
    </r>
  </si>
  <si>
    <r>
      <rPr>
        <b/>
        <sz val="12"/>
        <rFont val="Times New Roman"/>
        <family val="1"/>
      </rPr>
      <t xml:space="preserve">Salaries </t>
    </r>
    <r>
      <rPr>
        <sz val="12"/>
        <rFont val="Times New Roman"/>
        <family val="1"/>
      </rPr>
      <t>- Paraprofessional Staff (1000) Professional Development (Optional 5 Days, July 26-29, 2021).  1000 paraprofessionals x $15 /hr. x 4 days x 6 hours per day = $450,000.</t>
    </r>
  </si>
  <si>
    <r>
      <rPr>
        <b/>
        <u/>
        <sz val="12"/>
        <rFont val="Times New Roman"/>
        <family val="1"/>
      </rPr>
      <t>Instructional Staff Training Services</t>
    </r>
    <r>
      <rPr>
        <sz val="12"/>
        <rFont val="Times New Roman"/>
        <family val="1"/>
      </rPr>
      <t xml:space="preserve"> - Provide NCEE Training for School Principals to enhance leadership.    $30 principals x $10,000 each x 2 years = $ 800,000.00 $100,000.00 University of Florida  </t>
    </r>
  </si>
  <si>
    <r>
      <t>Ocali Charter -</t>
    </r>
    <r>
      <rPr>
        <sz val="12"/>
        <rFont val="Times New Roman"/>
        <family val="1"/>
      </rPr>
      <t>Training and professional development for after school instructional and support personnel 10 teachers @ 25.00/hr for 36hours = $ 9,000.00 10 paraprofessionals x $15.00/hr for 20 hours $ 3,000= + benefits $ 1,054.00  = $13,054</t>
    </r>
  </si>
  <si>
    <r>
      <t xml:space="preserve">Marion Charter- </t>
    </r>
    <r>
      <rPr>
        <sz val="12"/>
        <rFont val="Times New Roman"/>
        <family val="1"/>
      </rPr>
      <t xml:space="preserve"> Professional development for instructional staff - stipends and benefits. </t>
    </r>
  </si>
  <si>
    <r>
      <rPr>
        <b/>
        <u/>
        <sz val="12"/>
        <rFont val="Times New Roman"/>
        <family val="1"/>
      </rPr>
      <t>Technology Related Professional and Technical Services</t>
    </r>
    <r>
      <rPr>
        <sz val="12"/>
        <rFont val="Times New Roman"/>
        <family val="1"/>
      </rPr>
      <t xml:space="preserve"> - The district will purchase installation of Adaptive Listening Devices for instruction to support highly-effective instructional practices in the classroom.  250 installs x $1000 each = $250,000.</t>
    </r>
  </si>
  <si>
    <r>
      <rPr>
        <b/>
        <u/>
        <sz val="12"/>
        <rFont val="Times New Roman"/>
        <family val="1"/>
      </rPr>
      <t>Technology Related Capitalized Fixtures and Equipment</t>
    </r>
    <r>
      <rPr>
        <sz val="12"/>
        <rFont val="Times New Roman"/>
        <family val="1"/>
      </rPr>
      <t xml:space="preserve"> - The district will purchase Adaptive Listening Devices for instruction to support highly-effective instructional practices in the classroom.  250 devices x $1000 each = $250,000.</t>
    </r>
  </si>
  <si>
    <r>
      <rPr>
        <b/>
        <u/>
        <sz val="12"/>
        <rFont val="Times New Roman"/>
        <family val="1"/>
      </rPr>
      <t>Indirect Cost</t>
    </r>
    <r>
      <rPr>
        <sz val="12"/>
        <rFont val="Times New Roman"/>
        <family val="1"/>
      </rPr>
      <t xml:space="preserve"> - Based on 4.20%</t>
    </r>
  </si>
  <si>
    <r>
      <t xml:space="preserve">Retirement Benefits </t>
    </r>
    <r>
      <rPr>
        <sz val="12"/>
        <rFont val="Times New Roman"/>
        <family val="1"/>
      </rPr>
      <t>of 47 Receptionists</t>
    </r>
  </si>
  <si>
    <r>
      <rPr>
        <b/>
        <sz val="12"/>
        <rFont val="Times New Roman"/>
        <family val="1"/>
      </rPr>
      <t xml:space="preserve">FICA Benefits </t>
    </r>
    <r>
      <rPr>
        <sz val="12"/>
        <rFont val="Times New Roman"/>
        <family val="1"/>
      </rPr>
      <t xml:space="preserve">- FICA Benefits of  47 Receptionists </t>
    </r>
  </si>
  <si>
    <r>
      <rPr>
        <b/>
        <u/>
        <sz val="12"/>
        <rFont val="Times New Roman"/>
        <family val="1"/>
      </rPr>
      <t>Medicare Benefits</t>
    </r>
    <r>
      <rPr>
        <sz val="12"/>
        <rFont val="Times New Roman"/>
        <family val="1"/>
      </rPr>
      <t xml:space="preserve"> - (MCPS object code 233)  Medicare benefits of 47 Receptionists</t>
    </r>
  </si>
  <si>
    <r>
      <rPr>
        <b/>
        <u/>
        <sz val="12"/>
        <rFont val="Times New Roman"/>
        <family val="1"/>
      </rPr>
      <t xml:space="preserve">Workers' Compensation Benefits </t>
    </r>
    <r>
      <rPr>
        <sz val="12"/>
        <rFont val="Times New Roman"/>
        <family val="1"/>
      </rPr>
      <t>- (MCPS object code 232)for Receptionists</t>
    </r>
  </si>
  <si>
    <r>
      <t>Marion Charter -</t>
    </r>
    <r>
      <rPr>
        <sz val="12"/>
        <rFont val="Times New Roman"/>
        <family val="1"/>
      </rPr>
      <t>IPC/Attendance Salary reimbursement for tracking student attendance</t>
    </r>
  </si>
  <si>
    <r>
      <rPr>
        <b/>
        <u/>
        <sz val="12"/>
        <rFont val="Times New Roman"/>
        <family val="1"/>
      </rPr>
      <t>Remodeling and Renovations</t>
    </r>
    <r>
      <rPr>
        <sz val="12"/>
        <rFont val="Times New Roman"/>
        <family val="1"/>
      </rPr>
      <t xml:space="preserve"> - Purchase air purifiers to improve indoor air quality.  Unit cost 170 UV-C Core System (+installation) x $2,916 per unit total = $495,720.00.  Qty = 797 iWave Air Purifier (+ installation) $632.72 per unit             Total = $504,277.84  Total cost = Approximately $1,000,000.</t>
    </r>
  </si>
  <si>
    <r>
      <rPr>
        <b/>
        <u/>
        <sz val="12"/>
        <rFont val="Times New Roman"/>
        <family val="1"/>
      </rPr>
      <t>Capitalized Equipment  -</t>
    </r>
    <r>
      <rPr>
        <sz val="12"/>
        <rFont val="Times New Roman"/>
        <family val="1"/>
      </rPr>
      <t xml:space="preserve"> Purchase outside dining tables to provide fresh air dining.500 x $1200.00 each </t>
    </r>
  </si>
  <si>
    <r>
      <rPr>
        <b/>
        <u/>
        <sz val="12"/>
        <rFont val="Times New Roman"/>
        <family val="1"/>
      </rPr>
      <t>Non Capitalized Equipment -</t>
    </r>
    <r>
      <rPr>
        <sz val="12"/>
        <rFont val="Times New Roman"/>
        <family val="1"/>
      </rPr>
      <t xml:space="preserve"> Purchase umbrellas for outside dining tables to provide fresh air dining. 500 x $425.00  each </t>
    </r>
  </si>
  <si>
    <r>
      <rPr>
        <b/>
        <u/>
        <sz val="12"/>
        <rFont val="Times New Roman"/>
        <family val="1"/>
      </rPr>
      <t>Contract for Services</t>
    </r>
    <r>
      <rPr>
        <sz val="12"/>
        <rFont val="Times New Roman"/>
        <family val="1"/>
      </rPr>
      <t xml:space="preserve"> - Due to the volume of construction projects the district will obtain outside contracts as needed for services such as inspections, permitting and project management.</t>
    </r>
  </si>
  <si>
    <r>
      <rPr>
        <b/>
        <u/>
        <sz val="12"/>
        <rFont val="Times New Roman"/>
        <family val="1"/>
      </rPr>
      <t>Capitalized remodeling and renovations</t>
    </r>
    <r>
      <rPr>
        <sz val="12"/>
        <rFont val="Times New Roman"/>
        <family val="1"/>
      </rPr>
      <t xml:space="preserve"> - Capitalized Heating, Ventilation and Air-Conditioning (HVAC) remodeling and renovations to upgrade and address HVAC needs at schools to improve indoor air quality.  $4,000,000</t>
    </r>
  </si>
  <si>
    <r>
      <rPr>
        <b/>
        <u/>
        <sz val="12"/>
        <rFont val="Times New Roman"/>
        <family val="1"/>
      </rPr>
      <t>In-county travel-</t>
    </r>
    <r>
      <rPr>
        <sz val="12"/>
        <rFont val="Times New Roman"/>
        <family val="1"/>
      </rPr>
      <t xml:space="preserve"> for recruitment team. Approximately 100 miles a month x 12 months  x .056 per mile x up to 5 staff x 2 years= $6,720.00</t>
    </r>
  </si>
  <si>
    <r>
      <rPr>
        <b/>
        <u/>
        <sz val="12"/>
        <rFont val="Times New Roman"/>
        <family val="1"/>
      </rPr>
      <t xml:space="preserve"> Out of County Travel-</t>
    </r>
    <r>
      <rPr>
        <sz val="12"/>
        <rFont val="Times New Roman"/>
        <family val="1"/>
      </rPr>
      <t xml:space="preserve">Recruitment Fairs and Events, Registration, airfare, hotel, mileage meals for team of up to 5 @ 2,000 each, 2x a year for 2 years= $40,000 (outside of state travel, in-state travel to recruiting fairs and events…). </t>
    </r>
  </si>
  <si>
    <r>
      <t xml:space="preserve">Technology Related </t>
    </r>
    <r>
      <rPr>
        <sz val="12"/>
        <rFont val="Times New Roman"/>
        <family val="1"/>
      </rPr>
      <t>Rentals Promotion- Social Media promotion, boost social media presence to support recruitment through TikTok, Twitter, vendor connections. $5000 per year= $10,000.Annual @ $2,000 for LinkedIn, Indeed and related subscriptions per year= $4,000 total. Geocaching mobile campaign (two per year @ $6,000 each, $12,000 each year)= $24,000 total. Technology services to increase social media presence for closing diversity gaps and hard to fill positions using common platforms $3,000 per year= $6,000 total</t>
    </r>
  </si>
  <si>
    <r>
      <t xml:space="preserve">Other purchase services </t>
    </r>
    <r>
      <rPr>
        <sz val="12"/>
        <rFont val="Times New Roman"/>
        <family val="1"/>
      </rPr>
      <t>Annual @ $2,000 for LinkedIn, Indeed and related subscriptions per year= $4,000 total. Geocaching mobile campaign (two per year @ $6,000 each, $12,000 each year)= $24,000 total. Technology services to increase social media presence for closing diversity gaps and hard to fill positions using common platforms $3,000 per year= $6,000 total</t>
    </r>
  </si>
  <si>
    <r>
      <rPr>
        <b/>
        <u/>
        <sz val="12"/>
        <rFont val="Times New Roman"/>
        <family val="1"/>
      </rPr>
      <t>Technology Related Noncapitalized fixtures and equipment-</t>
    </r>
    <r>
      <rPr>
        <sz val="12"/>
        <rFont val="Times New Roman"/>
        <family val="1"/>
      </rPr>
      <t xml:space="preserve"> Mobile recruitment Chromebook stations for school lobbies (visitors can apply on-site), job fairs and related recruiting events and opportunities, 55 total @ $272 (50 for school lobbies, 5 for recruiting events/fairs). School lobby stations also for parent/guardian access to view/sign-up for Family Access accounts to check child grades, attendance... </t>
    </r>
  </si>
  <si>
    <r>
      <rPr>
        <b/>
        <u/>
        <sz val="12"/>
        <rFont val="Times New Roman"/>
        <family val="1"/>
      </rPr>
      <t xml:space="preserve">Dues and Fees </t>
    </r>
    <r>
      <rPr>
        <sz val="12"/>
        <rFont val="Times New Roman"/>
        <family val="1"/>
      </rPr>
      <t xml:space="preserve">-Recruitment Fairs and Events Registration-  Recruiting fairs and event registration and participation ($200-$500 per event) up to 2-3 fairs/events per year for 2 years = $4,000 </t>
    </r>
  </si>
  <si>
    <r>
      <rPr>
        <b/>
        <u/>
        <sz val="12"/>
        <rFont val="Times New Roman"/>
        <family val="1"/>
      </rPr>
      <t>Salaries</t>
    </r>
    <r>
      <rPr>
        <sz val="12"/>
        <rFont val="Times New Roman"/>
        <family val="1"/>
      </rPr>
      <t xml:space="preserve"> - Hire 50 School Bus Drivers (Summer School 202 &amp; 2024) to expand routing in the district. Bus Drivers = 50 drivers x $17.45/hr. x 6 hrs./day x 23 days/yr. = $120,405, year 1. Year 2 = $17.97/hr. x 6 hrs./day x 23 days/yr. = $123,993</t>
    </r>
  </si>
  <si>
    <r>
      <rPr>
        <b/>
        <u/>
        <sz val="12"/>
        <rFont val="Times New Roman"/>
        <family val="1"/>
      </rPr>
      <t>Salaries</t>
    </r>
    <r>
      <rPr>
        <sz val="12"/>
        <rFont val="Times New Roman"/>
        <family val="1"/>
      </rPr>
      <t xml:space="preserve"> -Thirteen (13) school bus drivers @ $19.85/hr. x 6 hrs./day x 196 days = $303,467.00 x 2 years = $606,934. (3% year 2 not calculated yet)</t>
    </r>
  </si>
  <si>
    <r>
      <rPr>
        <b/>
        <u/>
        <sz val="12"/>
        <rFont val="Times New Roman"/>
        <family val="1"/>
      </rPr>
      <t>Salaries</t>
    </r>
    <r>
      <rPr>
        <sz val="12"/>
        <rFont val="Times New Roman"/>
        <family val="1"/>
      </rPr>
      <t xml:space="preserve">  - Thirteen (13) bus aides @ $14.85/hr. x 6 hrs./day x 196 days = $227,027 x 2 years = $454,054 (3% year 2 not calculated yet)</t>
    </r>
  </si>
  <si>
    <r>
      <rPr>
        <b/>
        <u/>
        <sz val="12"/>
        <rFont val="Times New Roman"/>
        <family val="1"/>
      </rPr>
      <t>Retirement Benefits</t>
    </r>
    <r>
      <rPr>
        <sz val="12"/>
        <rFont val="Times New Roman"/>
        <family val="1"/>
      </rPr>
      <t xml:space="preserve"> - Retirement benefits of 50 Bus Drivers for Summer School </t>
    </r>
  </si>
  <si>
    <r>
      <rPr>
        <b/>
        <u/>
        <sz val="12"/>
        <rFont val="Times New Roman"/>
        <family val="1"/>
      </rPr>
      <t>Retirement Benefits</t>
    </r>
    <r>
      <rPr>
        <sz val="12"/>
        <rFont val="Times New Roman"/>
        <family val="1"/>
      </rPr>
      <t xml:space="preserve"> - Retirement benefits of  20 Bus Aides for Summer School </t>
    </r>
  </si>
  <si>
    <r>
      <rPr>
        <b/>
        <u/>
        <sz val="12"/>
        <rFont val="Times New Roman"/>
        <family val="1"/>
      </rPr>
      <t>Medicare Benefits</t>
    </r>
    <r>
      <rPr>
        <sz val="12"/>
        <rFont val="Times New Roman"/>
        <family val="1"/>
      </rPr>
      <t xml:space="preserve"> - (MCPS object code 233)  Medicare benefits  of 50 Bus Drivers .</t>
    </r>
  </si>
  <si>
    <r>
      <rPr>
        <b/>
        <u/>
        <sz val="12"/>
        <rFont val="Times New Roman"/>
        <family val="1"/>
      </rPr>
      <t>Medicare Benefits</t>
    </r>
    <r>
      <rPr>
        <sz val="12"/>
        <rFont val="Times New Roman"/>
        <family val="1"/>
      </rPr>
      <t xml:space="preserve"> - (MCPS object code 233)  Medicare benefits  of and 20 Bus Aides for Summer School </t>
    </r>
  </si>
  <si>
    <r>
      <rPr>
        <b/>
        <u/>
        <sz val="12"/>
        <rFont val="Times New Roman"/>
        <family val="1"/>
      </rPr>
      <t>Gasoline</t>
    </r>
    <r>
      <rPr>
        <b/>
        <sz val="12"/>
        <rFont val="Times New Roman"/>
        <family val="1"/>
      </rPr>
      <t xml:space="preserve"> </t>
    </r>
    <r>
      <rPr>
        <sz val="12"/>
        <rFont val="Times New Roman"/>
        <family val="1"/>
      </rPr>
      <t>Purchase Summer School Fuel for School Busses $100,000.00</t>
    </r>
  </si>
  <si>
    <r>
      <rPr>
        <b/>
        <u/>
        <sz val="12"/>
        <rFont val="Times New Roman"/>
        <family val="1"/>
      </rPr>
      <t>Diesel Fuel</t>
    </r>
    <r>
      <rPr>
        <sz val="12"/>
        <rFont val="Times New Roman"/>
        <family val="1"/>
      </rPr>
      <t xml:space="preserve"> - Purchase Summer School Fuel for School Busses = $100,000</t>
    </r>
  </si>
  <si>
    <r>
      <t xml:space="preserve">Salaries - </t>
    </r>
    <r>
      <rPr>
        <u/>
        <sz val="12"/>
        <rFont val="Times New Roman"/>
        <family val="1"/>
      </rPr>
      <t>C</t>
    </r>
    <r>
      <rPr>
        <sz val="12"/>
        <rFont val="Times New Roman"/>
        <family val="1"/>
      </rPr>
      <t>ustodial staff to support Parent Partnership Events 6 hours x 30.00 per hour  x 5 event x 3 staff =$2,700.00 x 2 years = $5,400.00</t>
    </r>
  </si>
  <si>
    <r>
      <rPr>
        <b/>
        <u/>
        <sz val="12"/>
        <rFont val="Times New Roman"/>
        <family val="1"/>
      </rPr>
      <t>Retirement Benefits</t>
    </r>
    <r>
      <rPr>
        <sz val="12"/>
        <rFont val="Times New Roman"/>
        <family val="1"/>
      </rPr>
      <t xml:space="preserve"> - Custodial Staff</t>
    </r>
  </si>
  <si>
    <r>
      <rPr>
        <b/>
        <u/>
        <sz val="12"/>
        <rFont val="Times New Roman"/>
        <family val="1"/>
      </rPr>
      <t>FICA Ben</t>
    </r>
    <r>
      <rPr>
        <u/>
        <sz val="12"/>
        <rFont val="Times New Roman"/>
        <family val="1"/>
      </rPr>
      <t>efits - Custodial Staff</t>
    </r>
  </si>
  <si>
    <r>
      <rPr>
        <b/>
        <u/>
        <sz val="12"/>
        <rFont val="Times New Roman"/>
        <family val="1"/>
      </rPr>
      <t>Medicare Benefits</t>
    </r>
    <r>
      <rPr>
        <sz val="12"/>
        <rFont val="Times New Roman"/>
        <family val="1"/>
      </rPr>
      <t xml:space="preserve"> - (MCPS object code 233)   Custodial Staff</t>
    </r>
  </si>
  <si>
    <r>
      <rPr>
        <b/>
        <u/>
        <sz val="12"/>
        <rFont val="Times New Roman"/>
        <family val="1"/>
      </rPr>
      <t>Workers' Compensation Benefits</t>
    </r>
    <r>
      <rPr>
        <sz val="12"/>
        <rFont val="Times New Roman"/>
        <family val="1"/>
      </rPr>
      <t xml:space="preserve"> - (MCPS object code 232)for Custodial Staff</t>
    </r>
  </si>
  <si>
    <r>
      <rPr>
        <b/>
        <u/>
        <sz val="12"/>
        <rFont val="Times New Roman"/>
        <family val="1"/>
      </rPr>
      <t>Marion Charter</t>
    </r>
    <r>
      <rPr>
        <sz val="12"/>
        <rFont val="Times New Roman"/>
        <family val="1"/>
      </rPr>
      <t xml:space="preserve"> Independent custodial contractor salary + benefits($60,720.00) and custodial supplies ($30,000.00) school facility repairs ($6,000.00) other activities necessary for school($10,020)</t>
    </r>
  </si>
  <si>
    <r>
      <rPr>
        <b/>
        <u/>
        <sz val="12"/>
        <rFont val="Times New Roman"/>
        <family val="1"/>
      </rPr>
      <t>Supplies</t>
    </r>
    <r>
      <rPr>
        <sz val="12"/>
        <rFont val="Times New Roman"/>
        <family val="1"/>
      </rPr>
      <t xml:space="preserve"> - Operation of Plant - Purchase Peroxy HDOX and Omni shield to sanitize and clean district schools, facilities and transportation vehicles. $815,616.00 Purchase will provide foam soap to reduce the risk of virus transmission and support student health in schools and throughout the District. 41.22 x2000 = $82,400 Purchase of hand sanitizer to reduce the risk of virus transmission and support student health throughout the District.69.00 x 2000 = $138,000.</t>
    </r>
  </si>
  <si>
    <r>
      <rPr>
        <b/>
        <u/>
        <sz val="12"/>
        <rFont val="Times New Roman"/>
        <family val="1"/>
      </rPr>
      <t>Capitalized Equipme</t>
    </r>
    <r>
      <rPr>
        <sz val="12"/>
        <rFont val="Times New Roman"/>
        <family val="1"/>
      </rPr>
      <t xml:space="preserve">nt - Purchase of Tom Cat Sport Scrubbers to facilitate cleaning and disinfecting floors for all school and district facilities.  $ 11,278.00 x 20  Purchase of Tom Cat Edge Machines which will support the cleaning and disinfecting of floors in all school and district facilities.$4,428 x 20 </t>
    </r>
  </si>
  <si>
    <r>
      <t>McIntosh</t>
    </r>
    <r>
      <rPr>
        <sz val="12"/>
        <rFont val="Times New Roman"/>
        <family val="1"/>
      </rPr>
      <t xml:space="preserve">   Repairs and resurfacing to existing playground to minimize the risk of health hazards.  Durable and environmentally safe mulch to minimize safety risks.   Contracted services to include mulch, repairs and installation. = $ 19,500.00</t>
    </r>
    <r>
      <rPr>
        <b/>
        <sz val="12"/>
        <rFont val="Times New Roman"/>
        <family val="1"/>
      </rPr>
      <t xml:space="preserve"> </t>
    </r>
  </si>
  <si>
    <r>
      <rPr>
        <b/>
        <u/>
        <sz val="12"/>
        <rFont val="Times New Roman"/>
        <family val="1"/>
      </rPr>
      <t>Salaries</t>
    </r>
    <r>
      <rPr>
        <sz val="12"/>
        <rFont val="Times New Roman"/>
        <family val="1"/>
      </rPr>
      <t xml:space="preserve"> - The district will hire 1 Community Engagement Director position to coordinate family outreach activities with all MCPS schools, focusing on generating community support for all schools, as well as soliciting and working with community partners. The position will also streamline MCPS department focuses in creating community activities and events. Year 1 Salary = $99,885 + 3% = $102,882. Year 2 = $102,882 + 3% = $105,969.</t>
    </r>
  </si>
  <si>
    <r>
      <rPr>
        <b/>
        <u/>
        <sz val="12"/>
        <rFont val="Times New Roman"/>
        <family val="1"/>
      </rPr>
      <t>Retirement Benefits</t>
    </r>
    <r>
      <rPr>
        <sz val="12"/>
        <rFont val="Times New Roman"/>
        <family val="1"/>
      </rPr>
      <t xml:space="preserve"> - Retirement benefits of 1 Community Engagement Director.</t>
    </r>
  </si>
  <si>
    <r>
      <rPr>
        <b/>
        <u/>
        <sz val="12"/>
        <rFont val="Times New Roman"/>
        <family val="1"/>
      </rPr>
      <t>FICA Benefits</t>
    </r>
    <r>
      <rPr>
        <sz val="12"/>
        <rFont val="Times New Roman"/>
        <family val="1"/>
      </rPr>
      <t xml:space="preserve"> - FICA Benefits of 1 Community Engagement Director.</t>
    </r>
  </si>
  <si>
    <r>
      <rPr>
        <b/>
        <u/>
        <sz val="12"/>
        <rFont val="Times New Roman"/>
        <family val="1"/>
      </rPr>
      <t>Medicare Benefits</t>
    </r>
    <r>
      <rPr>
        <sz val="12"/>
        <rFont val="Times New Roman"/>
        <family val="1"/>
      </rPr>
      <t xml:space="preserve"> - (MCPS object code 233)  Medicare benefits of 1 Community Engagement Director.</t>
    </r>
  </si>
  <si>
    <r>
      <rPr>
        <b/>
        <u/>
        <sz val="12"/>
        <rFont val="Times New Roman"/>
        <family val="1"/>
      </rPr>
      <t>Health Benefits</t>
    </r>
    <r>
      <rPr>
        <sz val="12"/>
        <rFont val="Times New Roman"/>
        <family val="1"/>
      </rPr>
      <t xml:space="preserve"> - (MCPS object code 230) Health benefits of 1 Community Engagement Director.</t>
    </r>
  </si>
  <si>
    <r>
      <rPr>
        <b/>
        <u/>
        <sz val="12"/>
        <rFont val="Times New Roman"/>
        <family val="1"/>
      </rPr>
      <t>Life Benefits</t>
    </r>
    <r>
      <rPr>
        <sz val="12"/>
        <rFont val="Times New Roman"/>
        <family val="1"/>
      </rPr>
      <t xml:space="preserve"> -  (MCPS object code 231) Life benefits of 1 Community Engagement Director.</t>
    </r>
  </si>
  <si>
    <r>
      <rPr>
        <b/>
        <sz val="12"/>
        <rFont val="Times New Roman"/>
        <family val="1"/>
      </rPr>
      <t>Marion Charter</t>
    </r>
    <r>
      <rPr>
        <sz val="12"/>
        <rFont val="Times New Roman"/>
        <family val="1"/>
      </rPr>
      <t xml:space="preserve"> Aftercare Units Partial Salaries and supplies (18,235.00) . Purchase Laptops for Aftercare Students- 25 Student Notebooks x $748.00 ($18,700.00) Purchase Laptop Charging Lock Cart for Aftercare Students- 1 Charging Cart x $999.00</t>
    </r>
  </si>
  <si>
    <r>
      <rPr>
        <b/>
        <u/>
        <sz val="12"/>
        <rFont val="Times New Roman"/>
        <family val="1"/>
      </rPr>
      <t>Technology -Related Rentals-</t>
    </r>
    <r>
      <rPr>
        <sz val="12"/>
        <rFont val="Times New Roman"/>
        <family val="1"/>
      </rPr>
      <t xml:space="preserve"> Constant Connect </t>
    </r>
  </si>
  <si>
    <r>
      <rPr>
        <b/>
        <u/>
        <sz val="12"/>
        <rFont val="Times New Roman"/>
        <family val="1"/>
      </rPr>
      <t>Medicare Benefits</t>
    </r>
    <r>
      <rPr>
        <sz val="12"/>
        <rFont val="Times New Roman"/>
        <family val="1"/>
      </rPr>
      <t xml:space="preserve"> - (MCPS object code 233)  Medicare benefits of Teacher, Classroom Substitutes, Paraprofessionals</t>
    </r>
  </si>
  <si>
    <r>
      <rPr>
        <b/>
        <u/>
        <sz val="12"/>
        <rFont val="Times New Roman"/>
        <family val="1"/>
      </rPr>
      <t>Workers' Compensation Benefits</t>
    </r>
    <r>
      <rPr>
        <sz val="12"/>
        <rFont val="Times New Roman"/>
        <family val="1"/>
      </rPr>
      <t xml:space="preserve"> - (MCPS object code 232) Workers' Compensation benefits of Intervention Teacher, Classroom Substitutes, Paraprofessionals.  </t>
    </r>
  </si>
  <si>
    <r>
      <rPr>
        <b/>
        <u/>
        <sz val="12"/>
        <rFont val="Times New Roman"/>
        <family val="1"/>
      </rPr>
      <t>Medicare Benefits</t>
    </r>
    <r>
      <rPr>
        <sz val="12"/>
        <rFont val="Times New Roman"/>
        <family val="1"/>
      </rPr>
      <t xml:space="preserve"> ESE teachers  Behavior Specialist, paraprofessionals, Other Support Personnel</t>
    </r>
  </si>
  <si>
    <r>
      <rPr>
        <b/>
        <u/>
        <sz val="12"/>
        <rFont val="Times New Roman"/>
        <family val="1"/>
      </rPr>
      <t>Workman's Compensation Benefits</t>
    </r>
    <r>
      <rPr>
        <sz val="12"/>
        <rFont val="Times New Roman"/>
        <family val="1"/>
      </rPr>
      <t xml:space="preserve"> (District Code 232) ESE teachers, ESE Behavior Specialist, paraprofessionals, Other Support Personnel  </t>
    </r>
  </si>
  <si>
    <r>
      <rPr>
        <b/>
        <u/>
        <sz val="12"/>
        <rFont val="Times New Roman"/>
        <family val="1"/>
      </rPr>
      <t>Salaries</t>
    </r>
    <r>
      <rPr>
        <sz val="12"/>
        <rFont val="Times New Roman"/>
        <family val="1"/>
      </rPr>
      <t xml:space="preserve"> Hire 115 teachers to support K-5 grade, Art, Music and Physical Education to support evidence based full service schools for one year only. Salaries $ 7,555,560.00 + benefits $2,564,675.00 </t>
    </r>
  </si>
  <si>
    <r>
      <rPr>
        <b/>
        <u/>
        <sz val="12"/>
        <rFont val="Times New Roman"/>
        <family val="1"/>
      </rPr>
      <t>Salaries</t>
    </r>
    <r>
      <rPr>
        <sz val="12"/>
        <rFont val="Times New Roman"/>
        <family val="1"/>
      </rPr>
      <t xml:space="preserve"> Hire 147 paraprofessionals to support K-5 grade, Art, Music and Physical Education to support evidence based full service schools for one year only.  Salaries $2,876,665.00 + benefits $1,545,335.00 </t>
    </r>
  </si>
  <si>
    <r>
      <rPr>
        <b/>
        <u/>
        <sz val="12"/>
        <rFont val="Times New Roman"/>
        <family val="1"/>
      </rPr>
      <t xml:space="preserve">Retirement </t>
    </r>
    <r>
      <rPr>
        <sz val="12"/>
        <rFont val="Times New Roman"/>
        <family val="1"/>
      </rPr>
      <t>for teachers and paraprofessionals 11.41%</t>
    </r>
  </si>
  <si>
    <r>
      <rPr>
        <b/>
        <u/>
        <sz val="12"/>
        <rFont val="Times New Roman"/>
        <family val="1"/>
      </rPr>
      <t>FICA</t>
    </r>
    <r>
      <rPr>
        <sz val="12"/>
        <rFont val="Times New Roman"/>
        <family val="1"/>
      </rPr>
      <t xml:space="preserve"> for  teachers and paraprofessionals 6.20 %</t>
    </r>
  </si>
  <si>
    <r>
      <rPr>
        <b/>
        <u/>
        <sz val="12"/>
        <rFont val="Times New Roman"/>
        <family val="1"/>
      </rPr>
      <t>Medicare</t>
    </r>
    <r>
      <rPr>
        <sz val="12"/>
        <rFont val="Times New Roman"/>
        <family val="1"/>
      </rPr>
      <t xml:space="preserve">  for teachers and paraprofessionals1.45% MCPS 233</t>
    </r>
  </si>
  <si>
    <r>
      <rPr>
        <b/>
        <u/>
        <sz val="12"/>
        <rFont val="Times New Roman"/>
        <family val="1"/>
      </rPr>
      <t xml:space="preserve">Health </t>
    </r>
    <r>
      <rPr>
        <sz val="12"/>
        <rFont val="Times New Roman"/>
        <family val="1"/>
      </rPr>
      <t xml:space="preserve">for  teachers and paraprofessionals 17.09% </t>
    </r>
  </si>
  <si>
    <r>
      <rPr>
        <b/>
        <u/>
        <sz val="12"/>
        <rFont val="Times New Roman"/>
        <family val="1"/>
      </rPr>
      <t xml:space="preserve">Life </t>
    </r>
    <r>
      <rPr>
        <sz val="12"/>
        <rFont val="Times New Roman"/>
        <family val="1"/>
      </rPr>
      <t xml:space="preserve"> for teachers and paraprofessionalsr.22%</t>
    </r>
  </si>
  <si>
    <r>
      <rPr>
        <b/>
        <u/>
        <sz val="12"/>
        <rFont val="Times New Roman"/>
        <family val="1"/>
      </rPr>
      <t>Work Comp</t>
    </r>
    <r>
      <rPr>
        <sz val="12"/>
        <rFont val="Times New Roman"/>
        <family val="1"/>
      </rPr>
      <t xml:space="preserve"> for  teachers and paraprofessionals1.13%  MCPS 240</t>
    </r>
  </si>
  <si>
    <r>
      <rPr>
        <b/>
        <u/>
        <sz val="12"/>
        <rFont val="Times New Roman"/>
        <family val="1"/>
      </rPr>
      <t xml:space="preserve">Retirement </t>
    </r>
    <r>
      <rPr>
        <sz val="12"/>
        <rFont val="Times New Roman"/>
        <family val="1"/>
      </rPr>
      <t>for teachers 11.41%</t>
    </r>
  </si>
  <si>
    <r>
      <rPr>
        <b/>
        <u/>
        <sz val="12"/>
        <rFont val="Times New Roman"/>
        <family val="1"/>
      </rPr>
      <t>FICA</t>
    </r>
    <r>
      <rPr>
        <sz val="12"/>
        <rFont val="Times New Roman"/>
        <family val="1"/>
      </rPr>
      <t xml:space="preserve"> for  teachers 6.20 %</t>
    </r>
  </si>
  <si>
    <r>
      <rPr>
        <b/>
        <u/>
        <sz val="12"/>
        <rFont val="Times New Roman"/>
        <family val="1"/>
      </rPr>
      <t>Medicare</t>
    </r>
    <r>
      <rPr>
        <sz val="12"/>
        <rFont val="Times New Roman"/>
        <family val="1"/>
      </rPr>
      <t xml:space="preserve">  for teachers s1.45% MCPS 233</t>
    </r>
  </si>
  <si>
    <r>
      <rPr>
        <b/>
        <u/>
        <sz val="12"/>
        <rFont val="Times New Roman"/>
        <family val="1"/>
      </rPr>
      <t xml:space="preserve">Health </t>
    </r>
    <r>
      <rPr>
        <sz val="12"/>
        <rFont val="Times New Roman"/>
        <family val="1"/>
      </rPr>
      <t xml:space="preserve">for  teachers  17.09% </t>
    </r>
  </si>
  <si>
    <r>
      <rPr>
        <b/>
        <u/>
        <sz val="12"/>
        <rFont val="Times New Roman"/>
        <family val="1"/>
      </rPr>
      <t xml:space="preserve">Life </t>
    </r>
    <r>
      <rPr>
        <sz val="12"/>
        <rFont val="Times New Roman"/>
        <family val="1"/>
      </rPr>
      <t xml:space="preserve"> for teachers r.22%</t>
    </r>
  </si>
  <si>
    <r>
      <rPr>
        <b/>
        <u/>
        <sz val="12"/>
        <rFont val="Times New Roman"/>
        <family val="1"/>
      </rPr>
      <t>Work Comp</t>
    </r>
    <r>
      <rPr>
        <sz val="12"/>
        <rFont val="Times New Roman"/>
        <family val="1"/>
      </rPr>
      <t xml:space="preserve"> for  teachers1.13%  MCPS 240</t>
    </r>
  </si>
  <si>
    <r>
      <rPr>
        <b/>
        <u/>
        <sz val="12"/>
        <rFont val="Times New Roman"/>
        <family val="1"/>
      </rPr>
      <t xml:space="preserve">Retirement </t>
    </r>
    <r>
      <rPr>
        <sz val="12"/>
        <rFont val="Times New Roman"/>
        <family val="1"/>
      </rPr>
      <t>for media and program specialist and clerical staff 11.41%</t>
    </r>
  </si>
  <si>
    <r>
      <rPr>
        <b/>
        <u/>
        <sz val="12"/>
        <rFont val="Times New Roman"/>
        <family val="1"/>
      </rPr>
      <t>FICA</t>
    </r>
    <r>
      <rPr>
        <sz val="12"/>
        <rFont val="Times New Roman"/>
        <family val="1"/>
      </rPr>
      <t xml:space="preserve"> for media and program specialist and clerical staff  6.20 %</t>
    </r>
  </si>
  <si>
    <r>
      <rPr>
        <b/>
        <u/>
        <sz val="12"/>
        <rFont val="Times New Roman"/>
        <family val="1"/>
      </rPr>
      <t>Medicare</t>
    </r>
    <r>
      <rPr>
        <sz val="12"/>
        <rFont val="Times New Roman"/>
        <family val="1"/>
      </rPr>
      <t xml:space="preserve">  for  media and program specialist and clerical staff1.45% MCPS 233</t>
    </r>
  </si>
  <si>
    <r>
      <rPr>
        <b/>
        <u/>
        <sz val="12"/>
        <rFont val="Times New Roman"/>
        <family val="1"/>
      </rPr>
      <t xml:space="preserve">Health </t>
    </r>
    <r>
      <rPr>
        <sz val="12"/>
        <rFont val="Times New Roman"/>
        <family val="1"/>
      </rPr>
      <t xml:space="preserve">for  media and program specialist and clerical staff 17.09% </t>
    </r>
  </si>
  <si>
    <r>
      <rPr>
        <b/>
        <u/>
        <sz val="12"/>
        <rFont val="Times New Roman"/>
        <family val="1"/>
      </rPr>
      <t xml:space="preserve">Life </t>
    </r>
    <r>
      <rPr>
        <sz val="12"/>
        <rFont val="Times New Roman"/>
        <family val="1"/>
      </rPr>
      <t xml:space="preserve"> for media and program specialist and clerical staff.22%</t>
    </r>
  </si>
  <si>
    <r>
      <rPr>
        <b/>
        <u/>
        <sz val="12"/>
        <rFont val="Times New Roman"/>
        <family val="1"/>
      </rPr>
      <t>Work Comp</t>
    </r>
    <r>
      <rPr>
        <sz val="12"/>
        <rFont val="Times New Roman"/>
        <family val="1"/>
      </rPr>
      <t xml:space="preserve"> for media and  program specialist and clerical staff1.13%  MCPS 240</t>
    </r>
  </si>
  <si>
    <r>
      <rPr>
        <b/>
        <u/>
        <sz val="12"/>
        <rFont val="Times New Roman"/>
        <family val="1"/>
      </rPr>
      <t xml:space="preserve">Retirement </t>
    </r>
    <r>
      <rPr>
        <sz val="12"/>
        <rFont val="Times New Roman"/>
        <family val="1"/>
      </rPr>
      <t>for program specialist  11.41%</t>
    </r>
  </si>
  <si>
    <r>
      <rPr>
        <b/>
        <u/>
        <sz val="12"/>
        <rFont val="Times New Roman"/>
        <family val="1"/>
      </rPr>
      <t>FICA</t>
    </r>
    <r>
      <rPr>
        <sz val="12"/>
        <rFont val="Times New Roman"/>
        <family val="1"/>
      </rPr>
      <t xml:space="preserve"> for  program specialist  6.20 %</t>
    </r>
  </si>
  <si>
    <r>
      <rPr>
        <b/>
        <u/>
        <sz val="12"/>
        <rFont val="Times New Roman"/>
        <family val="1"/>
      </rPr>
      <t>Medicare</t>
    </r>
    <r>
      <rPr>
        <sz val="12"/>
        <rFont val="Times New Roman"/>
        <family val="1"/>
      </rPr>
      <t xml:space="preserve">  for  program specialist1.45% MCPS 233</t>
    </r>
  </si>
  <si>
    <r>
      <rPr>
        <b/>
        <u/>
        <sz val="12"/>
        <rFont val="Times New Roman"/>
        <family val="1"/>
      </rPr>
      <t xml:space="preserve">Health </t>
    </r>
    <r>
      <rPr>
        <sz val="12"/>
        <rFont val="Times New Roman"/>
        <family val="1"/>
      </rPr>
      <t xml:space="preserve">for  program specialist 17.09% </t>
    </r>
  </si>
  <si>
    <r>
      <rPr>
        <b/>
        <u/>
        <sz val="12"/>
        <rFont val="Times New Roman"/>
        <family val="1"/>
      </rPr>
      <t xml:space="preserve">Life </t>
    </r>
    <r>
      <rPr>
        <sz val="12"/>
        <rFont val="Times New Roman"/>
        <family val="1"/>
      </rPr>
      <t xml:space="preserve"> for program specialist staff.22%</t>
    </r>
  </si>
  <si>
    <r>
      <rPr>
        <b/>
        <u/>
        <sz val="12"/>
        <rFont val="Times New Roman"/>
        <family val="1"/>
      </rPr>
      <t>Work Comp</t>
    </r>
    <r>
      <rPr>
        <sz val="12"/>
        <rFont val="Times New Roman"/>
        <family val="1"/>
      </rPr>
      <t xml:space="preserve"> for  program specialist.13%  MCPS 240</t>
    </r>
  </si>
  <si>
    <t>750?</t>
  </si>
  <si>
    <r>
      <rPr>
        <b/>
        <u/>
        <sz val="12"/>
        <rFont val="Times New Roman"/>
        <family val="1"/>
      </rPr>
      <t>Technology Related Rentals</t>
    </r>
    <r>
      <rPr>
        <sz val="12"/>
        <rFont val="Times New Roman"/>
        <family val="1"/>
      </rPr>
      <t xml:space="preserve"> - StudySync student licenses for secondary students that have a deficit in comprehension and vocabulary.  $37,374 site licenses x 13 schools as needed.  1,190,609.00</t>
    </r>
  </si>
  <si>
    <r>
      <rPr>
        <b/>
        <u/>
        <sz val="12"/>
        <rFont val="Times New Roman"/>
        <family val="1"/>
      </rPr>
      <t>Salaries</t>
    </r>
    <r>
      <rPr>
        <sz val="12"/>
        <rFont val="Times New Roman"/>
        <family val="1"/>
      </rPr>
      <t xml:space="preserve">  Hire 14.5 Library Media Specialist and (1) Program Specialist to support reading plan associated with learning loss for one year.  Salaries  $ 814,576.00 </t>
    </r>
  </si>
  <si>
    <r>
      <rPr>
        <b/>
        <u/>
        <sz val="12"/>
        <rFont val="Times New Roman"/>
        <family val="1"/>
      </rPr>
      <t>Technology Related Noncapitalized fixtures and equipment</t>
    </r>
    <r>
      <rPr>
        <sz val="12"/>
        <rFont val="Times New Roman"/>
        <family val="1"/>
      </rPr>
      <t xml:space="preserve"> -  Purchase additional 2596 chrome books for online learning .</t>
    </r>
  </si>
  <si>
    <r>
      <rPr>
        <b/>
        <u/>
        <sz val="12"/>
        <rFont val="Times New Roman"/>
        <family val="1"/>
      </rPr>
      <t>Telephone and Other Data Communication</t>
    </r>
    <r>
      <rPr>
        <sz val="12"/>
        <rFont val="Times New Roman"/>
        <family val="1"/>
      </rPr>
      <t>s- Purchase hotspot service plan to support instructional connectivity.  Service for 500 devices ($35,000 per month x 12 months x 2 years).  500 devices x $100 each. Total = $890,000</t>
    </r>
  </si>
  <si>
    <r>
      <rPr>
        <b/>
        <u/>
        <sz val="12"/>
        <rFont val="Times New Roman"/>
        <family val="1"/>
      </rPr>
      <t>Technology-Related Rentals</t>
    </r>
    <r>
      <rPr>
        <b/>
        <sz val="12"/>
        <rFont val="Times New Roman"/>
        <family val="1"/>
      </rPr>
      <t xml:space="preserve"> -</t>
    </r>
    <r>
      <rPr>
        <sz val="12"/>
        <rFont val="Times New Roman"/>
        <family val="1"/>
      </rPr>
      <t xml:space="preserve"> Purchase Canvas - Learning Management System (LMS) to aid students in regular and substantive educational interactions.  Annual license is $248,000 x 2 years + $30,000 implementation costs = $526,000.  Cost of Dashboard is $258,000 per year for 2 years = $516,000. Total cost = $1,042,000.
Professional Learning Platform $1,000,000.00</t>
    </r>
  </si>
  <si>
    <t>4C</t>
  </si>
  <si>
    <t>1,2K</t>
  </si>
  <si>
    <r>
      <rPr>
        <b/>
        <u/>
        <sz val="12"/>
        <rFont val="Times New Roman"/>
        <family val="1"/>
      </rPr>
      <t>Other Materials and Supplies</t>
    </r>
    <r>
      <rPr>
        <sz val="12"/>
        <rFont val="Times New Roman"/>
        <family val="1"/>
      </rPr>
      <t xml:space="preserve"> - Provide supplies for Parent Partnership  by supporting parents with resources to best support students. $50,000 x 2 years = $100,000</t>
    </r>
  </si>
  <si>
    <r>
      <rPr>
        <b/>
        <u/>
        <sz val="12"/>
        <rFont val="Times New Roman"/>
        <family val="1"/>
      </rPr>
      <t>Workers' Compensation Benefits</t>
    </r>
    <r>
      <rPr>
        <sz val="12"/>
        <rFont val="Times New Roman"/>
        <family val="1"/>
      </rPr>
      <t xml:space="preserve"> - (MCPS object code 232) for Tutoring teachers and paras</t>
    </r>
  </si>
  <si>
    <t>Talent Development $60,000.00 Bonus program for employee referrals @ $200 per referral resulting in hiring and longevity of referred applicant. Expanding recruitment efforts to all employees in the district for targeting up to 150 positions annually toward closing diversity gaps and filling hard to staff positions. 150 referrals per year, $200 per fully met referral specifications @ $30,000 annually= $60,000 total. Bonuses for highly effective teachers at low-performing schools. 100 teachers x $5000= $500,000 x two years= $1,000,000.</t>
  </si>
  <si>
    <r>
      <t xml:space="preserve">Talent Development $60,000.00 Bonus program for employee referrals @ $200 per referral resulting in hiring and longevity of referred applicant. Expanding recruitment efforts to all employees in the district for targeting up to 150 positions annually toward closing diversity gaps and filling hard to staff positions. 150 referrals per year, $200 per fully met referral specifications @ $30,000 annually= $60,000 total. Bonuses for highly effective teachers at low-performing schools. </t>
    </r>
    <r>
      <rPr>
        <sz val="12"/>
        <color rgb="FF00B0F0"/>
        <rFont val="Times New Roman"/>
        <family val="1"/>
      </rPr>
      <t>100 teachers x $5000= $500,000 x two years= $1,000,000.</t>
    </r>
  </si>
  <si>
    <r>
      <rPr>
        <b/>
        <u/>
        <sz val="12"/>
        <rFont val="Times New Roman"/>
        <family val="1"/>
      </rPr>
      <t xml:space="preserve">Life </t>
    </r>
    <r>
      <rPr>
        <sz val="12"/>
        <rFont val="Times New Roman"/>
        <family val="1"/>
      </rPr>
      <t xml:space="preserve"> for teachers and paraprofessionals .22%</t>
    </r>
  </si>
  <si>
    <t>3C-6C</t>
  </si>
  <si>
    <r>
      <rPr>
        <b/>
        <u/>
        <sz val="12"/>
        <color rgb="FF00B0F0"/>
        <rFont val="Times New Roman"/>
        <family val="1"/>
      </rPr>
      <t>Salaries</t>
    </r>
    <r>
      <rPr>
        <sz val="12"/>
        <color rgb="FF00B0F0"/>
        <rFont val="Times New Roman"/>
        <family val="1"/>
      </rPr>
      <t xml:space="preserve"> Hire 12 International teachers participating in the TPG and EPI Cultural Exchange Program. Salaries $47,500 + benefits $17,686.00= $782,232 x two years = $1,564,464.00 </t>
    </r>
  </si>
  <si>
    <r>
      <rPr>
        <b/>
        <u/>
        <sz val="12"/>
        <color rgb="FF00B0F0"/>
        <rFont val="Times New Roman"/>
        <family val="1"/>
      </rPr>
      <t>Salaries</t>
    </r>
    <r>
      <rPr>
        <sz val="12"/>
        <color rgb="FF00B0F0"/>
        <rFont val="Times New Roman"/>
        <family val="1"/>
      </rPr>
      <t xml:space="preserve"> Hire 17 Substitutes to support teacher retention. Salaries $894,903.00 + benefits $298,320.00 = $1,193,222 </t>
    </r>
  </si>
  <si>
    <r>
      <rPr>
        <b/>
        <u/>
        <sz val="12"/>
        <color rgb="FF00B0F0"/>
        <rFont val="Times New Roman"/>
        <family val="1"/>
      </rPr>
      <t xml:space="preserve">Travel </t>
    </r>
    <r>
      <rPr>
        <sz val="12"/>
        <color rgb="FF00B0F0"/>
        <rFont val="Times New Roman"/>
        <family val="1"/>
      </rPr>
      <t>for Per diem payments for TPG and EPI Cultural Exchange teachers x $6500 x 10 months = $780,000</t>
    </r>
  </si>
  <si>
    <r>
      <rPr>
        <b/>
        <u/>
        <sz val="12"/>
        <color rgb="FF00B0F0"/>
        <rFont val="Times New Roman"/>
        <family val="1"/>
      </rPr>
      <t>Indirect Cost</t>
    </r>
    <r>
      <rPr>
        <sz val="12"/>
        <color rgb="FF00B0F0"/>
        <rFont val="Times New Roman"/>
        <family val="1"/>
      </rPr>
      <t xml:space="preserve"> - Based on 4.20%</t>
    </r>
  </si>
  <si>
    <t>Retirement</t>
  </si>
  <si>
    <t>FICA</t>
  </si>
  <si>
    <t>Health</t>
  </si>
  <si>
    <t>Work Comp</t>
  </si>
  <si>
    <t>Medicare</t>
  </si>
  <si>
    <t>Life</t>
  </si>
  <si>
    <t>Professional and Technical Services - Contracted services to alternative schools to provide tutoring services to address the learning gaps. Five (5) sites @ $ 4,000.00 each to provide tutoring, purchased evidenced based curriculum for SY 2021-2022 and 2022 -2023.</t>
  </si>
  <si>
    <t>Technology Related Materials- Summer and school year tutoring software licenses to support supplemental instruction.</t>
  </si>
  <si>
    <t>Supplies - Summer and school year tutoring supplies (pencils, pens, paper, glue, etc.)</t>
  </si>
  <si>
    <t>Notes</t>
  </si>
  <si>
    <t>Totals</t>
  </si>
  <si>
    <t>needs narrative</t>
  </si>
  <si>
    <t xml:space="preserve">mileage is .56 per mile </t>
  </si>
  <si>
    <t>all services are 2 years?</t>
  </si>
  <si>
    <t xml:space="preserve">add 3 % to year 2 </t>
  </si>
  <si>
    <t>who are the benefits for?</t>
  </si>
  <si>
    <t>4C-5C</t>
  </si>
  <si>
    <r>
      <rPr>
        <b/>
        <sz val="12"/>
        <rFont val="Times New Roman"/>
        <family val="1"/>
      </rPr>
      <t xml:space="preserve">Salaries </t>
    </r>
    <r>
      <rPr>
        <sz val="12"/>
        <rFont val="Times New Roman"/>
        <family val="1"/>
      </rPr>
      <t>- Paraprofessional Staff (1000) Professional Development (Optional 5 Days, July 26-29, 2021).  1000 paraprofessionals x $15 /hr. x 5 days x 6 hours per day = $450,000.</t>
    </r>
  </si>
  <si>
    <t>McIntosh Activity 1.   Provide transportation for based on the student’s need.  Transportation will  promote and facilitate daily attendance and provide opportunities for afterschool and summer enrichment. $ 16,785.00 for a total  3 years.</t>
  </si>
  <si>
    <t>the 16785 is the total for 3 years? Yes</t>
  </si>
  <si>
    <t>Supplies - Personal Protection Equipment (PPE) will be purchased for use by students and staff to reduce the risks related to the coronavirus for transportation</t>
  </si>
  <si>
    <t>How much per device? $272.00</t>
  </si>
  <si>
    <r>
      <rPr>
        <b/>
        <u/>
        <sz val="12"/>
        <rFont val="Times New Roman"/>
        <family val="1"/>
      </rPr>
      <t>FICA Benefits</t>
    </r>
    <r>
      <rPr>
        <sz val="12"/>
        <rFont val="Times New Roman"/>
        <family val="1"/>
      </rPr>
      <t xml:space="preserve"> - FICA Benefits of 7 Paraprofessionals </t>
    </r>
  </si>
  <si>
    <r>
      <rPr>
        <b/>
        <u/>
        <sz val="12"/>
        <rFont val="Times New Roman"/>
        <family val="1"/>
      </rPr>
      <t>Life Benefits</t>
    </r>
    <r>
      <rPr>
        <sz val="12"/>
        <rFont val="Times New Roman"/>
        <family val="1"/>
      </rPr>
      <t xml:space="preserve"> -  (MCPS object code 231) Life benefits of 7 Paraprofessionals </t>
    </r>
  </si>
  <si>
    <r>
      <t>Ocali Charter-</t>
    </r>
    <r>
      <rPr>
        <sz val="12"/>
        <rFont val="Times New Roman"/>
        <family val="1"/>
      </rPr>
      <t xml:space="preserve">Purchase evidenced-based school and afterschool curriculum (online and text) specific to low-income students, children with disabilities, English learners, migrant students, students experiencing homelessness, and children in foster care for a continuous process $ 26,414.00-Year 1 and $ 24,778.31 Year 2= 51,212.00 Computers for after school use @ 500/each x 25  = $12,500.00 and 1Computer Cart for after school use @ 999 each </t>
    </r>
    <r>
      <rPr>
        <b/>
        <sz val="12"/>
        <rFont val="Times New Roman"/>
        <family val="1"/>
      </rPr>
      <t xml:space="preserve"> </t>
    </r>
  </si>
  <si>
    <r>
      <rPr>
        <b/>
        <u/>
        <sz val="12"/>
        <rFont val="Times New Roman"/>
        <family val="1"/>
      </rPr>
      <t>Technology-Related Noncapilatized Fixture and Equipment</t>
    </r>
    <r>
      <rPr>
        <sz val="12"/>
        <rFont val="Times New Roman"/>
        <family val="1"/>
      </rPr>
      <t xml:space="preserve"> -Document cameras for instruction to support interactive flat panels (IFP) 1,857 hovercams x 321.00 = $596,097.  Purchase brack boxed for specialized classrooms. $582.70 x 500 = $291,350.00</t>
    </r>
  </si>
  <si>
    <t>Federal Programs</t>
  </si>
  <si>
    <r>
      <rPr>
        <b/>
        <u/>
        <sz val="12"/>
        <rFont val="Times New Roman"/>
        <family val="1"/>
      </rPr>
      <t>Supplies</t>
    </r>
    <r>
      <rPr>
        <sz val="12"/>
        <rFont val="Times New Roman"/>
        <family val="1"/>
      </rPr>
      <t xml:space="preserve"> - Personal Protection Equipment (PPE) will be purchased for use by students and staff to reduce the risks related to the coronavirus for exceptional students.  $50,000.00</t>
    </r>
  </si>
  <si>
    <r>
      <rPr>
        <b/>
        <u/>
        <sz val="12"/>
        <rFont val="Times New Roman"/>
        <family val="1"/>
      </rPr>
      <t>CTE - FICA</t>
    </r>
    <r>
      <rPr>
        <sz val="12"/>
        <rFont val="Times New Roman"/>
        <family val="1"/>
      </rPr>
      <t xml:space="preserve"> for  teachers 6.20 %</t>
    </r>
  </si>
  <si>
    <r>
      <rPr>
        <b/>
        <u/>
        <sz val="12"/>
        <rFont val="Times New Roman"/>
        <family val="1"/>
      </rPr>
      <t xml:space="preserve">CTE - Retirement </t>
    </r>
    <r>
      <rPr>
        <sz val="12"/>
        <rFont val="Times New Roman"/>
        <family val="1"/>
      </rPr>
      <t>for teachers 11.41%</t>
    </r>
  </si>
  <si>
    <r>
      <rPr>
        <b/>
        <sz val="12"/>
        <rFont val="Times New Roman"/>
        <family val="1"/>
      </rPr>
      <t>CTE - Other Support Personnel:</t>
    </r>
    <r>
      <rPr>
        <sz val="12"/>
        <rFont val="Times New Roman"/>
        <family val="1"/>
      </rPr>
      <t xml:space="preserve"> Bonus Amount</t>
    </r>
  </si>
  <si>
    <r>
      <rPr>
        <b/>
        <sz val="12"/>
        <rFont val="Times New Roman"/>
        <family val="1"/>
      </rPr>
      <t>CTE - Teacher:</t>
    </r>
    <r>
      <rPr>
        <sz val="12"/>
        <rFont val="Times New Roman"/>
        <family val="1"/>
      </rPr>
      <t xml:space="preserve"> Bonus Amount</t>
    </r>
  </si>
  <si>
    <r>
      <rPr>
        <b/>
        <u/>
        <sz val="12"/>
        <rFont val="Times New Roman"/>
        <family val="1"/>
      </rPr>
      <t>CTE - FICA</t>
    </r>
    <r>
      <rPr>
        <sz val="12"/>
        <rFont val="Times New Roman"/>
        <family val="1"/>
      </rPr>
      <t xml:space="preserve"> (District Code 220); Medicare (District Code 233)</t>
    </r>
  </si>
  <si>
    <r>
      <rPr>
        <b/>
        <u/>
        <sz val="12"/>
        <rFont val="Times New Roman"/>
        <family val="1"/>
      </rPr>
      <t>CTE - Medicare</t>
    </r>
    <r>
      <rPr>
        <sz val="12"/>
        <rFont val="Times New Roman"/>
        <family val="1"/>
      </rPr>
      <t xml:space="preserve">  for teachers s1.45% MCPS 233</t>
    </r>
  </si>
  <si>
    <r>
      <rPr>
        <b/>
        <u/>
        <sz val="12"/>
        <rFont val="Times New Roman"/>
        <family val="1"/>
      </rPr>
      <t xml:space="preserve">CTE - Health </t>
    </r>
    <r>
      <rPr>
        <sz val="12"/>
        <rFont val="Times New Roman"/>
        <family val="1"/>
      </rPr>
      <t xml:space="preserve">for  teachers  17.09% </t>
    </r>
  </si>
  <si>
    <r>
      <rPr>
        <b/>
        <u/>
        <sz val="12"/>
        <rFont val="Times New Roman"/>
        <family val="1"/>
      </rPr>
      <t>CTE - Work Comp</t>
    </r>
    <r>
      <rPr>
        <sz val="12"/>
        <rFont val="Times New Roman"/>
        <family val="1"/>
      </rPr>
      <t xml:space="preserve"> for  teachers 1.13%  MCPS 240</t>
    </r>
  </si>
  <si>
    <r>
      <rPr>
        <b/>
        <u/>
        <sz val="12"/>
        <rFont val="Times New Roman"/>
        <family val="1"/>
      </rPr>
      <t xml:space="preserve">CTE - Life </t>
    </r>
    <r>
      <rPr>
        <sz val="12"/>
        <rFont val="Times New Roman"/>
        <family val="1"/>
      </rPr>
      <t xml:space="preserve"> for teachers .22%</t>
    </r>
  </si>
  <si>
    <r>
      <rPr>
        <b/>
        <sz val="12"/>
        <rFont val="Times New Roman"/>
        <family val="1"/>
      </rPr>
      <t>CTE - Workers Comp</t>
    </r>
    <r>
      <rPr>
        <sz val="12"/>
        <rFont val="Times New Roman"/>
        <family val="1"/>
      </rPr>
      <t xml:space="preserve"> (District Code 232)</t>
    </r>
  </si>
  <si>
    <r>
      <rPr>
        <b/>
        <u/>
        <sz val="12"/>
        <rFont val="Times New Roman"/>
        <family val="1"/>
      </rPr>
      <t>Retirement Benefits</t>
    </r>
    <r>
      <rPr>
        <sz val="12"/>
        <rFont val="Times New Roman"/>
        <family val="1"/>
      </rPr>
      <t xml:space="preserve"> - Retirement benefits of 48 Home-School Liaisons </t>
    </r>
  </si>
  <si>
    <t xml:space="preserve">FICA Benefits - FICA Benefits of 48 Home-School Liaisons </t>
  </si>
  <si>
    <r>
      <rPr>
        <b/>
        <u/>
        <sz val="12"/>
        <rFont val="Times New Roman"/>
        <family val="1"/>
      </rPr>
      <t>Medicare Benefits</t>
    </r>
    <r>
      <rPr>
        <sz val="12"/>
        <rFont val="Times New Roman"/>
        <family val="1"/>
      </rPr>
      <t xml:space="preserve"> - (MCPS object code 233)  Medicare benefits of 48 Home-School Liaisons </t>
    </r>
  </si>
  <si>
    <r>
      <rPr>
        <b/>
        <u/>
        <sz val="12"/>
        <rFont val="Times New Roman"/>
        <family val="1"/>
      </rPr>
      <t>Health Benefits</t>
    </r>
    <r>
      <rPr>
        <sz val="12"/>
        <rFont val="Times New Roman"/>
        <family val="1"/>
      </rPr>
      <t xml:space="preserve"> - (MCPS object code 230) Health benefits of 48 Home-School Liaisons</t>
    </r>
  </si>
  <si>
    <r>
      <rPr>
        <b/>
        <u/>
        <sz val="12"/>
        <rFont val="Times New Roman"/>
        <family val="1"/>
      </rPr>
      <t>Life Benefits</t>
    </r>
    <r>
      <rPr>
        <sz val="12"/>
        <rFont val="Times New Roman"/>
        <family val="1"/>
      </rPr>
      <t xml:space="preserve"> -  (MCPS object code 231) Life benefits of 48 Home-School Liaisons </t>
    </r>
  </si>
  <si>
    <r>
      <rPr>
        <b/>
        <u/>
        <sz val="12"/>
        <rFont val="Times New Roman"/>
        <family val="1"/>
      </rPr>
      <t>Workers' Compensation Benefits</t>
    </r>
    <r>
      <rPr>
        <sz val="12"/>
        <rFont val="Times New Roman"/>
        <family val="1"/>
      </rPr>
      <t xml:space="preserve"> - (MCPS object code 232) Workers' Compensation benefits of 48 Home-School Liaisons </t>
    </r>
  </si>
  <si>
    <r>
      <rPr>
        <b/>
        <u/>
        <sz val="12"/>
        <rFont val="Times New Roman"/>
        <family val="1"/>
      </rPr>
      <t>Instructional Staff Training Services</t>
    </r>
    <r>
      <rPr>
        <sz val="12"/>
        <rFont val="Times New Roman"/>
        <family val="1"/>
      </rPr>
      <t xml:space="preserve"> - Provide NCEE Training for School Principals to enhance leadership.    40 principals x $10,000 each x 2 years = $ 800,000.00. $100,000.00. University of Florida will provide professional development on classroom coaching  </t>
    </r>
  </si>
  <si>
    <r>
      <rPr>
        <b/>
        <u/>
        <sz val="12"/>
        <rFont val="Times New Roman"/>
        <family val="1"/>
      </rPr>
      <t xml:space="preserve">Dues and Fees </t>
    </r>
    <r>
      <rPr>
        <sz val="12"/>
        <rFont val="Times New Roman"/>
        <family val="1"/>
      </rPr>
      <t xml:space="preserve">-Recruitment Fairs and Events Registration-  Recruiting fairs and event registration and participation (up to $750 per event) up to 2-3 fairs/events per year for 2 years = $4,500 </t>
    </r>
  </si>
  <si>
    <r>
      <rPr>
        <b/>
        <u/>
        <sz val="12"/>
        <rFont val="Times New Roman"/>
        <family val="1"/>
      </rPr>
      <t>Salaries</t>
    </r>
    <r>
      <rPr>
        <sz val="12"/>
        <rFont val="Times New Roman"/>
        <family val="1"/>
      </rPr>
      <t xml:space="preserve"> -Thirteen (13) school bus drivers @ $19.85/hr. x 6 hrs./day x 196 days = $303,467.00. Year 2 - Thirteen (13) school bus drivers @ $20.45/hr. x 6 hrs./day x 196 days = $312,640.00 </t>
    </r>
  </si>
  <si>
    <r>
      <rPr>
        <b/>
        <u/>
        <sz val="12"/>
        <rFont val="Times New Roman"/>
        <family val="1"/>
      </rPr>
      <t>Salaries</t>
    </r>
    <r>
      <rPr>
        <sz val="12"/>
        <rFont val="Times New Roman"/>
        <family val="1"/>
      </rPr>
      <t xml:space="preserve">  - Thirteen (13) bus aides @ $14.85/hr. x 6 hrs./day x 196 days = $227,027. Year 2 - Thirteen (13) bus aides @ $15.30/hr. x 6 hrs./day x 196 days = $233,906</t>
    </r>
  </si>
  <si>
    <r>
      <rPr>
        <b/>
        <u/>
        <sz val="12"/>
        <rFont val="Times New Roman"/>
        <family val="1"/>
      </rPr>
      <t>Student Transportation Services</t>
    </r>
    <r>
      <rPr>
        <sz val="12"/>
        <rFont val="Times New Roman"/>
        <family val="1"/>
      </rPr>
      <t xml:space="preserve"> - Other Support Personnel: Bonus Amount</t>
    </r>
  </si>
  <si>
    <t>Retirement Benefits for Thirteen (13) bus aides</t>
  </si>
  <si>
    <t>Medicare Benefits for Thirteen (13) bus aides</t>
  </si>
  <si>
    <t>FICA Benefits for Thirteen (13) bus aides</t>
  </si>
  <si>
    <t>Health Benefits for Thirteen (13) bus aides</t>
  </si>
  <si>
    <t>Life Benefits for Thirteen (13) bus aides</t>
  </si>
  <si>
    <t>Workers' Compensation Benefits for Thirteen (13) bus aides</t>
  </si>
  <si>
    <t>Retirement Benefits for Thirteen (13) bus drivers</t>
  </si>
  <si>
    <t>FICA Benefits for Thirteen (13) bus drivers</t>
  </si>
  <si>
    <t>Health Benefits for Thirteen (13) bus drivers</t>
  </si>
  <si>
    <t>Life Benefits for Thirteen (13) bus drivers</t>
  </si>
  <si>
    <t>Workers' Compensation Benefits for Thirteen (13) bus drivers</t>
  </si>
  <si>
    <t>Medicare Benefits for Thirteen (13) bus drivers</t>
  </si>
  <si>
    <r>
      <rPr>
        <b/>
        <u/>
        <sz val="12"/>
        <rFont val="Times New Roman"/>
        <family val="1"/>
      </rPr>
      <t>Remodeling and Renovations</t>
    </r>
    <r>
      <rPr>
        <sz val="12"/>
        <rFont val="Times New Roman"/>
        <family val="1"/>
      </rPr>
      <t xml:space="preserve"> - Purchase air purifiers to improve indoor air quality.  Unit cost 170 UV-C Core System (+installation) x $2,916 per unit total = $495,720.00.  Qty = 797 iWave Air Purifier (+ installation) $632.72 per unit. Total = $504,277.84  Total cost = Approximately $1,000,000.</t>
    </r>
  </si>
  <si>
    <r>
      <rPr>
        <b/>
        <u/>
        <sz val="12"/>
        <rFont val="Times New Roman"/>
        <family val="1"/>
      </rPr>
      <t>Medicare Benefits</t>
    </r>
    <r>
      <rPr>
        <sz val="12"/>
        <rFont val="Times New Roman"/>
        <family val="1"/>
      </rPr>
      <t xml:space="preserve"> - (MCPS object code 233)  Medicare benefits PLC</t>
    </r>
  </si>
  <si>
    <t xml:space="preserve">Educational technology infrastructure update to support the learning management system, digital dashboard and classroom educational technology.  </t>
  </si>
  <si>
    <r>
      <rPr>
        <b/>
        <sz val="12"/>
        <rFont val="Times New Roman"/>
        <family val="1"/>
      </rPr>
      <t>Other Materials and Supplies</t>
    </r>
    <r>
      <rPr>
        <sz val="12"/>
        <rFont val="Times New Roman"/>
        <family val="1"/>
      </rPr>
      <t xml:space="preserve"> - Secondary math interventions kits</t>
    </r>
  </si>
  <si>
    <r>
      <t xml:space="preserve">Supplies- </t>
    </r>
    <r>
      <rPr>
        <sz val="12"/>
        <rFont val="Times New Roman"/>
        <family val="1"/>
      </rPr>
      <t xml:space="preserve">nonconsumable supplies to support ESE tutoring programs to address learning loss </t>
    </r>
  </si>
  <si>
    <r>
      <t>Technology Related Rentals -</t>
    </r>
    <r>
      <rPr>
        <b/>
        <sz val="12"/>
        <rFont val="Times New Roman"/>
        <family val="1"/>
      </rPr>
      <t xml:space="preserve"> </t>
    </r>
    <r>
      <rPr>
        <sz val="12"/>
        <rFont val="Times New Roman"/>
        <family val="1"/>
      </rPr>
      <t>subscriptins to support ESE tutoring programs to address learning loss</t>
    </r>
  </si>
  <si>
    <r>
      <t>Other Materials and Supplies</t>
    </r>
    <r>
      <rPr>
        <sz val="12"/>
        <rFont val="Times New Roman"/>
        <family val="1"/>
      </rPr>
      <t xml:space="preserve"> - consumable to support ESE tutoring programs to address learning loss</t>
    </r>
  </si>
  <si>
    <r>
      <rPr>
        <b/>
        <u/>
        <sz val="12"/>
        <rFont val="Times New Roman"/>
        <family val="1"/>
      </rPr>
      <t>Technology Related Subscriptions</t>
    </r>
    <r>
      <rPr>
        <sz val="12"/>
        <rFont val="Times New Roman"/>
        <family val="1"/>
      </rPr>
      <t xml:space="preserve"> - CTE Online curriculum to address learning loss for CTE students in clustered programs</t>
    </r>
  </si>
  <si>
    <r>
      <rPr>
        <b/>
        <u/>
        <sz val="12"/>
        <rFont val="Times New Roman"/>
        <family val="1"/>
      </rPr>
      <t>Noncapitalized Computer Hardware -</t>
    </r>
    <r>
      <rPr>
        <sz val="12"/>
        <rFont val="Times New Roman"/>
        <family val="1"/>
      </rPr>
      <t xml:space="preserve"> Mobile recruitment Chromebook stations for school lobbies (visitors can apply on-site), job fairs and related recruiting events and opportunities, 55 total @ $272 (50 for school lobbies, 5 for recruiting events/fairs). School lobby stations also for parent/guardian access to view/sign-up for Family Access accounts to check child grades, attendance... </t>
    </r>
  </si>
  <si>
    <r>
      <t xml:space="preserve">Other Materials and Supplies </t>
    </r>
    <r>
      <rPr>
        <sz val="12"/>
        <rFont val="Times New Roman"/>
        <family val="1"/>
      </rPr>
      <t>Recruiting school and department kits. (Non-consumable, stands, framing, onboarding)= $6,000 total</t>
    </r>
  </si>
  <si>
    <r>
      <rPr>
        <b/>
        <u/>
        <sz val="12"/>
        <rFont val="Times New Roman"/>
        <family val="1"/>
      </rPr>
      <t>Salaries</t>
    </r>
    <r>
      <rPr>
        <sz val="12"/>
        <rFont val="Times New Roman"/>
        <family val="1"/>
      </rPr>
      <t xml:space="preserve"> - MCPS presenters at Parent Partnership Events 10 presenters x 6 hours x 5 x $25.00  events.$15,000.00 </t>
    </r>
  </si>
  <si>
    <r>
      <rPr>
        <b/>
        <u/>
        <sz val="12"/>
        <rFont val="Times New Roman"/>
        <family val="1"/>
      </rPr>
      <t>Retirement Benefits</t>
    </r>
    <r>
      <rPr>
        <sz val="12"/>
        <rFont val="Times New Roman"/>
        <family val="1"/>
      </rPr>
      <t xml:space="preserve"> - Retirement benefits of MCPS Presenters</t>
    </r>
  </si>
  <si>
    <t>FICA Benefits - FICA Benefits of MCPS Presenters</t>
  </si>
  <si>
    <r>
      <rPr>
        <b/>
        <u/>
        <sz val="12"/>
        <rFont val="Times New Roman"/>
        <family val="1"/>
      </rPr>
      <t>Workers' Compensation Benefits</t>
    </r>
    <r>
      <rPr>
        <sz val="12"/>
        <rFont val="Times New Roman"/>
        <family val="1"/>
      </rPr>
      <t xml:space="preserve"> - (MCPS object code 232) Workers' Compensation benefits of MCPS Presenters</t>
    </r>
  </si>
  <si>
    <r>
      <rPr>
        <b/>
        <u/>
        <sz val="12"/>
        <rFont val="Times New Roman"/>
        <family val="1"/>
      </rPr>
      <t>Medicare Benefits</t>
    </r>
    <r>
      <rPr>
        <sz val="12"/>
        <rFont val="Times New Roman"/>
        <family val="1"/>
      </rPr>
      <t xml:space="preserve"> - (MCPS object code 233)  Medicare benefits of MCPS Presenters</t>
    </r>
  </si>
  <si>
    <t xml:space="preserve">Salaries - Instructional Staff (1500) Professional Development (PD Offerings x 36 weeks) Paid at $25.00/hr. x 1 hr. x 1,500 teachers x 36 weeks of trainings x 2 years = $2,700,000.  Instructional Staff (105) SEL / Behavior Support Training stipends at $25.00/hr. x 6 hrs. of training x 105 participants for SEL and behavior support training x 2 years = $31,500.00.  Instructional Staff (1500) Professional Development (Optional 4 Days, July 26-29, 2021).  1500 teachers x $25 /hr. x 5 days x 6 hours per day = $1,125,000. </t>
  </si>
  <si>
    <r>
      <t>Technology Related Rentals</t>
    </r>
    <r>
      <rPr>
        <sz val="12"/>
        <rFont val="Times New Roman"/>
        <family val="1"/>
      </rPr>
      <t xml:space="preserve"> Promotion- Social Media promotion, boost social media presence to support recruitment through TikTok, Twitter, vendor connections. $5000 per year= $10,000.Annual @ $2,000 for LinkedIn, Indeed and related subscriptions per year= $4,000 total. Geocaching mobile campaign (two per year @ $6,000 each, $12,000 each year)= $24,000 total. Technology services to increase social media presence for closing diversity gaps and hard to fill positions using common platforms $3,000 per year= $6,000 total</t>
    </r>
  </si>
  <si>
    <r>
      <rPr>
        <b/>
        <u/>
        <sz val="12"/>
        <rFont val="Times New Roman"/>
        <family val="1"/>
      </rPr>
      <t>Other Materials and Supplie</t>
    </r>
    <r>
      <rPr>
        <sz val="12"/>
        <rFont val="Times New Roman"/>
        <family val="1"/>
      </rPr>
      <t>s - water filters for water filling stations @ 60.0026 each x 3  x 1184= $213,130.00 x 2 years</t>
    </r>
  </si>
  <si>
    <r>
      <rPr>
        <b/>
        <u/>
        <sz val="12"/>
        <rFont val="Times New Roman"/>
        <family val="1"/>
      </rPr>
      <t>Salaries</t>
    </r>
    <r>
      <rPr>
        <sz val="12"/>
        <rFont val="Times New Roman"/>
        <family val="1"/>
      </rPr>
      <t xml:space="preserve"> Hire 12 International teachers participating in the TPG and EPI Cultural Exchange Program. Salaries $47,500 = $570,000 x two years = $1,140,000.00 </t>
    </r>
  </si>
  <si>
    <r>
      <rPr>
        <b/>
        <u/>
        <sz val="12"/>
        <rFont val="Times New Roman"/>
        <family val="1"/>
      </rPr>
      <t>Retirement Benefits</t>
    </r>
    <r>
      <rPr>
        <sz val="12"/>
        <rFont val="Times New Roman"/>
        <family val="1"/>
      </rPr>
      <t xml:space="preserve"> - Retirement benefits of International Teachers</t>
    </r>
  </si>
  <si>
    <r>
      <rPr>
        <b/>
        <u/>
        <sz val="12"/>
        <rFont val="Times New Roman"/>
        <family val="1"/>
      </rPr>
      <t xml:space="preserve">FICA Benefits </t>
    </r>
    <r>
      <rPr>
        <sz val="12"/>
        <rFont val="Times New Roman"/>
        <family val="1"/>
      </rPr>
      <t>- FICA Benefits of International Teachers</t>
    </r>
  </si>
  <si>
    <r>
      <rPr>
        <b/>
        <u/>
        <sz val="12"/>
        <rFont val="Times New Roman"/>
        <family val="1"/>
      </rPr>
      <t>Medicare Benefits</t>
    </r>
    <r>
      <rPr>
        <sz val="12"/>
        <rFont val="Times New Roman"/>
        <family val="1"/>
      </rPr>
      <t xml:space="preserve"> - (MCPS object code 233)  Medicare benefits of International Teachers</t>
    </r>
  </si>
  <si>
    <r>
      <rPr>
        <b/>
        <u/>
        <sz val="12"/>
        <rFont val="Times New Roman"/>
        <family val="1"/>
      </rPr>
      <t>Health Benefits</t>
    </r>
    <r>
      <rPr>
        <sz val="12"/>
        <rFont val="Times New Roman"/>
        <family val="1"/>
      </rPr>
      <t xml:space="preserve"> - (MCPS object code 230) Health benefits of International Teachers</t>
    </r>
  </si>
  <si>
    <r>
      <rPr>
        <b/>
        <u/>
        <sz val="12"/>
        <rFont val="Times New Roman"/>
        <family val="1"/>
      </rPr>
      <t>Life Benefits</t>
    </r>
    <r>
      <rPr>
        <sz val="12"/>
        <rFont val="Times New Roman"/>
        <family val="1"/>
      </rPr>
      <t xml:space="preserve"> -  (MCPS object code 231) Life benefits of International Teachers</t>
    </r>
  </si>
  <si>
    <r>
      <rPr>
        <b/>
        <u/>
        <sz val="12"/>
        <rFont val="Times New Roman"/>
        <family val="1"/>
      </rPr>
      <t>Workers' Compensation Benefits</t>
    </r>
    <r>
      <rPr>
        <sz val="12"/>
        <rFont val="Times New Roman"/>
        <family val="1"/>
      </rPr>
      <t xml:space="preserve"> - (MCPS object code 232) Workers' Compensation benefits of International Teachers</t>
    </r>
  </si>
  <si>
    <r>
      <rPr>
        <b/>
        <u/>
        <sz val="12"/>
        <rFont val="Times New Roman"/>
        <family val="1"/>
      </rPr>
      <t>Salaries</t>
    </r>
    <r>
      <rPr>
        <sz val="12"/>
        <rFont val="Times New Roman"/>
        <family val="1"/>
      </rPr>
      <t xml:space="preserve"> Hire 17 Temporary Instructional staff  to support teacher retention at  $52,641.35 =$894,903.00 + benefits $298,320.00 = $1,193,222 </t>
    </r>
  </si>
  <si>
    <r>
      <rPr>
        <b/>
        <u/>
        <sz val="12"/>
        <rFont val="Times New Roman"/>
        <family val="1"/>
      </rPr>
      <t xml:space="preserve">Travel </t>
    </r>
    <r>
      <rPr>
        <sz val="12"/>
        <rFont val="Times New Roman"/>
        <family val="1"/>
      </rPr>
      <t>for Per diem payments for 12 TPG and EPI Cultural Exchange teachers x $6500 x 10 months = $780,000</t>
    </r>
  </si>
  <si>
    <r>
      <rPr>
        <b/>
        <sz val="12"/>
        <rFont val="Times New Roman"/>
        <family val="1"/>
      </rPr>
      <t>Technology Related Rentals</t>
    </r>
    <r>
      <rPr>
        <sz val="12"/>
        <rFont val="Times New Roman"/>
        <family val="1"/>
      </rPr>
      <t xml:space="preserve"> - Purchase classroom licenses for Elementary K-5 50 classrooms x 30 schools x $150.00  per classroom for licenses. Year 1. Elementary K-5 50 classrooms x 30 schools x $150.00  per classroom for licenses. Year 2. </t>
    </r>
  </si>
  <si>
    <r>
      <rPr>
        <b/>
        <u/>
        <sz val="12"/>
        <rFont val="Times New Roman"/>
        <family val="1"/>
      </rPr>
      <t>Technology Related Rentals</t>
    </r>
    <r>
      <rPr>
        <sz val="12"/>
        <rFont val="Times New Roman"/>
        <family val="1"/>
      </rPr>
      <t xml:space="preserve"> - StudySync student licenses for secondary students that have a deficit in comprehension and vocabulary.  $36,662.23 site licenses x 13 schools as needed = $476,609.00.  K-12 Online Programs $500,000 for two years= $1,000,000.00</t>
    </r>
  </si>
  <si>
    <r>
      <rPr>
        <b/>
        <sz val="12"/>
        <rFont val="Times New Roman"/>
        <family val="1"/>
      </rPr>
      <t xml:space="preserve">Other Materials and Supplies </t>
    </r>
    <r>
      <rPr>
        <sz val="12"/>
        <rFont val="Times New Roman"/>
        <family val="1"/>
      </rPr>
      <t xml:space="preserve">Purchased classroom kits for K-5 for 30 school x 50 classroom x $150.00 Year 1 Purchased classroom kits for K-5 for 30 school x 50 classroom x $150.00 Year 2 </t>
    </r>
  </si>
  <si>
    <r>
      <t xml:space="preserve">Capitalized Computer Hardware and Technology Related Infrastructure </t>
    </r>
    <r>
      <rPr>
        <sz val="12"/>
        <rFont val="Times New Roman"/>
        <family val="1"/>
      </rPr>
      <t>Purchase  Chromebook carts for @ 1,140 each x 96 =$109,440.00.  Purchase Interactive Flat Panels for $1,978.38 x 1857 = 3,673,852.00</t>
    </r>
  </si>
  <si>
    <r>
      <rPr>
        <b/>
        <u/>
        <sz val="12"/>
        <rFont val="Times New Roman"/>
        <family val="1"/>
      </rPr>
      <t>Technology Related Noncapitalized fixtures and equipment</t>
    </r>
    <r>
      <rPr>
        <sz val="12"/>
        <rFont val="Times New Roman"/>
        <family val="1"/>
      </rPr>
      <t xml:space="preserve"> -  Purchase additional 2596 chrome books for online learning x $272.00 = $706,246</t>
    </r>
  </si>
  <si>
    <r>
      <rPr>
        <b/>
        <sz val="12"/>
        <rFont val="Times New Roman"/>
        <family val="1"/>
      </rPr>
      <t>McIntosh Charter</t>
    </r>
    <r>
      <rPr>
        <sz val="12"/>
        <rFont val="Times New Roman"/>
        <family val="1"/>
      </rPr>
      <t xml:space="preserve"> Activity 1.  Salaries + benefits for afterschool tutoring for five (5) noninstructional staff x 2hrs/wk @ $26.00/hr x 36 weeks x 3years = $28,080.00+ benefits $ 5,616.00 = $33,696.00</t>
    </r>
  </si>
  <si>
    <r>
      <rPr>
        <b/>
        <u/>
        <sz val="12"/>
        <rFont val="Times New Roman"/>
        <family val="1"/>
      </rPr>
      <t>Salaries-</t>
    </r>
    <r>
      <rPr>
        <sz val="12"/>
        <rFont val="Times New Roman"/>
        <family val="1"/>
      </rPr>
      <t xml:space="preserve"> Guidance Counselors for 6 weeks of Summer school x $31.27 x 7 hrs day x 4 days a week x  67 counselors= $351,975.00  Year 2-  Guidance Counselors for 6 weeks of Summer school x $ 40.27 x 7 hrs day  x 4 days a week x  67  counselors = $453,279.00</t>
    </r>
  </si>
  <si>
    <t>Salaries Temporary Records Manager @ 26.98/hr for 8 /day for 227 days = $ 48,996.00 x two years = $97,992.00</t>
  </si>
  <si>
    <r>
      <rPr>
        <b/>
        <u/>
        <sz val="12"/>
        <rFont val="Times New Roman"/>
        <family val="1"/>
      </rPr>
      <t>Professional and Technical Services</t>
    </r>
    <r>
      <rPr>
        <sz val="12"/>
        <rFont val="Times New Roman"/>
        <family val="1"/>
      </rPr>
      <t>- Contracted mental health services for 48 schools and the implementation of evidence-based full-service community schools .  48 schools x 61,608.00 annually for 2 years = $5,914,368</t>
    </r>
  </si>
  <si>
    <t>FICA Benefits - FICA Benefits of 2 Principal on Assignment for Transformation Schools</t>
  </si>
  <si>
    <r>
      <rPr>
        <b/>
        <u/>
        <sz val="12"/>
        <rFont val="Times New Roman"/>
        <family val="1"/>
      </rPr>
      <t>Technology-Related Rentals</t>
    </r>
    <r>
      <rPr>
        <b/>
        <sz val="12"/>
        <rFont val="Times New Roman"/>
        <family val="1"/>
      </rPr>
      <t xml:space="preserve"> -</t>
    </r>
    <r>
      <rPr>
        <sz val="12"/>
        <rFont val="Times New Roman"/>
        <family val="1"/>
      </rPr>
      <t xml:space="preserve"> Purchase Canvas - Learning Management System (LMS) to aid students in regular and substantive educational interactions.  Annual license is $248,000 x 2 years + $30,000 implementation costs = $526,000.  Cost of Dashboard is $680,994 per year for 2 years = $1,361,988.00. Total cost = $1,887,988
Professional Learning Platform $1,000,000.00</t>
    </r>
  </si>
  <si>
    <t>Salaries - Salaries for 47 Receptionists (Summer School 2022 only) (47 schools x $15.40 p/h x 32 /hrs. weekly x 6 weeks = $138,970 x 2 summers</t>
  </si>
  <si>
    <t>Activity  11C,12C</t>
  </si>
  <si>
    <t xml:space="preserve">7C </t>
  </si>
  <si>
    <r>
      <t xml:space="preserve">Marion  Charter - </t>
    </r>
    <r>
      <rPr>
        <sz val="12"/>
        <rFont val="Times New Roman"/>
        <family val="1"/>
      </rPr>
      <t xml:space="preserve">Summer School Consumables Items and Supplies Summer 2023/2024 ($7,500.00) Summer School Staff Partial Salaries ($15,000.00) </t>
    </r>
  </si>
  <si>
    <r>
      <rPr>
        <b/>
        <sz val="12"/>
        <rFont val="Times New Roman"/>
        <family val="1"/>
      </rPr>
      <t>Marion  Charter -</t>
    </r>
    <r>
      <rPr>
        <sz val="12"/>
        <rFont val="Times New Roman"/>
        <family val="1"/>
      </rPr>
      <t xml:space="preserve"> After School Tutoring-7 teachers x 3hrs/wk x $30.51 p/h x 36 weeks = $23,065.56.  Year 2: 7 teachers x 3hrs/wk x $31.43 x 36 wks= $23,761.08 + benefits  $10,475.00.</t>
    </r>
  </si>
  <si>
    <r>
      <t xml:space="preserve">Marion  Charter - </t>
    </r>
    <r>
      <rPr>
        <sz val="12"/>
        <rFont val="Times New Roman"/>
        <family val="1"/>
      </rPr>
      <t>Aftercare Units Partial Salaries and supplies (18,235.00)</t>
    </r>
  </si>
  <si>
    <t>8C-9C</t>
  </si>
  <si>
    <r>
      <rPr>
        <b/>
        <sz val="12"/>
        <rFont val="Times New Roman"/>
        <family val="1"/>
      </rPr>
      <t>Marion Charter</t>
    </r>
    <r>
      <rPr>
        <sz val="12"/>
        <rFont val="Times New Roman"/>
        <family val="1"/>
      </rPr>
      <t xml:space="preserve"> Purchase Laptops for Aftercare Students- 25 Student Notebooks x $748.00 ($18,700.00) Purchase Laptop Charging Lock Cart for Aftercare Students- 1 Charging Cart x $999.00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</si>
</sst>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0"/>
      <name val="Arial"/>
      <family val="2"/>
    </font>
    <font>
      <sz val="10"/>
      <name val="Arial"/>
      <family val="2"/>
    </font>
    <font>
      <sz val="12"/>
      <name val="Times New Roman"/>
      <family val="1"/>
    </font>
    <font>
      <b/>
      <u/>
      <sz val="12"/>
      <name val="Times New Roman"/>
      <family val="1"/>
    </font>
    <font>
      <b/>
      <sz val="12"/>
      <name val="Times New Roman"/>
      <family val="1"/>
    </font>
    <font>
      <u/>
      <sz val="12"/>
      <name val="Times New Roman"/>
      <family val="1"/>
    </font>
    <font>
      <sz val="12"/>
      <color rgb="FFFF0000"/>
      <name val="Times New Roman"/>
      <family val="1"/>
    </font>
    <font>
      <sz val="12"/>
      <color rgb="FF00B0F0"/>
      <name val="Times New Roman"/>
      <family val="1"/>
    </font>
    <font>
      <b/>
      <u/>
      <sz val="12"/>
      <color rgb="FF00B0F0"/>
      <name val="Times New Roman"/>
      <family val="1"/>
    </font>
    <font>
      <b/>
      <sz val="12"/>
      <color rgb="FF00B0F0"/>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0">
    <xf numFmtId="0" fontId="0" fillId="0" borderId="0" xfId="0"/>
    <xf numFmtId="0" fontId="2" fillId="0" borderId="1" xfId="0" applyFont="1" applyFill="1" applyBorder="1" applyAlignment="1">
      <alignment wrapText="1"/>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7" xfId="0" applyFont="1" applyBorder="1" applyAlignment="1">
      <alignment horizontal="center"/>
    </xf>
    <xf numFmtId="44" fontId="2" fillId="0" borderId="0" xfId="1" applyFont="1"/>
    <xf numFmtId="0" fontId="2" fillId="0" borderId="0" xfId="0" applyFont="1"/>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0" fontId="4" fillId="0" borderId="7" xfId="0" applyFont="1" applyFill="1" applyBorder="1" applyAlignment="1">
      <alignment horizontal="center"/>
    </xf>
    <xf numFmtId="44" fontId="2" fillId="0" borderId="1" xfId="0" applyNumberFormat="1" applyFont="1" applyFill="1" applyBorder="1" applyAlignment="1">
      <alignment horizontal="center"/>
    </xf>
    <xf numFmtId="44" fontId="2" fillId="0" borderId="2" xfId="1" applyFont="1" applyFill="1" applyBorder="1" applyAlignment="1">
      <alignment horizontal="center"/>
    </xf>
    <xf numFmtId="44" fontId="2" fillId="0" borderId="0" xfId="1" applyFont="1" applyFill="1"/>
    <xf numFmtId="0" fontId="2" fillId="0" borderId="0" xfId="0" applyFont="1" applyFill="1"/>
    <xf numFmtId="16" fontId="2" fillId="0" borderId="2"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top" wrapText="1"/>
      <protection locked="0"/>
    </xf>
    <xf numFmtId="4" fontId="4" fillId="0" borderId="7" xfId="0" applyNumberFormat="1" applyFont="1" applyFill="1" applyBorder="1" applyAlignment="1">
      <alignment horizontal="center"/>
    </xf>
    <xf numFmtId="0" fontId="3" fillId="0" borderId="1"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44" fontId="2" fillId="0" borderId="2" xfId="1" applyFont="1" applyBorder="1" applyAlignment="1">
      <alignment horizontal="center"/>
    </xf>
    <xf numFmtId="0" fontId="3" fillId="0" borderId="1" xfId="0" applyFont="1" applyBorder="1" applyAlignment="1" applyProtection="1">
      <alignment horizontal="left" vertical="top" wrapText="1"/>
      <protection locked="0"/>
    </xf>
    <xf numFmtId="0" fontId="2"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top" wrapText="1"/>
      <protection locked="0"/>
    </xf>
    <xf numFmtId="164" fontId="2" fillId="0" borderId="2" xfId="1" applyNumberFormat="1" applyFont="1" applyBorder="1" applyAlignment="1">
      <alignment horizontal="center"/>
    </xf>
    <xf numFmtId="0" fontId="2" fillId="0" borderId="2" xfId="0" applyFont="1" applyFill="1" applyBorder="1" applyAlignment="1" applyProtection="1">
      <alignment horizontal="center" vertical="center" wrapText="1"/>
      <protection locked="0"/>
    </xf>
    <xf numFmtId="0" fontId="2" fillId="0" borderId="7" xfId="0" applyFont="1" applyBorder="1"/>
    <xf numFmtId="44" fontId="2" fillId="0" borderId="2" xfId="1" applyFont="1" applyBorder="1"/>
    <xf numFmtId="44" fontId="2" fillId="0" borderId="2" xfId="1" applyFont="1" applyFill="1" applyBorder="1"/>
    <xf numFmtId="0" fontId="5" fillId="0" borderId="1" xfId="0" applyFont="1" applyFill="1" applyBorder="1" applyAlignment="1" applyProtection="1">
      <alignment horizontal="left" vertical="top" wrapText="1"/>
      <protection locked="0"/>
    </xf>
    <xf numFmtId="0" fontId="2" fillId="2" borderId="0" xfId="0" applyFont="1" applyFill="1"/>
    <xf numFmtId="0" fontId="4" fillId="0" borderId="1" xfId="0" applyFont="1" applyBorder="1" applyAlignment="1" applyProtection="1">
      <alignment horizontal="left" vertical="top" wrapText="1"/>
      <protection locked="0"/>
    </xf>
    <xf numFmtId="0" fontId="2" fillId="0" borderId="1" xfId="0" applyFont="1" applyFill="1" applyBorder="1" applyAlignment="1">
      <alignment horizontal="left" vertical="top" wrapText="1"/>
    </xf>
    <xf numFmtId="44" fontId="2" fillId="0" borderId="2" xfId="1" applyFont="1" applyFill="1" applyBorder="1" applyAlignment="1">
      <alignment horizontal="center" vertical="top" wrapText="1"/>
    </xf>
    <xf numFmtId="0" fontId="4" fillId="0" borderId="1" xfId="0" applyFont="1" applyFill="1" applyBorder="1" applyAlignment="1">
      <alignment vertical="center" wrapText="1"/>
    </xf>
    <xf numFmtId="0" fontId="2" fillId="0" borderId="5" xfId="0" applyFont="1" applyFill="1" applyBorder="1" applyAlignment="1" applyProtection="1">
      <alignment horizontal="center" vertical="center"/>
      <protection locked="0"/>
    </xf>
    <xf numFmtId="0" fontId="4" fillId="0" borderId="9" xfId="0" applyFont="1" applyFill="1" applyBorder="1" applyAlignment="1">
      <alignment horizontal="center"/>
    </xf>
    <xf numFmtId="44" fontId="2" fillId="0" borderId="5" xfId="0" applyNumberFormat="1" applyFont="1" applyFill="1" applyBorder="1" applyAlignment="1">
      <alignment horizontal="center"/>
    </xf>
    <xf numFmtId="44" fontId="2" fillId="0" borderId="6" xfId="1" applyFont="1" applyFill="1" applyBorder="1" applyAlignment="1">
      <alignment horizontal="center"/>
    </xf>
    <xf numFmtId="44" fontId="2" fillId="0" borderId="0" xfId="1" applyFont="1" applyBorder="1"/>
    <xf numFmtId="0" fontId="2" fillId="0" borderId="0" xfId="0" applyFont="1" applyBorder="1"/>
    <xf numFmtId="0" fontId="2" fillId="0" borderId="1" xfId="0" applyFont="1" applyBorder="1"/>
    <xf numFmtId="0" fontId="2" fillId="0" borderId="8" xfId="0" applyFont="1" applyFill="1" applyBorder="1" applyAlignment="1" applyProtection="1">
      <alignment horizontal="center" vertical="center"/>
      <protection locked="0"/>
    </xf>
    <xf numFmtId="0" fontId="4" fillId="0" borderId="10" xfId="0" applyFont="1" applyFill="1" applyBorder="1" applyAlignment="1">
      <alignment horizontal="center"/>
    </xf>
    <xf numFmtId="44" fontId="2" fillId="0" borderId="8" xfId="0" applyNumberFormat="1" applyFont="1" applyFill="1" applyBorder="1" applyAlignment="1">
      <alignment horizontal="center"/>
    </xf>
    <xf numFmtId="44" fontId="2" fillId="0" borderId="4" xfId="1" applyFont="1" applyFill="1" applyBorder="1" applyAlignment="1">
      <alignment horizontal="center"/>
    </xf>
    <xf numFmtId="0" fontId="2" fillId="3"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left" vertical="top" wrapText="1"/>
      <protection locked="0"/>
    </xf>
    <xf numFmtId="0" fontId="4" fillId="0" borderId="1" xfId="0" applyFont="1" applyFill="1" applyBorder="1" applyAlignment="1">
      <alignment horizontal="center"/>
    </xf>
    <xf numFmtId="0" fontId="2" fillId="0" borderId="1" xfId="0" applyFont="1" applyFill="1" applyBorder="1"/>
    <xf numFmtId="44" fontId="2" fillId="0" borderId="2" xfId="1" applyFont="1" applyFill="1" applyBorder="1" applyAlignment="1">
      <alignment horizontal="center" vertical="center"/>
    </xf>
    <xf numFmtId="44" fontId="2" fillId="0" borderId="1" xfId="1" applyFont="1" applyFill="1" applyBorder="1" applyAlignment="1">
      <alignment horizontal="center"/>
    </xf>
    <xf numFmtId="44" fontId="2" fillId="0" borderId="1" xfId="1" applyFont="1" applyBorder="1"/>
    <xf numFmtId="0" fontId="2" fillId="4" borderId="2" xfId="0" applyFont="1" applyFill="1" applyBorder="1"/>
    <xf numFmtId="0" fontId="2" fillId="4" borderId="3" xfId="0" applyFont="1" applyFill="1" applyBorder="1"/>
    <xf numFmtId="0" fontId="2" fillId="4" borderId="1" xfId="0" applyFont="1" applyFill="1" applyBorder="1" applyAlignment="1">
      <alignment wrapText="1"/>
    </xf>
    <xf numFmtId="0" fontId="4" fillId="4" borderId="3" xfId="0" applyFont="1" applyFill="1" applyBorder="1"/>
    <xf numFmtId="44" fontId="4" fillId="0" borderId="7" xfId="0" applyNumberFormat="1" applyFont="1" applyBorder="1" applyAlignment="1">
      <alignment horizontal="left"/>
    </xf>
    <xf numFmtId="44" fontId="4" fillId="0" borderId="7" xfId="0" applyNumberFormat="1" applyFont="1" applyFill="1" applyBorder="1" applyAlignment="1">
      <alignment horizontal="left"/>
    </xf>
    <xf numFmtId="0" fontId="2" fillId="0" borderId="1" xfId="0" applyFont="1" applyBorder="1" applyAlignment="1">
      <alignment wrapText="1"/>
    </xf>
    <xf numFmtId="0" fontId="2" fillId="0" borderId="1" xfId="0" applyFont="1" applyBorder="1" applyAlignment="1">
      <alignment horizontal="right" wrapText="1"/>
    </xf>
    <xf numFmtId="0" fontId="2" fillId="0" borderId="0" xfId="0" applyFont="1" applyBorder="1" applyAlignment="1">
      <alignment horizontal="center" wrapText="1"/>
    </xf>
    <xf numFmtId="0" fontId="2" fillId="0" borderId="1" xfId="0" applyFont="1" applyBorder="1" applyAlignment="1">
      <alignment horizontal="center" wrapText="1"/>
    </xf>
    <xf numFmtId="0" fontId="4"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top" wrapText="1"/>
      <protection locked="0"/>
    </xf>
    <xf numFmtId="0" fontId="2" fillId="3" borderId="1" xfId="0" applyFont="1" applyFill="1" applyBorder="1"/>
    <xf numFmtId="44" fontId="2" fillId="3" borderId="1" xfId="0" applyNumberFormat="1" applyFont="1" applyFill="1" applyBorder="1" applyAlignment="1">
      <alignment horizontal="center"/>
    </xf>
    <xf numFmtId="44" fontId="2" fillId="3" borderId="2" xfId="1" applyFont="1" applyFill="1" applyBorder="1"/>
    <xf numFmtId="0" fontId="2" fillId="0" borderId="7" xfId="0" applyFont="1" applyFill="1" applyBorder="1"/>
    <xf numFmtId="0" fontId="2" fillId="0" borderId="0" xfId="0" applyFont="1" applyFill="1" applyBorder="1"/>
    <xf numFmtId="0" fontId="2" fillId="5" borderId="1"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1" xfId="0" applyFont="1" applyFill="1" applyBorder="1" applyAlignment="1">
      <alignment wrapText="1"/>
    </xf>
    <xf numFmtId="0" fontId="4" fillId="5" borderId="7" xfId="0" applyFont="1" applyFill="1" applyBorder="1" applyAlignment="1">
      <alignment horizontal="center"/>
    </xf>
    <xf numFmtId="44" fontId="2" fillId="5" borderId="1" xfId="0" applyNumberFormat="1" applyFont="1" applyFill="1" applyBorder="1" applyAlignment="1">
      <alignment horizontal="center"/>
    </xf>
    <xf numFmtId="44" fontId="2" fillId="5" borderId="2" xfId="1" applyFont="1" applyFill="1" applyBorder="1" applyAlignment="1">
      <alignment horizontal="center"/>
    </xf>
    <xf numFmtId="0" fontId="2" fillId="5" borderId="1" xfId="0" applyFont="1" applyFill="1" applyBorder="1" applyAlignment="1" applyProtection="1">
      <alignment horizontal="left" vertical="top" wrapText="1"/>
      <protection locked="0"/>
    </xf>
    <xf numFmtId="0" fontId="2" fillId="5" borderId="5" xfId="0" applyFont="1" applyFill="1" applyBorder="1" applyAlignment="1" applyProtection="1">
      <alignment horizontal="center" vertical="center"/>
      <protection locked="0"/>
    </xf>
    <xf numFmtId="0" fontId="4" fillId="5" borderId="9" xfId="0" applyFont="1" applyFill="1" applyBorder="1" applyAlignment="1">
      <alignment horizontal="center"/>
    </xf>
    <xf numFmtId="44" fontId="2" fillId="5" borderId="5" xfId="0" applyNumberFormat="1" applyFont="1" applyFill="1" applyBorder="1" applyAlignment="1">
      <alignment horizontal="center"/>
    </xf>
    <xf numFmtId="44" fontId="2" fillId="5" borderId="6" xfId="1" applyFont="1" applyFill="1" applyBorder="1" applyAlignment="1">
      <alignment horizontal="center"/>
    </xf>
    <xf numFmtId="0" fontId="4" fillId="5" borderId="1" xfId="0" applyFont="1" applyFill="1" applyBorder="1" applyAlignment="1">
      <alignment horizontal="center"/>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1" xfId="0" applyFont="1" applyFill="1" applyBorder="1" applyAlignment="1" applyProtection="1">
      <alignment horizontal="left" vertical="top" wrapText="1"/>
      <protection locked="0"/>
    </xf>
    <xf numFmtId="0" fontId="4" fillId="6" borderId="7" xfId="0" applyFont="1" applyFill="1" applyBorder="1" applyAlignment="1">
      <alignment horizontal="center"/>
    </xf>
    <xf numFmtId="44" fontId="2" fillId="6" borderId="1" xfId="0" applyNumberFormat="1" applyFont="1" applyFill="1" applyBorder="1" applyAlignment="1">
      <alignment horizontal="center"/>
    </xf>
    <xf numFmtId="44" fontId="2" fillId="6" borderId="2" xfId="1" applyFont="1" applyFill="1" applyBorder="1" applyAlignment="1">
      <alignment horizontal="center"/>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top" wrapText="1"/>
      <protection locked="0"/>
    </xf>
    <xf numFmtId="0" fontId="9" fillId="0" borderId="7" xfId="0" applyFont="1" applyFill="1" applyBorder="1" applyAlignment="1">
      <alignment horizontal="center"/>
    </xf>
    <xf numFmtId="44" fontId="7" fillId="0" borderId="1" xfId="0" applyNumberFormat="1" applyFont="1" applyFill="1" applyBorder="1" applyAlignment="1">
      <alignment horizontal="center"/>
    </xf>
    <xf numFmtId="44" fontId="7" fillId="0" borderId="2" xfId="1" applyFont="1" applyFill="1" applyBorder="1" applyAlignment="1">
      <alignment horizontal="center"/>
    </xf>
    <xf numFmtId="44" fontId="6" fillId="3" borderId="0" xfId="1" applyFont="1" applyFill="1"/>
    <xf numFmtId="0" fontId="7" fillId="0" borderId="1" xfId="0" applyFont="1" applyFill="1" applyBorder="1" applyAlignment="1">
      <alignment wrapText="1"/>
    </xf>
    <xf numFmtId="0" fontId="7" fillId="0" borderId="7" xfId="0" applyFont="1" applyFill="1" applyBorder="1" applyAlignment="1" applyProtection="1">
      <alignment horizontal="left" vertical="top" wrapText="1"/>
      <protection locked="0"/>
    </xf>
    <xf numFmtId="44" fontId="7" fillId="0" borderId="0" xfId="1" applyFont="1" applyFill="1"/>
    <xf numFmtId="0" fontId="7" fillId="0" borderId="0" xfId="0" applyFont="1" applyFill="1"/>
    <xf numFmtId="0" fontId="9"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2" fillId="0" borderId="1" xfId="0" applyFont="1" applyFill="1" applyBorder="1" applyAlignment="1">
      <alignment vertical="center" wrapText="1"/>
    </xf>
    <xf numFmtId="164" fontId="2" fillId="0" borderId="2" xfId="1" applyNumberFormat="1" applyFont="1" applyFill="1" applyBorder="1" applyAlignment="1">
      <alignment horizontal="center"/>
    </xf>
    <xf numFmtId="0" fontId="2" fillId="0" borderId="2" xfId="0" applyFont="1" applyFill="1" applyBorder="1"/>
    <xf numFmtId="0" fontId="2" fillId="0" borderId="3" xfId="0" applyFont="1" applyFill="1" applyBorder="1" applyAlignment="1">
      <alignment horizontal="center" vertical="center"/>
    </xf>
    <xf numFmtId="0" fontId="2" fillId="0" borderId="3" xfId="0" applyFont="1" applyFill="1" applyBorder="1"/>
    <xf numFmtId="0" fontId="4" fillId="0" borderId="3" xfId="0" applyFont="1" applyFill="1" applyBorder="1"/>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right" wrapText="1"/>
    </xf>
    <xf numFmtId="0" fontId="2"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wrapText="1"/>
    </xf>
    <xf numFmtId="44" fontId="2" fillId="0" borderId="0" xfId="1" applyFont="1" applyFill="1" applyAlignment="1">
      <alignment wrapText="1"/>
    </xf>
    <xf numFmtId="44" fontId="2" fillId="0" borderId="0" xfId="0" applyNumberFormat="1" applyFont="1" applyFill="1"/>
    <xf numFmtId="44" fontId="2" fillId="0" borderId="2" xfId="0" applyNumberFormat="1" applyFont="1" applyFill="1" applyBorder="1" applyAlignment="1">
      <alignment horizontal="center"/>
    </xf>
    <xf numFmtId="44" fontId="2" fillId="0" borderId="0"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407</xdr:row>
      <xdr:rowOff>133350</xdr:rowOff>
    </xdr:from>
    <xdr:to>
      <xdr:col>8</xdr:col>
      <xdr:colOff>619125</xdr:colOff>
      <xdr:row>412</xdr:row>
      <xdr:rowOff>19050</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226247325"/>
          <a:ext cx="3476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409</xdr:row>
      <xdr:rowOff>133350</xdr:rowOff>
    </xdr:from>
    <xdr:to>
      <xdr:col>8</xdr:col>
      <xdr:colOff>619125</xdr:colOff>
      <xdr:row>414</xdr:row>
      <xdr:rowOff>19050</xdr:rowOff>
    </xdr:to>
    <xdr:pic>
      <xdr:nvPicPr>
        <xdr:cNvPr id="2" name="Picture 3" descr="FDOE Logo_Small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5" y="5734050"/>
          <a:ext cx="38290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411</xdr:row>
      <xdr:rowOff>133350</xdr:rowOff>
    </xdr:from>
    <xdr:to>
      <xdr:col>8</xdr:col>
      <xdr:colOff>619125</xdr:colOff>
      <xdr:row>416</xdr:row>
      <xdr:rowOff>19050</xdr:rowOff>
    </xdr:to>
    <xdr:pic>
      <xdr:nvPicPr>
        <xdr:cNvPr id="2" name="Picture 3" descr="FDOE Logo_Small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5" y="172754925"/>
          <a:ext cx="38290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C413"/>
  <sheetViews>
    <sheetView zoomScaleNormal="100" workbookViewId="0">
      <pane ySplit="1" topLeftCell="A2" activePane="bottomLeft" state="frozen"/>
      <selection pane="bottomLeft" activeCell="A278" sqref="A278:XFD278"/>
    </sheetView>
  </sheetViews>
  <sheetFormatPr baseColWidth="10" defaultColWidth="9.1640625" defaultRowHeight="16" x14ac:dyDescent="0.2"/>
  <cols>
    <col min="1" max="1" width="9.5" style="7" customWidth="1"/>
    <col min="2" max="2" width="7.1640625" style="71" bestFit="1" customWidth="1"/>
    <col min="3" max="3" width="11" style="7" customWidth="1"/>
    <col min="4" max="4" width="11.33203125" style="7" customWidth="1"/>
    <col min="5" max="5" width="63.33203125" style="64" customWidth="1"/>
    <col min="6" max="6" width="14.33203125" style="7" customWidth="1"/>
    <col min="7" max="7" width="17" style="7" bestFit="1" customWidth="1"/>
    <col min="8" max="8" width="16.83203125" style="7" bestFit="1" customWidth="1"/>
    <col min="9" max="9" width="20.5" style="7" customWidth="1"/>
    <col min="10" max="10" width="15" style="6" bestFit="1" customWidth="1"/>
    <col min="11" max="11" width="9.1640625" style="7"/>
    <col min="12" max="12" width="18.33203125" style="7" bestFit="1" customWidth="1"/>
    <col min="13" max="16384" width="9.1640625" style="7"/>
  </cols>
  <sheetData>
    <row r="1" spans="1:10" ht="51" x14ac:dyDescent="0.2">
      <c r="A1" s="2" t="s">
        <v>0</v>
      </c>
      <c r="B1" s="68" t="s">
        <v>1</v>
      </c>
      <c r="C1" s="3" t="s">
        <v>2</v>
      </c>
      <c r="D1" s="4" t="s">
        <v>3</v>
      </c>
      <c r="E1" s="3" t="s">
        <v>4</v>
      </c>
      <c r="F1" s="5" t="s">
        <v>5</v>
      </c>
      <c r="G1" s="3" t="s">
        <v>6</v>
      </c>
      <c r="H1" s="3" t="s">
        <v>7</v>
      </c>
      <c r="I1" s="2" t="s">
        <v>8</v>
      </c>
    </row>
    <row r="2" spans="1:10" s="15" customFormat="1" ht="51" x14ac:dyDescent="0.2">
      <c r="A2" s="81">
        <v>5100</v>
      </c>
      <c r="B2" s="81">
        <v>120</v>
      </c>
      <c r="C2" s="81" t="s">
        <v>31</v>
      </c>
      <c r="D2" s="82">
        <v>4</v>
      </c>
      <c r="E2" s="83" t="s">
        <v>455</v>
      </c>
      <c r="F2" s="84"/>
      <c r="G2" s="85">
        <f t="shared" ref="G2:G65" si="0">ROUND(I2*0.67,0)</f>
        <v>5062225</v>
      </c>
      <c r="H2" s="85">
        <f t="shared" ref="H2:H37" si="1">ROUND(I2*0.33,0)</f>
        <v>2493335</v>
      </c>
      <c r="I2" s="86">
        <v>7555560</v>
      </c>
      <c r="J2" s="14"/>
    </row>
    <row r="3" spans="1:10" ht="17" x14ac:dyDescent="0.2">
      <c r="A3" s="8" t="s">
        <v>96</v>
      </c>
      <c r="B3" s="8">
        <v>120</v>
      </c>
      <c r="C3" s="8" t="s">
        <v>49</v>
      </c>
      <c r="D3" s="9">
        <v>14</v>
      </c>
      <c r="E3" s="10" t="s">
        <v>97</v>
      </c>
      <c r="F3" s="52"/>
      <c r="G3" s="12">
        <f t="shared" si="0"/>
        <v>123809</v>
      </c>
      <c r="H3" s="12">
        <f t="shared" si="1"/>
        <v>60981</v>
      </c>
      <c r="I3" s="13">
        <f>92395*2</f>
        <v>184790</v>
      </c>
    </row>
    <row r="4" spans="1:10" s="15" customFormat="1" ht="51" x14ac:dyDescent="0.2">
      <c r="A4" s="81">
        <v>5100</v>
      </c>
      <c r="B4" s="81">
        <v>150</v>
      </c>
      <c r="C4" s="81" t="s">
        <v>29</v>
      </c>
      <c r="D4" s="82">
        <v>4</v>
      </c>
      <c r="E4" s="87" t="s">
        <v>456</v>
      </c>
      <c r="F4" s="84"/>
      <c r="G4" s="85">
        <f t="shared" si="0"/>
        <v>1929376</v>
      </c>
      <c r="H4" s="85">
        <f t="shared" si="1"/>
        <v>950290</v>
      </c>
      <c r="I4" s="86">
        <v>2879666</v>
      </c>
      <c r="J4" s="14"/>
    </row>
    <row r="5" spans="1:10" s="15" customFormat="1" ht="17" x14ac:dyDescent="0.2">
      <c r="A5" s="8" t="s">
        <v>96</v>
      </c>
      <c r="B5" s="8">
        <v>150</v>
      </c>
      <c r="C5" s="8" t="s">
        <v>49</v>
      </c>
      <c r="D5" s="9">
        <v>14</v>
      </c>
      <c r="E5" s="10" t="s">
        <v>99</v>
      </c>
      <c r="F5" s="52"/>
      <c r="G5" s="12">
        <f t="shared" si="0"/>
        <v>835237</v>
      </c>
      <c r="H5" s="12">
        <f t="shared" si="1"/>
        <v>411385</v>
      </c>
      <c r="I5" s="13">
        <f>623311*2</f>
        <v>1246622</v>
      </c>
      <c r="J5" s="14"/>
    </row>
    <row r="6" spans="1:10" s="15" customFormat="1" ht="17" hidden="1" x14ac:dyDescent="0.2">
      <c r="A6" s="81">
        <v>5100</v>
      </c>
      <c r="B6" s="81">
        <v>210</v>
      </c>
      <c r="C6" s="81" t="s">
        <v>29</v>
      </c>
      <c r="D6" s="82">
        <v>4</v>
      </c>
      <c r="E6" s="87" t="s">
        <v>457</v>
      </c>
      <c r="F6" s="84"/>
      <c r="G6" s="85">
        <f t="shared" si="0"/>
        <v>747087</v>
      </c>
      <c r="H6" s="85">
        <f t="shared" si="1"/>
        <v>367968</v>
      </c>
      <c r="I6" s="86">
        <v>1115055</v>
      </c>
      <c r="J6" s="14"/>
    </row>
    <row r="7" spans="1:10" s="15" customFormat="1" ht="17" hidden="1" x14ac:dyDescent="0.2">
      <c r="A7" s="81">
        <v>5100</v>
      </c>
      <c r="B7" s="81">
        <v>220</v>
      </c>
      <c r="C7" s="81" t="s">
        <v>29</v>
      </c>
      <c r="D7" s="82">
        <v>4</v>
      </c>
      <c r="E7" s="87" t="s">
        <v>458</v>
      </c>
      <c r="F7" s="84"/>
      <c r="G7" s="85">
        <f t="shared" si="0"/>
        <v>417104</v>
      </c>
      <c r="H7" s="85">
        <f t="shared" si="1"/>
        <v>205439</v>
      </c>
      <c r="I7" s="86">
        <v>622543</v>
      </c>
      <c r="J7" s="14"/>
    </row>
    <row r="8" spans="1:10" s="15" customFormat="1" ht="17" hidden="1" x14ac:dyDescent="0.2">
      <c r="A8" s="81">
        <v>5100</v>
      </c>
      <c r="B8" s="81">
        <v>220</v>
      </c>
      <c r="C8" s="81" t="s">
        <v>29</v>
      </c>
      <c r="D8" s="82">
        <v>4</v>
      </c>
      <c r="E8" s="87" t="s">
        <v>459</v>
      </c>
      <c r="F8" s="84"/>
      <c r="G8" s="85">
        <f t="shared" si="0"/>
        <v>97567</v>
      </c>
      <c r="H8" s="85">
        <f t="shared" si="1"/>
        <v>48056</v>
      </c>
      <c r="I8" s="86">
        <v>145623</v>
      </c>
      <c r="J8" s="14"/>
    </row>
    <row r="9" spans="1:10" s="15" customFormat="1" ht="34" hidden="1" x14ac:dyDescent="0.2">
      <c r="A9" s="8" t="s">
        <v>96</v>
      </c>
      <c r="B9" s="8">
        <v>220</v>
      </c>
      <c r="C9" s="8" t="s">
        <v>49</v>
      </c>
      <c r="D9" s="9">
        <v>14</v>
      </c>
      <c r="E9" s="10" t="s">
        <v>451</v>
      </c>
      <c r="F9" s="52"/>
      <c r="G9" s="12">
        <f t="shared" si="0"/>
        <v>127068</v>
      </c>
      <c r="H9" s="12">
        <f t="shared" si="1"/>
        <v>62586</v>
      </c>
      <c r="I9" s="13">
        <f>56577*2+62000+14500</f>
        <v>189654</v>
      </c>
      <c r="J9" s="14"/>
    </row>
    <row r="10" spans="1:10" s="15" customFormat="1" ht="34" hidden="1" x14ac:dyDescent="0.2">
      <c r="A10" s="8">
        <v>5100</v>
      </c>
      <c r="B10" s="8">
        <v>231</v>
      </c>
      <c r="C10" s="8">
        <v>1</v>
      </c>
      <c r="D10" s="9">
        <v>1</v>
      </c>
      <c r="E10" s="10" t="s">
        <v>277</v>
      </c>
      <c r="F10" s="11"/>
      <c r="G10" s="12">
        <f t="shared" si="0"/>
        <v>335889</v>
      </c>
      <c r="H10" s="12">
        <f t="shared" si="1"/>
        <v>165438</v>
      </c>
      <c r="I10" s="13">
        <v>501327</v>
      </c>
      <c r="J10" s="14"/>
    </row>
    <row r="11" spans="1:10" s="15" customFormat="1" ht="34" hidden="1" x14ac:dyDescent="0.2">
      <c r="A11" s="8">
        <v>5100</v>
      </c>
      <c r="B11" s="8">
        <v>231</v>
      </c>
      <c r="C11" s="8">
        <v>1</v>
      </c>
      <c r="D11" s="9">
        <v>2</v>
      </c>
      <c r="E11" s="10" t="s">
        <v>278</v>
      </c>
      <c r="F11" s="11"/>
      <c r="G11" s="12">
        <f t="shared" si="0"/>
        <v>476489</v>
      </c>
      <c r="H11" s="12">
        <f t="shared" si="1"/>
        <v>234689</v>
      </c>
      <c r="I11" s="13">
        <v>711178</v>
      </c>
      <c r="J11" s="14"/>
    </row>
    <row r="12" spans="1:10" s="15" customFormat="1" ht="34" hidden="1" x14ac:dyDescent="0.2">
      <c r="A12" s="8">
        <v>5100</v>
      </c>
      <c r="B12" s="8">
        <v>231</v>
      </c>
      <c r="C12" s="8">
        <v>1</v>
      </c>
      <c r="D12" s="9">
        <v>3</v>
      </c>
      <c r="E12" s="10" t="s">
        <v>279</v>
      </c>
      <c r="F12" s="11"/>
      <c r="G12" s="12">
        <f t="shared" si="0"/>
        <v>41646</v>
      </c>
      <c r="H12" s="12">
        <f t="shared" si="1"/>
        <v>20512</v>
      </c>
      <c r="I12" s="13">
        <v>62158</v>
      </c>
      <c r="J12" s="14"/>
    </row>
    <row r="13" spans="1:10" s="15" customFormat="1" ht="17" hidden="1" x14ac:dyDescent="0.2">
      <c r="A13" s="81">
        <v>5100</v>
      </c>
      <c r="B13" s="81">
        <v>231</v>
      </c>
      <c r="C13" s="81" t="s">
        <v>29</v>
      </c>
      <c r="D13" s="82">
        <v>4</v>
      </c>
      <c r="E13" s="87" t="s">
        <v>460</v>
      </c>
      <c r="F13" s="84"/>
      <c r="G13" s="85">
        <f t="shared" si="0"/>
        <v>1423315</v>
      </c>
      <c r="H13" s="85">
        <f t="shared" si="1"/>
        <v>701036</v>
      </c>
      <c r="I13" s="86">
        <v>2124351</v>
      </c>
      <c r="J13" s="14"/>
    </row>
    <row r="14" spans="1:10" s="15" customFormat="1" ht="34" hidden="1" x14ac:dyDescent="0.2">
      <c r="A14" s="8">
        <v>5100</v>
      </c>
      <c r="B14" s="8">
        <v>232</v>
      </c>
      <c r="C14" s="8">
        <v>1</v>
      </c>
      <c r="D14" s="9">
        <v>1</v>
      </c>
      <c r="E14" s="10" t="s">
        <v>280</v>
      </c>
      <c r="F14" s="11"/>
      <c r="G14" s="12">
        <f t="shared" si="0"/>
        <v>3698</v>
      </c>
      <c r="H14" s="12">
        <f t="shared" si="1"/>
        <v>1821</v>
      </c>
      <c r="I14" s="13">
        <v>5519</v>
      </c>
      <c r="J14" s="14"/>
    </row>
    <row r="15" spans="1:10" s="15" customFormat="1" ht="34" hidden="1" x14ac:dyDescent="0.2">
      <c r="A15" s="8">
        <v>5100</v>
      </c>
      <c r="B15" s="8">
        <v>232</v>
      </c>
      <c r="C15" s="8">
        <v>1</v>
      </c>
      <c r="D15" s="9">
        <v>2</v>
      </c>
      <c r="E15" s="10" t="s">
        <v>281</v>
      </c>
      <c r="F15" s="11"/>
      <c r="G15" s="12">
        <f t="shared" si="0"/>
        <v>5246</v>
      </c>
      <c r="H15" s="12">
        <f t="shared" si="1"/>
        <v>2584</v>
      </c>
      <c r="I15" s="13">
        <v>7830</v>
      </c>
      <c r="J15" s="14"/>
    </row>
    <row r="16" spans="1:10" s="15" customFormat="1" ht="34" hidden="1" x14ac:dyDescent="0.2">
      <c r="A16" s="8">
        <v>5100</v>
      </c>
      <c r="B16" s="8">
        <v>232</v>
      </c>
      <c r="C16" s="8">
        <v>1</v>
      </c>
      <c r="D16" s="9">
        <v>3</v>
      </c>
      <c r="E16" s="10" t="s">
        <v>282</v>
      </c>
      <c r="F16" s="11"/>
      <c r="G16" s="12">
        <f t="shared" si="0"/>
        <v>1475</v>
      </c>
      <c r="H16" s="12">
        <f t="shared" si="1"/>
        <v>726</v>
      </c>
      <c r="I16" s="13">
        <v>2201</v>
      </c>
      <c r="J16" s="14"/>
    </row>
    <row r="17" spans="1:10" s="15" customFormat="1" ht="17" hidden="1" x14ac:dyDescent="0.2">
      <c r="A17" s="81">
        <v>5100</v>
      </c>
      <c r="B17" s="81">
        <v>232</v>
      </c>
      <c r="C17" s="81" t="s">
        <v>29</v>
      </c>
      <c r="D17" s="82">
        <v>4</v>
      </c>
      <c r="E17" s="87" t="s">
        <v>461</v>
      </c>
      <c r="F17" s="84"/>
      <c r="G17" s="85">
        <f t="shared" si="0"/>
        <v>17504</v>
      </c>
      <c r="H17" s="85">
        <f t="shared" si="1"/>
        <v>8621</v>
      </c>
      <c r="I17" s="86">
        <v>26125</v>
      </c>
      <c r="J17" s="14"/>
    </row>
    <row r="18" spans="1:10" s="15" customFormat="1" ht="34" hidden="1" x14ac:dyDescent="0.2">
      <c r="A18" s="8">
        <v>5100</v>
      </c>
      <c r="B18" s="8">
        <v>240</v>
      </c>
      <c r="C18" s="8">
        <v>1</v>
      </c>
      <c r="D18" s="9">
        <v>1</v>
      </c>
      <c r="E18" s="10" t="s">
        <v>283</v>
      </c>
      <c r="F18" s="11"/>
      <c r="G18" s="12">
        <f t="shared" si="0"/>
        <v>18629</v>
      </c>
      <c r="H18" s="12">
        <f t="shared" si="1"/>
        <v>9176</v>
      </c>
      <c r="I18" s="13">
        <v>27805</v>
      </c>
      <c r="J18" s="14"/>
    </row>
    <row r="19" spans="1:10" s="15" customFormat="1" ht="51" hidden="1" x14ac:dyDescent="0.2">
      <c r="A19" s="8">
        <v>5100</v>
      </c>
      <c r="B19" s="8">
        <v>240</v>
      </c>
      <c r="C19" s="8">
        <v>1</v>
      </c>
      <c r="D19" s="9">
        <v>2</v>
      </c>
      <c r="E19" s="10" t="s">
        <v>284</v>
      </c>
      <c r="F19" s="11"/>
      <c r="G19" s="12">
        <f t="shared" si="0"/>
        <v>26427</v>
      </c>
      <c r="H19" s="12">
        <f t="shared" si="1"/>
        <v>13016</v>
      </c>
      <c r="I19" s="13">
        <v>39443</v>
      </c>
      <c r="J19" s="14"/>
    </row>
    <row r="20" spans="1:10" s="15" customFormat="1" ht="34" hidden="1" x14ac:dyDescent="0.2">
      <c r="A20" s="8">
        <v>5100</v>
      </c>
      <c r="B20" s="8">
        <v>240</v>
      </c>
      <c r="C20" s="8">
        <v>1</v>
      </c>
      <c r="D20" s="9">
        <v>3</v>
      </c>
      <c r="E20" s="10" t="s">
        <v>285</v>
      </c>
      <c r="F20" s="11"/>
      <c r="G20" s="12">
        <f t="shared" si="0"/>
        <v>2310</v>
      </c>
      <c r="H20" s="12">
        <f t="shared" si="1"/>
        <v>1138</v>
      </c>
      <c r="I20" s="13">
        <v>3448</v>
      </c>
      <c r="J20" s="14"/>
    </row>
    <row r="21" spans="1:10" ht="17" hidden="1" x14ac:dyDescent="0.2">
      <c r="A21" s="81">
        <v>5100</v>
      </c>
      <c r="B21" s="81">
        <v>240</v>
      </c>
      <c r="C21" s="81" t="s">
        <v>29</v>
      </c>
      <c r="D21" s="82">
        <v>4</v>
      </c>
      <c r="E21" s="87" t="s">
        <v>462</v>
      </c>
      <c r="F21" s="84"/>
      <c r="G21" s="85">
        <f t="shared" si="0"/>
        <v>51130</v>
      </c>
      <c r="H21" s="85">
        <f t="shared" si="1"/>
        <v>25183</v>
      </c>
      <c r="I21" s="86">
        <v>76313</v>
      </c>
    </row>
    <row r="22" spans="1:10" s="15" customFormat="1" ht="51" hidden="1" x14ac:dyDescent="0.2">
      <c r="A22" s="8" t="s">
        <v>96</v>
      </c>
      <c r="B22" s="8">
        <v>240</v>
      </c>
      <c r="C22" s="8" t="s">
        <v>49</v>
      </c>
      <c r="D22" s="9">
        <v>14</v>
      </c>
      <c r="E22" s="10" t="s">
        <v>452</v>
      </c>
      <c r="F22" s="52"/>
      <c r="G22" s="12">
        <f t="shared" si="0"/>
        <v>19417</v>
      </c>
      <c r="H22" s="12">
        <f t="shared" si="1"/>
        <v>9563</v>
      </c>
      <c r="I22" s="13">
        <f>8840*2+11300</f>
        <v>28980</v>
      </c>
      <c r="J22" s="14"/>
    </row>
    <row r="23" spans="1:10" s="15" customFormat="1" ht="51" hidden="1" x14ac:dyDescent="0.2">
      <c r="A23" s="8">
        <v>5100</v>
      </c>
      <c r="B23" s="8">
        <v>369</v>
      </c>
      <c r="C23" s="8" t="s">
        <v>9</v>
      </c>
      <c r="D23" s="9">
        <v>2</v>
      </c>
      <c r="E23" s="10" t="s">
        <v>482</v>
      </c>
      <c r="F23" s="11"/>
      <c r="G23" s="12">
        <f t="shared" si="0"/>
        <v>989328</v>
      </c>
      <c r="H23" s="12">
        <f t="shared" si="1"/>
        <v>487281</v>
      </c>
      <c r="I23" s="13">
        <f>1286000+190609</f>
        <v>1476609</v>
      </c>
      <c r="J23" s="14"/>
    </row>
    <row r="24" spans="1:10" ht="34" hidden="1" x14ac:dyDescent="0.2">
      <c r="A24" s="8">
        <v>5100</v>
      </c>
      <c r="B24" s="8">
        <v>369</v>
      </c>
      <c r="C24" s="8">
        <v>1</v>
      </c>
      <c r="D24" s="9">
        <v>5</v>
      </c>
      <c r="E24" s="10" t="s">
        <v>286</v>
      </c>
      <c r="F24" s="11"/>
      <c r="G24" s="12">
        <f t="shared" si="0"/>
        <v>167500</v>
      </c>
      <c r="H24" s="12">
        <f t="shared" si="1"/>
        <v>82500</v>
      </c>
      <c r="I24" s="13">
        <v>250000</v>
      </c>
    </row>
    <row r="25" spans="1:10" ht="68" hidden="1" x14ac:dyDescent="0.2">
      <c r="A25" s="8">
        <v>5100</v>
      </c>
      <c r="B25" s="8">
        <v>369</v>
      </c>
      <c r="C25" s="8">
        <v>1</v>
      </c>
      <c r="D25" s="9">
        <v>12</v>
      </c>
      <c r="E25" s="10" t="s">
        <v>290</v>
      </c>
      <c r="F25" s="11"/>
      <c r="G25" s="12">
        <f t="shared" si="0"/>
        <v>301500</v>
      </c>
      <c r="H25" s="12">
        <f t="shared" si="1"/>
        <v>148500</v>
      </c>
      <c r="I25" s="13">
        <v>450000</v>
      </c>
    </row>
    <row r="26" spans="1:10" ht="102" hidden="1" x14ac:dyDescent="0.2">
      <c r="A26" s="9">
        <v>5100</v>
      </c>
      <c r="B26" s="8">
        <v>394</v>
      </c>
      <c r="C26" s="8">
        <v>1</v>
      </c>
      <c r="D26" s="16" t="s">
        <v>12</v>
      </c>
      <c r="E26" s="17" t="s">
        <v>289</v>
      </c>
      <c r="F26" s="11"/>
      <c r="G26" s="12">
        <f t="shared" si="0"/>
        <v>43350</v>
      </c>
      <c r="H26" s="12">
        <f t="shared" si="1"/>
        <v>21351</v>
      </c>
      <c r="I26" s="13">
        <v>64701</v>
      </c>
    </row>
    <row r="27" spans="1:10" ht="51" hidden="1" x14ac:dyDescent="0.2">
      <c r="A27" s="8">
        <v>5100</v>
      </c>
      <c r="B27" s="8">
        <v>394</v>
      </c>
      <c r="C27" s="8">
        <v>1</v>
      </c>
      <c r="D27" s="9" t="s">
        <v>10</v>
      </c>
      <c r="E27" s="10" t="s">
        <v>287</v>
      </c>
      <c r="F27" s="11"/>
      <c r="G27" s="12">
        <f t="shared" si="0"/>
        <v>36662</v>
      </c>
      <c r="H27" s="12">
        <f t="shared" si="1"/>
        <v>18058</v>
      </c>
      <c r="I27" s="13">
        <v>54720</v>
      </c>
    </row>
    <row r="28" spans="1:10" ht="85" hidden="1" x14ac:dyDescent="0.2">
      <c r="A28" s="9">
        <v>5100</v>
      </c>
      <c r="B28" s="8">
        <v>394</v>
      </c>
      <c r="C28" s="8">
        <v>1</v>
      </c>
      <c r="D28" s="16" t="s">
        <v>11</v>
      </c>
      <c r="E28" s="10" t="s">
        <v>288</v>
      </c>
      <c r="F28" s="11"/>
      <c r="G28" s="12">
        <f t="shared" si="0"/>
        <v>129782</v>
      </c>
      <c r="H28" s="12">
        <f t="shared" si="1"/>
        <v>63923</v>
      </c>
      <c r="I28" s="13">
        <v>193705</v>
      </c>
    </row>
    <row r="29" spans="1:10" ht="34" hidden="1" x14ac:dyDescent="0.2">
      <c r="A29" s="8">
        <v>5100</v>
      </c>
      <c r="B29" s="8">
        <v>510</v>
      </c>
      <c r="C29" s="8" t="s">
        <v>13</v>
      </c>
      <c r="D29" s="9">
        <v>1</v>
      </c>
      <c r="E29" s="10" t="s">
        <v>14</v>
      </c>
      <c r="F29" s="11"/>
      <c r="G29" s="12">
        <f t="shared" si="0"/>
        <v>457253</v>
      </c>
      <c r="H29" s="12">
        <f t="shared" si="1"/>
        <v>225214</v>
      </c>
      <c r="I29" s="13">
        <v>682467</v>
      </c>
    </row>
    <row r="30" spans="1:10" ht="17" hidden="1" x14ac:dyDescent="0.2">
      <c r="A30" s="8">
        <v>5100</v>
      </c>
      <c r="B30" s="8">
        <v>590</v>
      </c>
      <c r="C30" s="8">
        <v>1</v>
      </c>
      <c r="D30" s="9">
        <v>5</v>
      </c>
      <c r="E30" s="10" t="s">
        <v>291</v>
      </c>
      <c r="F30" s="11"/>
      <c r="G30" s="12">
        <f t="shared" si="0"/>
        <v>166750</v>
      </c>
      <c r="H30" s="12">
        <f t="shared" si="1"/>
        <v>82130</v>
      </c>
      <c r="I30" s="13">
        <v>248880</v>
      </c>
    </row>
    <row r="31" spans="1:10" s="15" customFormat="1" ht="51" hidden="1" x14ac:dyDescent="0.2">
      <c r="A31" s="9">
        <v>5100</v>
      </c>
      <c r="B31" s="8">
        <v>590</v>
      </c>
      <c r="C31" s="8">
        <v>1</v>
      </c>
      <c r="D31" s="9">
        <v>12</v>
      </c>
      <c r="E31" s="10" t="s">
        <v>292</v>
      </c>
      <c r="F31" s="11"/>
      <c r="G31" s="12">
        <f t="shared" si="0"/>
        <v>301500</v>
      </c>
      <c r="H31" s="12">
        <f t="shared" si="1"/>
        <v>148500</v>
      </c>
      <c r="I31" s="13">
        <v>450000</v>
      </c>
      <c r="J31" s="14"/>
    </row>
    <row r="32" spans="1:10" s="15" customFormat="1" ht="68" hidden="1" x14ac:dyDescent="0.2">
      <c r="A32" s="9">
        <v>5100</v>
      </c>
      <c r="B32" s="8">
        <v>643</v>
      </c>
      <c r="C32" s="8" t="s">
        <v>9</v>
      </c>
      <c r="D32" s="9">
        <v>6</v>
      </c>
      <c r="E32" s="19" t="s">
        <v>293</v>
      </c>
      <c r="F32" s="18"/>
      <c r="G32" s="12">
        <f t="shared" si="0"/>
        <v>2534333</v>
      </c>
      <c r="H32" s="12">
        <f t="shared" si="1"/>
        <v>1248253</v>
      </c>
      <c r="I32" s="13">
        <v>3782586</v>
      </c>
      <c r="J32" s="14"/>
    </row>
    <row r="33" spans="1:10" s="15" customFormat="1" ht="34" hidden="1" x14ac:dyDescent="0.2">
      <c r="A33" s="8">
        <v>5100</v>
      </c>
      <c r="B33" s="8">
        <v>644</v>
      </c>
      <c r="C33" s="8" t="s">
        <v>9</v>
      </c>
      <c r="D33" s="9">
        <v>1</v>
      </c>
      <c r="E33" s="10" t="s">
        <v>484</v>
      </c>
      <c r="F33" s="18"/>
      <c r="G33" s="12">
        <f t="shared" si="0"/>
        <v>473185</v>
      </c>
      <c r="H33" s="12">
        <f t="shared" si="1"/>
        <v>233061</v>
      </c>
      <c r="I33" s="13">
        <f>596246+110000</f>
        <v>706246</v>
      </c>
      <c r="J33" s="14"/>
    </row>
    <row r="34" spans="1:10" s="15" customFormat="1" ht="68" hidden="1" x14ac:dyDescent="0.2">
      <c r="A34" s="8">
        <v>5100</v>
      </c>
      <c r="B34" s="8">
        <v>649</v>
      </c>
      <c r="C34" s="8" t="s">
        <v>9</v>
      </c>
      <c r="D34" s="9">
        <v>3</v>
      </c>
      <c r="E34" s="10" t="s">
        <v>15</v>
      </c>
      <c r="F34" s="11"/>
      <c r="G34" s="12">
        <f t="shared" si="0"/>
        <v>398715</v>
      </c>
      <c r="H34" s="12">
        <f t="shared" si="1"/>
        <v>196382</v>
      </c>
      <c r="I34" s="13">
        <v>595097</v>
      </c>
      <c r="J34" s="14"/>
    </row>
    <row r="35" spans="1:10" s="15" customFormat="1" ht="17" hidden="1" x14ac:dyDescent="0.2">
      <c r="A35" s="8" t="s">
        <v>96</v>
      </c>
      <c r="B35" s="8">
        <v>751</v>
      </c>
      <c r="C35" s="8" t="s">
        <v>49</v>
      </c>
      <c r="D35" s="9">
        <v>14</v>
      </c>
      <c r="E35" s="10" t="s">
        <v>98</v>
      </c>
      <c r="F35" s="52"/>
      <c r="G35" s="12">
        <f t="shared" si="0"/>
        <v>89357</v>
      </c>
      <c r="H35" s="12">
        <f t="shared" si="1"/>
        <v>44011</v>
      </c>
      <c r="I35" s="13">
        <f>66684*2</f>
        <v>133368</v>
      </c>
      <c r="J35" s="14"/>
    </row>
    <row r="36" spans="1:10" s="15" customFormat="1" ht="153" hidden="1" x14ac:dyDescent="0.2">
      <c r="A36" s="8">
        <v>5100</v>
      </c>
      <c r="B36" s="8">
        <v>1200</v>
      </c>
      <c r="C36" s="8">
        <v>1</v>
      </c>
      <c r="D36" s="9">
        <v>2</v>
      </c>
      <c r="E36" s="10" t="s">
        <v>265</v>
      </c>
      <c r="F36" s="11">
        <v>5</v>
      </c>
      <c r="G36" s="12">
        <f t="shared" si="0"/>
        <v>2017311</v>
      </c>
      <c r="H36" s="12">
        <f t="shared" si="1"/>
        <v>993601</v>
      </c>
      <c r="I36" s="13">
        <v>3010912</v>
      </c>
      <c r="J36" s="14"/>
    </row>
    <row r="37" spans="1:10" s="15" customFormat="1" ht="68" hidden="1" x14ac:dyDescent="0.2">
      <c r="A37" s="8">
        <v>5100</v>
      </c>
      <c r="B37" s="8">
        <v>1400</v>
      </c>
      <c r="C37" s="8">
        <v>1</v>
      </c>
      <c r="D37" s="9">
        <v>1</v>
      </c>
      <c r="E37" s="10" t="s">
        <v>266</v>
      </c>
      <c r="F37" s="11">
        <v>48</v>
      </c>
      <c r="G37" s="12">
        <f t="shared" si="0"/>
        <v>1422052</v>
      </c>
      <c r="H37" s="12">
        <f t="shared" si="1"/>
        <v>700414</v>
      </c>
      <c r="I37" s="13">
        <v>2122466</v>
      </c>
      <c r="J37" s="14"/>
    </row>
    <row r="38" spans="1:10" ht="51" hidden="1" x14ac:dyDescent="0.2">
      <c r="A38" s="8">
        <v>5100</v>
      </c>
      <c r="B38" s="8">
        <v>1500</v>
      </c>
      <c r="C38" s="8">
        <v>1</v>
      </c>
      <c r="D38" s="9">
        <v>3</v>
      </c>
      <c r="E38" s="10" t="s">
        <v>267</v>
      </c>
      <c r="F38" s="11">
        <v>7</v>
      </c>
      <c r="G38" s="12">
        <f t="shared" si="0"/>
        <v>176316</v>
      </c>
      <c r="H38" s="12">
        <v>86842</v>
      </c>
      <c r="I38" s="13">
        <v>263158</v>
      </c>
    </row>
    <row r="39" spans="1:10" ht="17" hidden="1" x14ac:dyDescent="0.2">
      <c r="A39" s="8">
        <v>5100</v>
      </c>
      <c r="B39" s="8">
        <v>2100</v>
      </c>
      <c r="C39" s="8">
        <v>1</v>
      </c>
      <c r="D39" s="9">
        <v>1</v>
      </c>
      <c r="E39" s="10" t="s">
        <v>268</v>
      </c>
      <c r="F39" s="11"/>
      <c r="G39" s="12">
        <f t="shared" si="0"/>
        <v>617883</v>
      </c>
      <c r="H39" s="12">
        <v>304331</v>
      </c>
      <c r="I39" s="13">
        <v>922214</v>
      </c>
    </row>
    <row r="40" spans="1:10" ht="34" hidden="1" x14ac:dyDescent="0.2">
      <c r="A40" s="8">
        <v>5100</v>
      </c>
      <c r="B40" s="8">
        <v>2100</v>
      </c>
      <c r="C40" s="8">
        <v>1</v>
      </c>
      <c r="D40" s="9">
        <v>2</v>
      </c>
      <c r="E40" s="10" t="s">
        <v>269</v>
      </c>
      <c r="F40" s="11"/>
      <c r="G40" s="12">
        <f t="shared" si="0"/>
        <v>214038</v>
      </c>
      <c r="H40" s="12">
        <f t="shared" ref="H40:H103" si="2">ROUND(I40*0.33,0)</f>
        <v>105421</v>
      </c>
      <c r="I40" s="13">
        <v>319459</v>
      </c>
    </row>
    <row r="41" spans="1:10" ht="17" hidden="1" x14ac:dyDescent="0.2">
      <c r="A41" s="8">
        <v>5100</v>
      </c>
      <c r="B41" s="8">
        <v>2100</v>
      </c>
      <c r="C41" s="8">
        <v>1</v>
      </c>
      <c r="D41" s="9">
        <v>3</v>
      </c>
      <c r="E41" s="10" t="s">
        <v>270</v>
      </c>
      <c r="F41" s="11"/>
      <c r="G41" s="12">
        <f t="shared" si="0"/>
        <v>18708</v>
      </c>
      <c r="H41" s="12">
        <f t="shared" si="2"/>
        <v>9214</v>
      </c>
      <c r="I41" s="13">
        <v>27922</v>
      </c>
    </row>
    <row r="42" spans="1:10" ht="17" hidden="1" x14ac:dyDescent="0.2">
      <c r="A42" s="8">
        <v>5100</v>
      </c>
      <c r="B42" s="8">
        <v>2200</v>
      </c>
      <c r="C42" s="8">
        <v>1</v>
      </c>
      <c r="D42" s="9">
        <v>1</v>
      </c>
      <c r="E42" s="10" t="s">
        <v>271</v>
      </c>
      <c r="F42" s="11"/>
      <c r="G42" s="12">
        <f t="shared" si="0"/>
        <v>88167</v>
      </c>
      <c r="H42" s="12">
        <f t="shared" si="2"/>
        <v>43426</v>
      </c>
      <c r="I42" s="13">
        <v>131593</v>
      </c>
    </row>
    <row r="43" spans="1:10" ht="34" hidden="1" x14ac:dyDescent="0.2">
      <c r="A43" s="8">
        <v>5100</v>
      </c>
      <c r="B43" s="8">
        <v>2200</v>
      </c>
      <c r="C43" s="8">
        <v>1</v>
      </c>
      <c r="D43" s="9">
        <v>1</v>
      </c>
      <c r="E43" s="10" t="s">
        <v>272</v>
      </c>
      <c r="F43" s="11"/>
      <c r="G43" s="12">
        <f t="shared" si="0"/>
        <v>20620</v>
      </c>
      <c r="H43" s="12">
        <f t="shared" si="2"/>
        <v>10156</v>
      </c>
      <c r="I43" s="13">
        <v>30776</v>
      </c>
    </row>
    <row r="44" spans="1:10" ht="34" hidden="1" x14ac:dyDescent="0.2">
      <c r="A44" s="8">
        <v>5100</v>
      </c>
      <c r="B44" s="8">
        <v>2200</v>
      </c>
      <c r="C44" s="8">
        <v>1</v>
      </c>
      <c r="D44" s="9">
        <v>2</v>
      </c>
      <c r="E44" s="10" t="s">
        <v>273</v>
      </c>
      <c r="F44" s="11"/>
      <c r="G44" s="12">
        <f t="shared" si="0"/>
        <v>125074</v>
      </c>
      <c r="H44" s="12">
        <f t="shared" si="2"/>
        <v>61604</v>
      </c>
      <c r="I44" s="13">
        <v>186678</v>
      </c>
    </row>
    <row r="45" spans="1:10" ht="34" hidden="1" x14ac:dyDescent="0.2">
      <c r="A45" s="8">
        <v>5100</v>
      </c>
      <c r="B45" s="8">
        <v>2200</v>
      </c>
      <c r="C45" s="8">
        <v>1</v>
      </c>
      <c r="D45" s="9">
        <v>2</v>
      </c>
      <c r="E45" s="10" t="s">
        <v>274</v>
      </c>
      <c r="F45" s="11"/>
      <c r="G45" s="12">
        <f t="shared" si="0"/>
        <v>29252</v>
      </c>
      <c r="H45" s="12">
        <f t="shared" si="2"/>
        <v>14407</v>
      </c>
      <c r="I45" s="13">
        <v>43659</v>
      </c>
    </row>
    <row r="46" spans="1:10" ht="34" hidden="1" x14ac:dyDescent="0.2">
      <c r="A46" s="8">
        <v>5100</v>
      </c>
      <c r="B46" s="8">
        <v>2200</v>
      </c>
      <c r="C46" s="8">
        <v>1</v>
      </c>
      <c r="D46" s="9">
        <v>3</v>
      </c>
      <c r="E46" s="10" t="s">
        <v>275</v>
      </c>
      <c r="F46" s="11"/>
      <c r="G46" s="12">
        <f t="shared" si="0"/>
        <v>10932</v>
      </c>
      <c r="H46" s="12">
        <f t="shared" si="2"/>
        <v>5384</v>
      </c>
      <c r="I46" s="13">
        <v>16316</v>
      </c>
    </row>
    <row r="47" spans="1:10" ht="34" hidden="1" x14ac:dyDescent="0.2">
      <c r="A47" s="8">
        <v>5100</v>
      </c>
      <c r="B47" s="8">
        <v>2200</v>
      </c>
      <c r="C47" s="8">
        <v>1</v>
      </c>
      <c r="D47" s="9">
        <v>3</v>
      </c>
      <c r="E47" s="10" t="s">
        <v>276</v>
      </c>
      <c r="F47" s="11"/>
      <c r="G47" s="12">
        <f t="shared" si="0"/>
        <v>2557</v>
      </c>
      <c r="H47" s="12">
        <f t="shared" si="2"/>
        <v>1259</v>
      </c>
      <c r="I47" s="13">
        <v>3816</v>
      </c>
    </row>
    <row r="48" spans="1:10" s="6" customFormat="1" ht="51" hidden="1" x14ac:dyDescent="0.2">
      <c r="A48" s="20">
        <v>5200</v>
      </c>
      <c r="B48" s="20">
        <v>120</v>
      </c>
      <c r="C48" s="20" t="s">
        <v>16</v>
      </c>
      <c r="D48" s="21">
        <v>2</v>
      </c>
      <c r="E48" s="22" t="s">
        <v>295</v>
      </c>
      <c r="F48" s="5"/>
      <c r="G48" s="12">
        <f t="shared" si="0"/>
        <v>235803</v>
      </c>
      <c r="H48" s="12">
        <f t="shared" si="2"/>
        <v>116142</v>
      </c>
      <c r="I48" s="23">
        <v>351945</v>
      </c>
    </row>
    <row r="49" spans="1:10" s="6" customFormat="1" ht="68" hidden="1" x14ac:dyDescent="0.2">
      <c r="A49" s="20">
        <v>5200</v>
      </c>
      <c r="B49" s="20">
        <v>130</v>
      </c>
      <c r="C49" s="20">
        <v>1</v>
      </c>
      <c r="D49" s="21">
        <v>4</v>
      </c>
      <c r="E49" s="22" t="s">
        <v>296</v>
      </c>
      <c r="F49" s="5">
        <v>4</v>
      </c>
      <c r="G49" s="12">
        <f t="shared" si="0"/>
        <v>351369</v>
      </c>
      <c r="H49" s="12">
        <f t="shared" si="2"/>
        <v>173063</v>
      </c>
      <c r="I49" s="23">
        <v>524432</v>
      </c>
    </row>
    <row r="50" spans="1:10" s="6" customFormat="1" ht="51" hidden="1" x14ac:dyDescent="0.2">
      <c r="A50" s="20">
        <v>5200</v>
      </c>
      <c r="B50" s="20">
        <v>150</v>
      </c>
      <c r="C50" s="20" t="s">
        <v>16</v>
      </c>
      <c r="D50" s="21">
        <v>2</v>
      </c>
      <c r="E50" s="22" t="s">
        <v>297</v>
      </c>
      <c r="F50" s="5"/>
      <c r="G50" s="12">
        <f t="shared" si="0"/>
        <v>122704</v>
      </c>
      <c r="H50" s="12">
        <f t="shared" si="2"/>
        <v>60437</v>
      </c>
      <c r="I50" s="23">
        <v>183141</v>
      </c>
    </row>
    <row r="51" spans="1:10" s="6" customFormat="1" ht="17" hidden="1" x14ac:dyDescent="0.2">
      <c r="A51" s="8" t="s">
        <v>100</v>
      </c>
      <c r="B51" s="8">
        <v>150</v>
      </c>
      <c r="C51" s="8" t="s">
        <v>49</v>
      </c>
      <c r="D51" s="9">
        <v>14</v>
      </c>
      <c r="E51" s="10" t="s">
        <v>101</v>
      </c>
      <c r="F51" s="52"/>
      <c r="G51" s="12">
        <f t="shared" si="0"/>
        <v>561940</v>
      </c>
      <c r="H51" s="12">
        <f t="shared" si="2"/>
        <v>276776</v>
      </c>
      <c r="I51" s="13">
        <f>419358*2</f>
        <v>838716</v>
      </c>
    </row>
    <row r="52" spans="1:10" s="6" customFormat="1" ht="17" hidden="1" x14ac:dyDescent="0.2">
      <c r="A52" s="8" t="s">
        <v>100</v>
      </c>
      <c r="B52" s="8">
        <v>160</v>
      </c>
      <c r="C52" s="8" t="s">
        <v>49</v>
      </c>
      <c r="D52" s="9">
        <v>14</v>
      </c>
      <c r="E52" s="10" t="s">
        <v>102</v>
      </c>
      <c r="F52" s="52"/>
      <c r="G52" s="12">
        <f t="shared" si="0"/>
        <v>1905</v>
      </c>
      <c r="H52" s="12">
        <f t="shared" si="2"/>
        <v>939</v>
      </c>
      <c r="I52" s="13">
        <f>1422*2</f>
        <v>2844</v>
      </c>
    </row>
    <row r="53" spans="1:10" s="6" customFormat="1" ht="17" hidden="1" x14ac:dyDescent="0.2">
      <c r="A53" s="20">
        <v>5200</v>
      </c>
      <c r="B53" s="20">
        <v>210</v>
      </c>
      <c r="C53" s="20" t="s">
        <v>16</v>
      </c>
      <c r="D53" s="21">
        <v>2</v>
      </c>
      <c r="E53" s="22" t="s">
        <v>299</v>
      </c>
      <c r="F53" s="5"/>
      <c r="G53" s="12">
        <f t="shared" si="0"/>
        <v>40906</v>
      </c>
      <c r="H53" s="12">
        <f t="shared" si="2"/>
        <v>20148</v>
      </c>
      <c r="I53" s="23">
        <v>61054</v>
      </c>
    </row>
    <row r="54" spans="1:10" s="6" customFormat="1" ht="17" hidden="1" x14ac:dyDescent="0.2">
      <c r="A54" s="20">
        <v>5200</v>
      </c>
      <c r="B54" s="20">
        <v>210</v>
      </c>
      <c r="C54" s="20">
        <v>1</v>
      </c>
      <c r="D54" s="21">
        <v>4</v>
      </c>
      <c r="E54" s="22" t="s">
        <v>298</v>
      </c>
      <c r="F54" s="5"/>
      <c r="G54" s="12">
        <f t="shared" si="0"/>
        <v>37281</v>
      </c>
      <c r="H54" s="12">
        <f t="shared" si="2"/>
        <v>18362</v>
      </c>
      <c r="I54" s="23">
        <v>55643</v>
      </c>
    </row>
    <row r="55" spans="1:10" s="6" customFormat="1" ht="17" hidden="1" x14ac:dyDescent="0.2">
      <c r="A55" s="20">
        <v>5200</v>
      </c>
      <c r="B55" s="20">
        <v>220</v>
      </c>
      <c r="C55" s="20" t="s">
        <v>16</v>
      </c>
      <c r="D55" s="21">
        <v>2</v>
      </c>
      <c r="E55" s="22" t="s">
        <v>301</v>
      </c>
      <c r="F55" s="5"/>
      <c r="G55" s="12">
        <f t="shared" si="0"/>
        <v>22228</v>
      </c>
      <c r="H55" s="12">
        <f t="shared" si="2"/>
        <v>10948</v>
      </c>
      <c r="I55" s="23">
        <v>33176</v>
      </c>
    </row>
    <row r="56" spans="1:10" s="6" customFormat="1" ht="17" hidden="1" x14ac:dyDescent="0.2">
      <c r="A56" s="20">
        <v>5200</v>
      </c>
      <c r="B56" s="20">
        <v>220</v>
      </c>
      <c r="C56" s="20" t="s">
        <v>16</v>
      </c>
      <c r="D56" s="21">
        <v>2</v>
      </c>
      <c r="E56" s="22" t="s">
        <v>302</v>
      </c>
      <c r="F56" s="5"/>
      <c r="G56" s="12">
        <f t="shared" si="0"/>
        <v>5199</v>
      </c>
      <c r="H56" s="12">
        <f t="shared" si="2"/>
        <v>2560</v>
      </c>
      <c r="I56" s="23">
        <v>7759</v>
      </c>
    </row>
    <row r="57" spans="1:10" s="6" customFormat="1" ht="17" hidden="1" x14ac:dyDescent="0.2">
      <c r="A57" s="20">
        <v>5200</v>
      </c>
      <c r="B57" s="20">
        <v>220</v>
      </c>
      <c r="C57" s="20">
        <v>1</v>
      </c>
      <c r="D57" s="21">
        <v>4</v>
      </c>
      <c r="E57" s="22" t="s">
        <v>17</v>
      </c>
      <c r="F57" s="5"/>
      <c r="G57" s="12">
        <f t="shared" si="0"/>
        <v>21785</v>
      </c>
      <c r="H57" s="12">
        <f t="shared" si="2"/>
        <v>10730</v>
      </c>
      <c r="I57" s="23">
        <v>32515</v>
      </c>
    </row>
    <row r="58" spans="1:10" s="6" customFormat="1" ht="34" hidden="1" x14ac:dyDescent="0.2">
      <c r="A58" s="20">
        <v>5200</v>
      </c>
      <c r="B58" s="20">
        <v>220</v>
      </c>
      <c r="C58" s="20">
        <v>1</v>
      </c>
      <c r="D58" s="21">
        <v>4</v>
      </c>
      <c r="E58" s="22" t="s">
        <v>300</v>
      </c>
      <c r="F58" s="5"/>
      <c r="G58" s="12">
        <f t="shared" si="0"/>
        <v>5095</v>
      </c>
      <c r="H58" s="12">
        <f t="shared" si="2"/>
        <v>2510</v>
      </c>
      <c r="I58" s="23">
        <v>7605</v>
      </c>
    </row>
    <row r="59" spans="1:10" s="6" customFormat="1" ht="34" hidden="1" x14ac:dyDescent="0.2">
      <c r="A59" s="8" t="s">
        <v>100</v>
      </c>
      <c r="B59" s="8">
        <v>220</v>
      </c>
      <c r="C59" s="8" t="s">
        <v>49</v>
      </c>
      <c r="D59" s="9">
        <v>14</v>
      </c>
      <c r="E59" s="10" t="s">
        <v>453</v>
      </c>
      <c r="F59" s="11"/>
      <c r="G59" s="12">
        <f t="shared" si="0"/>
        <v>43014</v>
      </c>
      <c r="H59" s="12">
        <f t="shared" si="2"/>
        <v>21186</v>
      </c>
      <c r="I59" s="13">
        <f>32100*2</f>
        <v>64200</v>
      </c>
    </row>
    <row r="60" spans="1:10" s="6" customFormat="1" ht="34" hidden="1" x14ac:dyDescent="0.2">
      <c r="A60" s="21">
        <v>5200</v>
      </c>
      <c r="B60" s="20">
        <v>231</v>
      </c>
      <c r="C60" s="20">
        <v>1</v>
      </c>
      <c r="D60" s="21">
        <v>4</v>
      </c>
      <c r="E60" s="22" t="s">
        <v>303</v>
      </c>
      <c r="F60" s="5"/>
      <c r="G60" s="12">
        <f t="shared" si="0"/>
        <v>82994</v>
      </c>
      <c r="H60" s="12">
        <f t="shared" si="2"/>
        <v>40877</v>
      </c>
      <c r="I60" s="23">
        <v>123871</v>
      </c>
    </row>
    <row r="61" spans="1:10" s="6" customFormat="1" ht="34" hidden="1" x14ac:dyDescent="0.2">
      <c r="A61" s="21">
        <v>5200</v>
      </c>
      <c r="B61" s="20">
        <v>232</v>
      </c>
      <c r="C61" s="20">
        <v>1</v>
      </c>
      <c r="D61" s="21">
        <v>4</v>
      </c>
      <c r="E61" s="22" t="s">
        <v>304</v>
      </c>
      <c r="F61" s="5"/>
      <c r="G61" s="12">
        <f t="shared" si="0"/>
        <v>914</v>
      </c>
      <c r="H61" s="12">
        <f t="shared" si="2"/>
        <v>450</v>
      </c>
      <c r="I61" s="23">
        <v>1364</v>
      </c>
    </row>
    <row r="62" spans="1:10" ht="34" hidden="1" x14ac:dyDescent="0.2">
      <c r="A62" s="21">
        <v>5200</v>
      </c>
      <c r="B62" s="20">
        <v>240</v>
      </c>
      <c r="C62" s="20" t="s">
        <v>16</v>
      </c>
      <c r="D62" s="21">
        <v>2</v>
      </c>
      <c r="E62" s="22" t="s">
        <v>306</v>
      </c>
      <c r="F62" s="5"/>
      <c r="G62" s="12">
        <f t="shared" si="0"/>
        <v>4051</v>
      </c>
      <c r="H62" s="12">
        <f t="shared" si="2"/>
        <v>1996</v>
      </c>
      <c r="I62" s="23">
        <v>6047</v>
      </c>
    </row>
    <row r="63" spans="1:10" ht="34" hidden="1" x14ac:dyDescent="0.2">
      <c r="A63" s="21">
        <v>5200</v>
      </c>
      <c r="B63" s="20">
        <v>240</v>
      </c>
      <c r="C63" s="20">
        <v>1</v>
      </c>
      <c r="D63" s="21">
        <v>4</v>
      </c>
      <c r="E63" s="22" t="s">
        <v>305</v>
      </c>
      <c r="F63" s="5"/>
      <c r="G63" s="12">
        <f t="shared" si="0"/>
        <v>4604</v>
      </c>
      <c r="H63" s="12">
        <f t="shared" si="2"/>
        <v>2267</v>
      </c>
      <c r="I63" s="23">
        <v>6871</v>
      </c>
    </row>
    <row r="64" spans="1:10" s="15" customFormat="1" ht="34" hidden="1" x14ac:dyDescent="0.2">
      <c r="A64" s="51" t="s">
        <v>100</v>
      </c>
      <c r="B64" s="8">
        <v>240</v>
      </c>
      <c r="C64" s="8" t="s">
        <v>49</v>
      </c>
      <c r="D64" s="9">
        <v>14</v>
      </c>
      <c r="E64" s="10" t="s">
        <v>454</v>
      </c>
      <c r="F64" s="11"/>
      <c r="G64" s="12">
        <f t="shared" si="0"/>
        <v>3186</v>
      </c>
      <c r="H64" s="12">
        <f t="shared" si="2"/>
        <v>1569</v>
      </c>
      <c r="I64" s="13">
        <v>4755</v>
      </c>
      <c r="J64" s="14"/>
    </row>
    <row r="65" spans="1:10" s="15" customFormat="1" ht="102" hidden="1" x14ac:dyDescent="0.2">
      <c r="A65" s="26">
        <v>5200</v>
      </c>
      <c r="B65" s="20">
        <v>310</v>
      </c>
      <c r="C65" s="20" t="s">
        <v>16</v>
      </c>
      <c r="D65" s="21">
        <v>1</v>
      </c>
      <c r="E65" s="22" t="s">
        <v>307</v>
      </c>
      <c r="F65" s="5"/>
      <c r="G65" s="12">
        <f t="shared" si="0"/>
        <v>19296</v>
      </c>
      <c r="H65" s="12">
        <f t="shared" si="2"/>
        <v>9504</v>
      </c>
      <c r="I65" s="23">
        <v>28800</v>
      </c>
      <c r="J65" s="14"/>
    </row>
    <row r="66" spans="1:10" ht="34" hidden="1" x14ac:dyDescent="0.2">
      <c r="A66" s="20">
        <v>5200</v>
      </c>
      <c r="B66" s="20">
        <v>369</v>
      </c>
      <c r="C66" s="20" t="s">
        <v>16</v>
      </c>
      <c r="D66" s="21">
        <v>3</v>
      </c>
      <c r="E66" s="24" t="s">
        <v>308</v>
      </c>
      <c r="F66" s="5"/>
      <c r="G66" s="12">
        <f t="shared" ref="G66:G129" si="3">ROUND(I66*0.67,0)</f>
        <v>14070</v>
      </c>
      <c r="H66" s="12">
        <f t="shared" si="2"/>
        <v>6930</v>
      </c>
      <c r="I66" s="23">
        <v>21000</v>
      </c>
    </row>
    <row r="67" spans="1:10" ht="17" hidden="1" x14ac:dyDescent="0.2">
      <c r="A67" s="20">
        <v>5200</v>
      </c>
      <c r="B67" s="20">
        <v>510</v>
      </c>
      <c r="C67" s="20" t="s">
        <v>16</v>
      </c>
      <c r="D67" s="21">
        <v>3</v>
      </c>
      <c r="E67" s="24" t="s">
        <v>309</v>
      </c>
      <c r="F67" s="5"/>
      <c r="G67" s="12">
        <f t="shared" si="3"/>
        <v>14070</v>
      </c>
      <c r="H67" s="12">
        <f t="shared" si="2"/>
        <v>6930</v>
      </c>
      <c r="I67" s="23">
        <v>21000</v>
      </c>
    </row>
    <row r="68" spans="1:10" ht="51" hidden="1" x14ac:dyDescent="0.2">
      <c r="A68" s="21">
        <v>5200</v>
      </c>
      <c r="B68" s="20">
        <v>510</v>
      </c>
      <c r="C68" s="20" t="s">
        <v>18</v>
      </c>
      <c r="D68" s="21">
        <v>5</v>
      </c>
      <c r="E68" s="25" t="s">
        <v>19</v>
      </c>
      <c r="F68" s="5"/>
      <c r="G68" s="12">
        <f t="shared" si="3"/>
        <v>33500</v>
      </c>
      <c r="H68" s="12">
        <f t="shared" si="2"/>
        <v>16500</v>
      </c>
      <c r="I68" s="23">
        <v>50000</v>
      </c>
    </row>
    <row r="69" spans="1:10" ht="34" hidden="1" x14ac:dyDescent="0.2">
      <c r="A69" s="20">
        <v>5200</v>
      </c>
      <c r="B69" s="20">
        <v>590</v>
      </c>
      <c r="C69" s="20" t="s">
        <v>16</v>
      </c>
      <c r="D69" s="21">
        <v>3</v>
      </c>
      <c r="E69" s="24" t="s">
        <v>310</v>
      </c>
      <c r="F69" s="5"/>
      <c r="G69" s="12">
        <f t="shared" si="3"/>
        <v>14070</v>
      </c>
      <c r="H69" s="12">
        <f t="shared" si="2"/>
        <v>6930</v>
      </c>
      <c r="I69" s="23">
        <v>21000</v>
      </c>
    </row>
    <row r="70" spans="1:10" ht="34" hidden="1" x14ac:dyDescent="0.2">
      <c r="A70" s="8">
        <v>5300</v>
      </c>
      <c r="B70" s="8">
        <v>120</v>
      </c>
      <c r="C70" s="8" t="s">
        <v>29</v>
      </c>
      <c r="D70" s="9">
        <v>5</v>
      </c>
      <c r="E70" s="1" t="s">
        <v>257</v>
      </c>
      <c r="F70" s="11"/>
      <c r="G70" s="12">
        <f t="shared" si="3"/>
        <v>644312</v>
      </c>
      <c r="H70" s="12">
        <f t="shared" si="2"/>
        <v>317347</v>
      </c>
      <c r="I70" s="13">
        <v>961659</v>
      </c>
    </row>
    <row r="71" spans="1:10" ht="17" hidden="1" x14ac:dyDescent="0.2">
      <c r="A71" s="8" t="s">
        <v>103</v>
      </c>
      <c r="B71" s="8">
        <v>120</v>
      </c>
      <c r="C71" s="8" t="s">
        <v>49</v>
      </c>
      <c r="D71" s="9">
        <v>14</v>
      </c>
      <c r="E71" s="10" t="s">
        <v>104</v>
      </c>
      <c r="F71" s="52"/>
      <c r="G71" s="12">
        <f t="shared" si="3"/>
        <v>162860</v>
      </c>
      <c r="H71" s="12">
        <f t="shared" si="2"/>
        <v>80214</v>
      </c>
      <c r="I71" s="13">
        <f>121537*2</f>
        <v>243074</v>
      </c>
    </row>
    <row r="72" spans="1:10" ht="17" hidden="1" x14ac:dyDescent="0.2">
      <c r="A72" s="8" t="s">
        <v>103</v>
      </c>
      <c r="B72" s="8">
        <v>160</v>
      </c>
      <c r="C72" s="8" t="s">
        <v>49</v>
      </c>
      <c r="D72" s="9">
        <v>14</v>
      </c>
      <c r="E72" s="10" t="s">
        <v>105</v>
      </c>
      <c r="F72" s="52"/>
      <c r="G72" s="12">
        <f t="shared" si="3"/>
        <v>21905</v>
      </c>
      <c r="H72" s="12">
        <f t="shared" si="2"/>
        <v>10789</v>
      </c>
      <c r="I72" s="13">
        <f>16347*2</f>
        <v>32694</v>
      </c>
    </row>
    <row r="73" spans="1:10" ht="17" hidden="1" x14ac:dyDescent="0.2">
      <c r="A73" s="9">
        <v>5300</v>
      </c>
      <c r="B73" s="8">
        <v>210</v>
      </c>
      <c r="C73" s="8" t="s">
        <v>29</v>
      </c>
      <c r="D73" s="9">
        <v>5</v>
      </c>
      <c r="E73" s="10" t="s">
        <v>463</v>
      </c>
      <c r="F73" s="11"/>
      <c r="G73" s="12">
        <f t="shared" si="3"/>
        <v>67156</v>
      </c>
      <c r="H73" s="12">
        <f t="shared" si="2"/>
        <v>33077</v>
      </c>
      <c r="I73" s="13">
        <v>100233</v>
      </c>
    </row>
    <row r="74" spans="1:10" ht="17" hidden="1" x14ac:dyDescent="0.2">
      <c r="A74" s="9">
        <v>5300</v>
      </c>
      <c r="B74" s="8">
        <v>220</v>
      </c>
      <c r="C74" s="8" t="s">
        <v>29</v>
      </c>
      <c r="D74" s="9">
        <v>5</v>
      </c>
      <c r="E74" s="10" t="s">
        <v>464</v>
      </c>
      <c r="F74" s="11"/>
      <c r="G74" s="12">
        <f t="shared" si="3"/>
        <v>38482</v>
      </c>
      <c r="H74" s="12">
        <f t="shared" si="2"/>
        <v>18954</v>
      </c>
      <c r="I74" s="13">
        <v>57436</v>
      </c>
    </row>
    <row r="75" spans="1:10" s="6" customFormat="1" ht="17" hidden="1" x14ac:dyDescent="0.2">
      <c r="A75" s="8">
        <v>5300</v>
      </c>
      <c r="B75" s="8">
        <v>220</v>
      </c>
      <c r="C75" s="8" t="s">
        <v>29</v>
      </c>
      <c r="D75" s="9">
        <v>5</v>
      </c>
      <c r="E75" s="10" t="s">
        <v>465</v>
      </c>
      <c r="F75" s="11"/>
      <c r="G75" s="12">
        <f t="shared" si="3"/>
        <v>9001</v>
      </c>
      <c r="H75" s="12">
        <f t="shared" si="2"/>
        <v>4434</v>
      </c>
      <c r="I75" s="13">
        <v>13435</v>
      </c>
    </row>
    <row r="76" spans="1:10" s="6" customFormat="1" ht="17" hidden="1" x14ac:dyDescent="0.2">
      <c r="A76" s="8" t="s">
        <v>103</v>
      </c>
      <c r="B76" s="8">
        <v>220</v>
      </c>
      <c r="C76" s="8" t="s">
        <v>49</v>
      </c>
      <c r="D76" s="9">
        <v>14</v>
      </c>
      <c r="E76" s="10" t="s">
        <v>106</v>
      </c>
      <c r="F76" s="52"/>
      <c r="G76" s="12">
        <f t="shared" si="3"/>
        <v>14137</v>
      </c>
      <c r="H76" s="12">
        <f t="shared" si="2"/>
        <v>6963</v>
      </c>
      <c r="I76" s="13">
        <f>10550*2</f>
        <v>21100</v>
      </c>
    </row>
    <row r="77" spans="1:10" s="6" customFormat="1" ht="17" hidden="1" x14ac:dyDescent="0.2">
      <c r="A77" s="9">
        <v>5300</v>
      </c>
      <c r="B77" s="8">
        <v>231</v>
      </c>
      <c r="C77" s="8" t="s">
        <v>29</v>
      </c>
      <c r="D77" s="9">
        <v>5</v>
      </c>
      <c r="E77" s="10" t="s">
        <v>466</v>
      </c>
      <c r="F77" s="11"/>
      <c r="G77" s="12">
        <f t="shared" si="3"/>
        <v>75355</v>
      </c>
      <c r="H77" s="12">
        <f t="shared" si="2"/>
        <v>37115</v>
      </c>
      <c r="I77" s="13">
        <v>112470</v>
      </c>
    </row>
    <row r="78" spans="1:10" s="6" customFormat="1" ht="17" hidden="1" x14ac:dyDescent="0.2">
      <c r="A78" s="8">
        <v>5300</v>
      </c>
      <c r="B78" s="8">
        <v>232</v>
      </c>
      <c r="C78" s="8" t="s">
        <v>29</v>
      </c>
      <c r="D78" s="9">
        <v>5</v>
      </c>
      <c r="E78" s="10" t="s">
        <v>467</v>
      </c>
      <c r="F78" s="11"/>
      <c r="G78" s="12">
        <f t="shared" si="3"/>
        <v>1613</v>
      </c>
      <c r="H78" s="12">
        <f t="shared" si="2"/>
        <v>794</v>
      </c>
      <c r="I78" s="13">
        <v>2407</v>
      </c>
    </row>
    <row r="79" spans="1:10" s="6" customFormat="1" ht="17" hidden="1" x14ac:dyDescent="0.2">
      <c r="A79" s="8">
        <v>5300</v>
      </c>
      <c r="B79" s="8">
        <v>240</v>
      </c>
      <c r="C79" s="8" t="s">
        <v>29</v>
      </c>
      <c r="D79" s="9">
        <v>5</v>
      </c>
      <c r="E79" s="10" t="s">
        <v>468</v>
      </c>
      <c r="F79" s="11"/>
      <c r="G79" s="12">
        <f t="shared" si="3"/>
        <v>4718</v>
      </c>
      <c r="H79" s="12">
        <f t="shared" si="2"/>
        <v>2324</v>
      </c>
      <c r="I79" s="13">
        <v>7042</v>
      </c>
    </row>
    <row r="80" spans="1:10" s="6" customFormat="1" ht="17" hidden="1" x14ac:dyDescent="0.2">
      <c r="A80" s="8" t="s">
        <v>103</v>
      </c>
      <c r="B80" s="8">
        <v>240</v>
      </c>
      <c r="C80" s="8" t="s">
        <v>49</v>
      </c>
      <c r="D80" s="9">
        <v>14</v>
      </c>
      <c r="E80" s="10" t="s">
        <v>107</v>
      </c>
      <c r="F80" s="52"/>
      <c r="G80" s="12">
        <f t="shared" si="3"/>
        <v>2088</v>
      </c>
      <c r="H80" s="12">
        <f t="shared" si="2"/>
        <v>1028</v>
      </c>
      <c r="I80" s="13">
        <f>1558*2</f>
        <v>3116</v>
      </c>
    </row>
    <row r="81" spans="1:9" s="6" customFormat="1" ht="34" hidden="1" x14ac:dyDescent="0.2">
      <c r="A81" s="20">
        <v>5300</v>
      </c>
      <c r="B81" s="20">
        <v>369</v>
      </c>
      <c r="C81" s="20" t="s">
        <v>20</v>
      </c>
      <c r="D81" s="21">
        <v>1</v>
      </c>
      <c r="E81" s="22" t="s">
        <v>311</v>
      </c>
      <c r="F81" s="5"/>
      <c r="G81" s="12">
        <f t="shared" si="3"/>
        <v>286961</v>
      </c>
      <c r="H81" s="12">
        <f t="shared" si="2"/>
        <v>141339</v>
      </c>
      <c r="I81" s="23">
        <v>428300</v>
      </c>
    </row>
    <row r="82" spans="1:9" s="6" customFormat="1" ht="17" hidden="1" x14ac:dyDescent="0.2">
      <c r="A82" s="8" t="s">
        <v>108</v>
      </c>
      <c r="B82" s="8">
        <v>120</v>
      </c>
      <c r="C82" s="8" t="s">
        <v>49</v>
      </c>
      <c r="D82" s="9">
        <v>14</v>
      </c>
      <c r="E82" s="10" t="s">
        <v>109</v>
      </c>
      <c r="F82" s="52"/>
      <c r="G82" s="12">
        <f t="shared" si="3"/>
        <v>9525</v>
      </c>
      <c r="H82" s="12">
        <f t="shared" si="2"/>
        <v>4691</v>
      </c>
      <c r="I82" s="13">
        <f>7108*2</f>
        <v>14216</v>
      </c>
    </row>
    <row r="83" spans="1:9" s="6" customFormat="1" ht="17" hidden="1" x14ac:dyDescent="0.2">
      <c r="A83" s="8" t="s">
        <v>108</v>
      </c>
      <c r="B83" s="8">
        <v>150</v>
      </c>
      <c r="C83" s="8" t="s">
        <v>49</v>
      </c>
      <c r="D83" s="9">
        <v>14</v>
      </c>
      <c r="E83" s="10" t="s">
        <v>110</v>
      </c>
      <c r="F83" s="52"/>
      <c r="G83" s="12">
        <f t="shared" si="3"/>
        <v>7619</v>
      </c>
      <c r="H83" s="12">
        <f t="shared" si="2"/>
        <v>3753</v>
      </c>
      <c r="I83" s="13">
        <f>5686*2</f>
        <v>11372</v>
      </c>
    </row>
    <row r="84" spans="1:9" s="6" customFormat="1" ht="17" hidden="1" x14ac:dyDescent="0.2">
      <c r="A84" s="8" t="s">
        <v>108</v>
      </c>
      <c r="B84" s="8">
        <v>220</v>
      </c>
      <c r="C84" s="8" t="s">
        <v>49</v>
      </c>
      <c r="D84" s="9">
        <v>14</v>
      </c>
      <c r="E84" s="10" t="s">
        <v>111</v>
      </c>
      <c r="F84" s="52"/>
      <c r="G84" s="12">
        <f t="shared" si="3"/>
        <v>1682</v>
      </c>
      <c r="H84" s="12">
        <f t="shared" si="2"/>
        <v>829</v>
      </c>
      <c r="I84" s="13">
        <f>9*279</f>
        <v>2511</v>
      </c>
    </row>
    <row r="85" spans="1:9" s="6" customFormat="1" ht="17" hidden="1" x14ac:dyDescent="0.2">
      <c r="A85" s="8" t="s">
        <v>108</v>
      </c>
      <c r="B85" s="8">
        <v>240</v>
      </c>
      <c r="C85" s="8" t="s">
        <v>49</v>
      </c>
      <c r="D85" s="9">
        <v>14</v>
      </c>
      <c r="E85" s="10" t="s">
        <v>112</v>
      </c>
      <c r="F85" s="52"/>
      <c r="G85" s="12">
        <f t="shared" si="3"/>
        <v>194</v>
      </c>
      <c r="H85" s="12">
        <f t="shared" si="2"/>
        <v>96</v>
      </c>
      <c r="I85" s="13">
        <f>145*2</f>
        <v>290</v>
      </c>
    </row>
    <row r="86" spans="1:9" s="6" customFormat="1" ht="34" hidden="1" x14ac:dyDescent="0.2">
      <c r="A86" s="20">
        <v>5500</v>
      </c>
      <c r="B86" s="20">
        <v>120</v>
      </c>
      <c r="C86" s="20">
        <v>1</v>
      </c>
      <c r="D86" s="21">
        <v>7</v>
      </c>
      <c r="E86" s="22" t="s">
        <v>21</v>
      </c>
      <c r="F86" s="5">
        <v>7</v>
      </c>
      <c r="G86" s="12">
        <f t="shared" si="3"/>
        <v>441287</v>
      </c>
      <c r="H86" s="12">
        <f t="shared" si="2"/>
        <v>217350</v>
      </c>
      <c r="I86" s="23">
        <v>658637</v>
      </c>
    </row>
    <row r="87" spans="1:9" s="6" customFormat="1" ht="17" hidden="1" x14ac:dyDescent="0.2">
      <c r="A87" s="8" t="s">
        <v>113</v>
      </c>
      <c r="B87" s="8">
        <v>130</v>
      </c>
      <c r="C87" s="8" t="s">
        <v>49</v>
      </c>
      <c r="D87" s="9">
        <v>14</v>
      </c>
      <c r="E87" s="10" t="s">
        <v>114</v>
      </c>
      <c r="F87" s="52"/>
      <c r="G87" s="12">
        <f t="shared" si="3"/>
        <v>3810</v>
      </c>
      <c r="H87" s="12">
        <f t="shared" si="2"/>
        <v>1876</v>
      </c>
      <c r="I87" s="13">
        <f>2843*2</f>
        <v>5686</v>
      </c>
    </row>
    <row r="88" spans="1:9" s="6" customFormat="1" ht="51" hidden="1" x14ac:dyDescent="0.2">
      <c r="A88" s="8">
        <v>5500</v>
      </c>
      <c r="B88" s="8">
        <v>150</v>
      </c>
      <c r="C88" s="8">
        <v>1</v>
      </c>
      <c r="D88" s="9">
        <v>8</v>
      </c>
      <c r="E88" s="10" t="s">
        <v>312</v>
      </c>
      <c r="F88" s="11">
        <v>7</v>
      </c>
      <c r="G88" s="12">
        <f t="shared" si="3"/>
        <v>177765</v>
      </c>
      <c r="H88" s="12">
        <f t="shared" si="2"/>
        <v>87556</v>
      </c>
      <c r="I88" s="13">
        <v>265321</v>
      </c>
    </row>
    <row r="89" spans="1:9" s="6" customFormat="1" ht="17" hidden="1" x14ac:dyDescent="0.2">
      <c r="A89" s="8" t="s">
        <v>113</v>
      </c>
      <c r="B89" s="8">
        <v>150</v>
      </c>
      <c r="C89" s="8" t="s">
        <v>49</v>
      </c>
      <c r="D89" s="9">
        <v>14</v>
      </c>
      <c r="E89" s="10" t="s">
        <v>115</v>
      </c>
      <c r="F89" s="11"/>
      <c r="G89" s="12">
        <f t="shared" si="3"/>
        <v>7619</v>
      </c>
      <c r="H89" s="12">
        <f t="shared" si="2"/>
        <v>3753</v>
      </c>
      <c r="I89" s="13">
        <f>5686*2</f>
        <v>11372</v>
      </c>
    </row>
    <row r="90" spans="1:9" s="6" customFormat="1" ht="17" hidden="1" x14ac:dyDescent="0.2">
      <c r="A90" s="8" t="s">
        <v>113</v>
      </c>
      <c r="B90" s="8">
        <v>160</v>
      </c>
      <c r="C90" s="8" t="s">
        <v>49</v>
      </c>
      <c r="D90" s="9">
        <v>14</v>
      </c>
      <c r="E90" s="10" t="s">
        <v>116</v>
      </c>
      <c r="F90" s="11"/>
      <c r="G90" s="12">
        <f t="shared" si="3"/>
        <v>9525</v>
      </c>
      <c r="H90" s="12">
        <f t="shared" si="2"/>
        <v>4691</v>
      </c>
      <c r="I90" s="13">
        <f>7108*2</f>
        <v>14216</v>
      </c>
    </row>
    <row r="91" spans="1:9" s="6" customFormat="1" ht="17" hidden="1" x14ac:dyDescent="0.2">
      <c r="A91" s="20">
        <v>5500</v>
      </c>
      <c r="B91" s="20">
        <v>210</v>
      </c>
      <c r="C91" s="20">
        <v>1</v>
      </c>
      <c r="D91" s="21">
        <v>7</v>
      </c>
      <c r="E91" s="22" t="s">
        <v>313</v>
      </c>
      <c r="F91" s="5"/>
      <c r="G91" s="12">
        <f t="shared" si="3"/>
        <v>46821</v>
      </c>
      <c r="H91" s="12">
        <f t="shared" si="2"/>
        <v>23061</v>
      </c>
      <c r="I91" s="23">
        <v>69882</v>
      </c>
    </row>
    <row r="92" spans="1:9" s="6" customFormat="1" ht="17" hidden="1" x14ac:dyDescent="0.2">
      <c r="A92" s="8">
        <v>5500</v>
      </c>
      <c r="B92" s="8">
        <v>210</v>
      </c>
      <c r="C92" s="8">
        <v>1</v>
      </c>
      <c r="D92" s="9">
        <v>8</v>
      </c>
      <c r="E92" s="10" t="s">
        <v>314</v>
      </c>
      <c r="F92" s="11"/>
      <c r="G92" s="12">
        <f t="shared" si="3"/>
        <v>18861</v>
      </c>
      <c r="H92" s="12">
        <f t="shared" si="2"/>
        <v>9290</v>
      </c>
      <c r="I92" s="13">
        <v>28151</v>
      </c>
    </row>
    <row r="93" spans="1:9" s="6" customFormat="1" ht="17" hidden="1" x14ac:dyDescent="0.2">
      <c r="A93" s="20">
        <v>5500</v>
      </c>
      <c r="B93" s="20">
        <v>220</v>
      </c>
      <c r="C93" s="20">
        <v>1</v>
      </c>
      <c r="D93" s="21">
        <v>7</v>
      </c>
      <c r="E93" s="22" t="s">
        <v>22</v>
      </c>
      <c r="F93" s="5"/>
      <c r="G93" s="12">
        <f t="shared" si="3"/>
        <v>27360</v>
      </c>
      <c r="H93" s="12">
        <f t="shared" si="2"/>
        <v>13476</v>
      </c>
      <c r="I93" s="23">
        <v>40836</v>
      </c>
    </row>
    <row r="94" spans="1:9" s="6" customFormat="1" ht="34" hidden="1" x14ac:dyDescent="0.2">
      <c r="A94" s="20">
        <v>5500</v>
      </c>
      <c r="B94" s="20">
        <v>220</v>
      </c>
      <c r="C94" s="20">
        <v>1</v>
      </c>
      <c r="D94" s="21">
        <v>7</v>
      </c>
      <c r="E94" s="22" t="s">
        <v>315</v>
      </c>
      <c r="F94" s="5"/>
      <c r="G94" s="12">
        <f t="shared" si="3"/>
        <v>6399</v>
      </c>
      <c r="H94" s="12">
        <f t="shared" si="2"/>
        <v>3152</v>
      </c>
      <c r="I94" s="23">
        <v>9551</v>
      </c>
    </row>
    <row r="95" spans="1:9" s="6" customFormat="1" ht="17" hidden="1" x14ac:dyDescent="0.2">
      <c r="A95" s="8">
        <v>5500</v>
      </c>
      <c r="B95" s="8">
        <v>220</v>
      </c>
      <c r="C95" s="8">
        <v>1</v>
      </c>
      <c r="D95" s="9">
        <v>8</v>
      </c>
      <c r="E95" s="10" t="s">
        <v>23</v>
      </c>
      <c r="F95" s="11"/>
      <c r="G95" s="12">
        <f t="shared" si="3"/>
        <v>11022</v>
      </c>
      <c r="H95" s="12">
        <f t="shared" si="2"/>
        <v>5429</v>
      </c>
      <c r="I95" s="13">
        <v>16450</v>
      </c>
    </row>
    <row r="96" spans="1:9" s="6" customFormat="1" ht="34" hidden="1" x14ac:dyDescent="0.2">
      <c r="A96" s="8">
        <v>5500</v>
      </c>
      <c r="B96" s="8">
        <v>220</v>
      </c>
      <c r="C96" s="8">
        <v>1</v>
      </c>
      <c r="D96" s="9">
        <v>8</v>
      </c>
      <c r="E96" s="10" t="s">
        <v>316</v>
      </c>
      <c r="F96" s="11"/>
      <c r="G96" s="12">
        <f t="shared" si="3"/>
        <v>2578</v>
      </c>
      <c r="H96" s="12">
        <f t="shared" si="2"/>
        <v>1270</v>
      </c>
      <c r="I96" s="13">
        <v>3848</v>
      </c>
    </row>
    <row r="97" spans="1:9" s="6" customFormat="1" ht="17" hidden="1" x14ac:dyDescent="0.2">
      <c r="A97" s="9" t="s">
        <v>113</v>
      </c>
      <c r="B97" s="8">
        <v>220</v>
      </c>
      <c r="C97" s="9" t="s">
        <v>49</v>
      </c>
      <c r="D97" s="9">
        <v>14</v>
      </c>
      <c r="E97" s="10" t="s">
        <v>117</v>
      </c>
      <c r="F97" s="52"/>
      <c r="G97" s="12">
        <f t="shared" si="3"/>
        <v>1604</v>
      </c>
      <c r="H97" s="12">
        <f t="shared" si="2"/>
        <v>790</v>
      </c>
      <c r="I97" s="13">
        <f>1197*2</f>
        <v>2394</v>
      </c>
    </row>
    <row r="98" spans="1:9" s="6" customFormat="1" ht="34" hidden="1" x14ac:dyDescent="0.2">
      <c r="A98" s="21">
        <v>5500</v>
      </c>
      <c r="B98" s="20">
        <v>231</v>
      </c>
      <c r="C98" s="21">
        <v>1</v>
      </c>
      <c r="D98" s="21">
        <v>7</v>
      </c>
      <c r="E98" s="22" t="s">
        <v>317</v>
      </c>
      <c r="F98" s="5"/>
      <c r="G98" s="12">
        <f t="shared" si="3"/>
        <v>104233</v>
      </c>
      <c r="H98" s="12">
        <f t="shared" si="2"/>
        <v>51338</v>
      </c>
      <c r="I98" s="23">
        <v>155571</v>
      </c>
    </row>
    <row r="99" spans="1:9" s="6" customFormat="1" ht="34" hidden="1" x14ac:dyDescent="0.2">
      <c r="A99" s="9">
        <v>5500</v>
      </c>
      <c r="B99" s="8">
        <v>231</v>
      </c>
      <c r="C99" s="9">
        <v>1</v>
      </c>
      <c r="D99" s="9">
        <v>8</v>
      </c>
      <c r="E99" s="10" t="s">
        <v>318</v>
      </c>
      <c r="F99" s="11"/>
      <c r="G99" s="12">
        <f t="shared" si="3"/>
        <v>41988</v>
      </c>
      <c r="H99" s="12">
        <f t="shared" si="2"/>
        <v>20681</v>
      </c>
      <c r="I99" s="13">
        <v>62669</v>
      </c>
    </row>
    <row r="100" spans="1:9" s="6" customFormat="1" ht="17" hidden="1" x14ac:dyDescent="0.2">
      <c r="A100" s="21">
        <v>5500</v>
      </c>
      <c r="B100" s="20">
        <v>232</v>
      </c>
      <c r="C100" s="21">
        <v>1</v>
      </c>
      <c r="D100" s="21">
        <v>7</v>
      </c>
      <c r="E100" s="22" t="s">
        <v>319</v>
      </c>
      <c r="F100" s="5"/>
      <c r="G100" s="12">
        <f t="shared" si="3"/>
        <v>1148</v>
      </c>
      <c r="H100" s="12">
        <f t="shared" si="2"/>
        <v>565</v>
      </c>
      <c r="I100" s="23">
        <v>1713</v>
      </c>
    </row>
    <row r="101" spans="1:9" s="6" customFormat="1" ht="34" hidden="1" x14ac:dyDescent="0.2">
      <c r="A101" s="9">
        <v>5500</v>
      </c>
      <c r="B101" s="8">
        <v>232</v>
      </c>
      <c r="C101" s="9">
        <v>1</v>
      </c>
      <c r="D101" s="9">
        <v>8</v>
      </c>
      <c r="E101" s="10" t="s">
        <v>320</v>
      </c>
      <c r="F101" s="11"/>
      <c r="G101" s="12">
        <f t="shared" si="3"/>
        <v>462</v>
      </c>
      <c r="H101" s="12">
        <f t="shared" si="2"/>
        <v>228</v>
      </c>
      <c r="I101" s="13">
        <v>690</v>
      </c>
    </row>
    <row r="102" spans="1:9" s="6" customFormat="1" ht="34" hidden="1" x14ac:dyDescent="0.2">
      <c r="A102" s="21">
        <v>5500</v>
      </c>
      <c r="B102" s="20">
        <v>240</v>
      </c>
      <c r="C102" s="21">
        <v>1</v>
      </c>
      <c r="D102" s="21">
        <v>7</v>
      </c>
      <c r="E102" s="22" t="s">
        <v>321</v>
      </c>
      <c r="F102" s="5"/>
      <c r="G102" s="12">
        <f t="shared" si="3"/>
        <v>5781</v>
      </c>
      <c r="H102" s="12">
        <f t="shared" si="2"/>
        <v>2848</v>
      </c>
      <c r="I102" s="23">
        <v>8629</v>
      </c>
    </row>
    <row r="103" spans="1:9" s="6" customFormat="1" ht="34" hidden="1" x14ac:dyDescent="0.2">
      <c r="A103" s="9">
        <v>5500</v>
      </c>
      <c r="B103" s="8">
        <v>240</v>
      </c>
      <c r="C103" s="9">
        <v>1</v>
      </c>
      <c r="D103" s="9">
        <v>8</v>
      </c>
      <c r="E103" s="10" t="s">
        <v>322</v>
      </c>
      <c r="F103" s="11"/>
      <c r="G103" s="12">
        <f t="shared" si="3"/>
        <v>2329</v>
      </c>
      <c r="H103" s="12">
        <f t="shared" si="2"/>
        <v>1147</v>
      </c>
      <c r="I103" s="13">
        <v>3476</v>
      </c>
    </row>
    <row r="104" spans="1:9" s="6" customFormat="1" ht="17" hidden="1" x14ac:dyDescent="0.2">
      <c r="A104" s="9" t="s">
        <v>113</v>
      </c>
      <c r="B104" s="8">
        <v>240</v>
      </c>
      <c r="C104" s="9" t="s">
        <v>49</v>
      </c>
      <c r="D104" s="9">
        <v>14</v>
      </c>
      <c r="E104" s="10" t="s">
        <v>118</v>
      </c>
      <c r="F104" s="52"/>
      <c r="G104" s="12">
        <f t="shared" si="3"/>
        <v>237</v>
      </c>
      <c r="H104" s="12">
        <f t="shared" ref="H104:H167" si="4">ROUND(I104*0.33,0)</f>
        <v>117</v>
      </c>
      <c r="I104" s="13">
        <f>177*2</f>
        <v>354</v>
      </c>
    </row>
    <row r="105" spans="1:9" s="6" customFormat="1" ht="17" hidden="1" x14ac:dyDescent="0.2">
      <c r="A105" s="9">
        <v>5500</v>
      </c>
      <c r="B105" s="8">
        <v>590</v>
      </c>
      <c r="C105" s="9">
        <v>1</v>
      </c>
      <c r="D105" s="9">
        <v>9</v>
      </c>
      <c r="E105" s="10" t="s">
        <v>323</v>
      </c>
      <c r="F105" s="11"/>
      <c r="G105" s="12">
        <f t="shared" si="3"/>
        <v>116078</v>
      </c>
      <c r="H105" s="12">
        <f t="shared" si="4"/>
        <v>57173</v>
      </c>
      <c r="I105" s="13">
        <v>173250</v>
      </c>
    </row>
    <row r="106" spans="1:9" s="6" customFormat="1" ht="51" hidden="1" x14ac:dyDescent="0.2">
      <c r="A106" s="20">
        <v>5900</v>
      </c>
      <c r="B106" s="20">
        <v>120</v>
      </c>
      <c r="C106" s="20" t="s">
        <v>16</v>
      </c>
      <c r="D106" s="21">
        <v>4</v>
      </c>
      <c r="E106" s="22" t="s">
        <v>324</v>
      </c>
      <c r="F106" s="5"/>
      <c r="G106" s="12">
        <f t="shared" si="3"/>
        <v>2260683</v>
      </c>
      <c r="H106" s="12">
        <f t="shared" si="4"/>
        <v>1113470</v>
      </c>
      <c r="I106" s="13">
        <v>3374153</v>
      </c>
    </row>
    <row r="107" spans="1:9" s="6" customFormat="1" ht="17" hidden="1" x14ac:dyDescent="0.2">
      <c r="A107" s="8" t="s">
        <v>119</v>
      </c>
      <c r="B107" s="8">
        <v>120</v>
      </c>
      <c r="C107" s="8" t="s">
        <v>49</v>
      </c>
      <c r="D107" s="9">
        <v>14</v>
      </c>
      <c r="E107" s="10" t="s">
        <v>120</v>
      </c>
      <c r="F107" s="52"/>
      <c r="G107" s="12">
        <f t="shared" si="3"/>
        <v>5715</v>
      </c>
      <c r="H107" s="12">
        <f t="shared" si="4"/>
        <v>2815</v>
      </c>
      <c r="I107" s="13">
        <f>4265*2</f>
        <v>8530</v>
      </c>
    </row>
    <row r="108" spans="1:9" s="6" customFormat="1" ht="51" hidden="1" x14ac:dyDescent="0.2">
      <c r="A108" s="20">
        <v>5900</v>
      </c>
      <c r="B108" s="20">
        <v>150</v>
      </c>
      <c r="C108" s="20" t="s">
        <v>16</v>
      </c>
      <c r="D108" s="21">
        <v>4</v>
      </c>
      <c r="E108" s="22" t="s">
        <v>325</v>
      </c>
      <c r="F108" s="5"/>
      <c r="G108" s="12">
        <f t="shared" si="3"/>
        <v>409015</v>
      </c>
      <c r="H108" s="12">
        <f t="shared" si="4"/>
        <v>201455</v>
      </c>
      <c r="I108" s="13">
        <v>610470</v>
      </c>
    </row>
    <row r="109" spans="1:9" s="6" customFormat="1" ht="17" hidden="1" x14ac:dyDescent="0.2">
      <c r="A109" s="8" t="s">
        <v>119</v>
      </c>
      <c r="B109" s="8">
        <v>150</v>
      </c>
      <c r="C109" s="8" t="s">
        <v>49</v>
      </c>
      <c r="D109" s="9">
        <v>14</v>
      </c>
      <c r="E109" s="10" t="s">
        <v>121</v>
      </c>
      <c r="F109" s="52"/>
      <c r="G109" s="12">
        <f t="shared" si="3"/>
        <v>1905</v>
      </c>
      <c r="H109" s="12">
        <f t="shared" si="4"/>
        <v>939</v>
      </c>
      <c r="I109" s="13">
        <f>1422*2</f>
        <v>2844</v>
      </c>
    </row>
    <row r="110" spans="1:9" s="6" customFormat="1" ht="17" hidden="1" x14ac:dyDescent="0.2">
      <c r="A110" s="8" t="s">
        <v>119</v>
      </c>
      <c r="B110" s="8">
        <v>160</v>
      </c>
      <c r="C110" s="8" t="s">
        <v>49</v>
      </c>
      <c r="D110" s="9">
        <v>14</v>
      </c>
      <c r="E110" s="10" t="s">
        <v>122</v>
      </c>
      <c r="F110" s="52"/>
      <c r="G110" s="12">
        <f t="shared" si="3"/>
        <v>13334</v>
      </c>
      <c r="H110" s="12">
        <f t="shared" si="4"/>
        <v>6568</v>
      </c>
      <c r="I110" s="13">
        <f>9951*2</f>
        <v>19902</v>
      </c>
    </row>
    <row r="111" spans="1:9" s="6" customFormat="1" ht="17" hidden="1" x14ac:dyDescent="0.2">
      <c r="A111" s="20">
        <v>5900</v>
      </c>
      <c r="B111" s="20">
        <v>210</v>
      </c>
      <c r="C111" s="20" t="s">
        <v>16</v>
      </c>
      <c r="D111" s="21">
        <v>4</v>
      </c>
      <c r="E111" s="22" t="s">
        <v>326</v>
      </c>
      <c r="F111" s="5"/>
      <c r="G111" s="12">
        <f t="shared" si="3"/>
        <v>304613</v>
      </c>
      <c r="H111" s="12">
        <f t="shared" si="4"/>
        <v>150034</v>
      </c>
      <c r="I111" s="13">
        <v>454647</v>
      </c>
    </row>
    <row r="112" spans="1:9" s="6" customFormat="1" ht="17" hidden="1" x14ac:dyDescent="0.2">
      <c r="A112" s="20">
        <v>5900</v>
      </c>
      <c r="B112" s="20">
        <v>220</v>
      </c>
      <c r="C112" s="20" t="s">
        <v>16</v>
      </c>
      <c r="D112" s="21">
        <v>4</v>
      </c>
      <c r="E112" s="27" t="s">
        <v>327</v>
      </c>
      <c r="F112" s="5"/>
      <c r="G112" s="12">
        <f t="shared" si="3"/>
        <v>165521</v>
      </c>
      <c r="H112" s="12">
        <f t="shared" si="4"/>
        <v>81526</v>
      </c>
      <c r="I112" s="13">
        <v>247047</v>
      </c>
    </row>
    <row r="113" spans="1:11" s="6" customFormat="1" ht="17" hidden="1" x14ac:dyDescent="0.2">
      <c r="A113" s="21">
        <v>5900</v>
      </c>
      <c r="B113" s="20">
        <v>220</v>
      </c>
      <c r="C113" s="20" t="s">
        <v>16</v>
      </c>
      <c r="D113" s="21">
        <v>4</v>
      </c>
      <c r="E113" s="22" t="s">
        <v>328</v>
      </c>
      <c r="F113" s="5"/>
      <c r="G113" s="12">
        <f t="shared" si="3"/>
        <v>38711</v>
      </c>
      <c r="H113" s="12">
        <f t="shared" si="4"/>
        <v>19067</v>
      </c>
      <c r="I113" s="49">
        <v>57778</v>
      </c>
    </row>
    <row r="114" spans="1:11" s="6" customFormat="1" ht="17" hidden="1" x14ac:dyDescent="0.2">
      <c r="A114" s="9" t="s">
        <v>119</v>
      </c>
      <c r="B114" s="8">
        <v>220</v>
      </c>
      <c r="C114" s="8" t="s">
        <v>49</v>
      </c>
      <c r="D114" s="9">
        <v>14</v>
      </c>
      <c r="E114" s="10" t="s">
        <v>123</v>
      </c>
      <c r="F114" s="11"/>
      <c r="G114" s="12">
        <f t="shared" si="3"/>
        <v>1604</v>
      </c>
      <c r="H114" s="12">
        <f t="shared" si="4"/>
        <v>790</v>
      </c>
      <c r="I114" s="49">
        <f>1197*2</f>
        <v>2394</v>
      </c>
    </row>
    <row r="115" spans="1:11" s="6" customFormat="1" ht="34" hidden="1" x14ac:dyDescent="0.2">
      <c r="A115" s="20">
        <v>5900</v>
      </c>
      <c r="B115" s="20">
        <v>240</v>
      </c>
      <c r="C115" s="20" t="s">
        <v>16</v>
      </c>
      <c r="D115" s="21">
        <v>4</v>
      </c>
      <c r="E115" s="22" t="s">
        <v>329</v>
      </c>
      <c r="F115" s="5"/>
      <c r="G115" s="12">
        <f t="shared" si="3"/>
        <v>30168</v>
      </c>
      <c r="H115" s="12">
        <f t="shared" si="4"/>
        <v>14859</v>
      </c>
      <c r="I115" s="13">
        <v>45027</v>
      </c>
    </row>
    <row r="116" spans="1:11" s="6" customFormat="1" ht="17" hidden="1" x14ac:dyDescent="0.2">
      <c r="A116" s="8" t="s">
        <v>119</v>
      </c>
      <c r="B116" s="8">
        <v>240</v>
      </c>
      <c r="C116" s="8" t="s">
        <v>49</v>
      </c>
      <c r="D116" s="9">
        <v>14</v>
      </c>
      <c r="E116" s="10" t="s">
        <v>124</v>
      </c>
      <c r="F116" s="11"/>
      <c r="G116" s="12">
        <f t="shared" si="3"/>
        <v>237</v>
      </c>
      <c r="H116" s="12">
        <f t="shared" si="4"/>
        <v>117</v>
      </c>
      <c r="I116" s="13">
        <f>177*2</f>
        <v>354</v>
      </c>
    </row>
    <row r="117" spans="1:11" s="6" customFormat="1" ht="68" hidden="1" x14ac:dyDescent="0.2">
      <c r="A117" s="20">
        <v>5900</v>
      </c>
      <c r="B117" s="20">
        <v>310</v>
      </c>
      <c r="C117" s="20" t="s">
        <v>16</v>
      </c>
      <c r="D117" s="21">
        <v>4</v>
      </c>
      <c r="E117" s="24" t="s">
        <v>330</v>
      </c>
      <c r="F117" s="5"/>
      <c r="G117" s="12">
        <f t="shared" si="3"/>
        <v>26800</v>
      </c>
      <c r="H117" s="12">
        <f t="shared" si="4"/>
        <v>13200</v>
      </c>
      <c r="I117" s="28">
        <v>40000</v>
      </c>
    </row>
    <row r="118" spans="1:11" s="6" customFormat="1" ht="34" hidden="1" x14ac:dyDescent="0.2">
      <c r="A118" s="20">
        <v>5900</v>
      </c>
      <c r="B118" s="20">
        <v>369</v>
      </c>
      <c r="C118" s="20" t="s">
        <v>16</v>
      </c>
      <c r="D118" s="21">
        <v>6</v>
      </c>
      <c r="E118" s="24" t="s">
        <v>331</v>
      </c>
      <c r="F118" s="5"/>
      <c r="G118" s="12">
        <f t="shared" si="3"/>
        <v>84915</v>
      </c>
      <c r="H118" s="12">
        <f t="shared" si="4"/>
        <v>41824</v>
      </c>
      <c r="I118" s="23">
        <v>126739</v>
      </c>
    </row>
    <row r="119" spans="1:11" s="6" customFormat="1" ht="102" hidden="1" x14ac:dyDescent="0.2">
      <c r="A119" s="8">
        <v>5900</v>
      </c>
      <c r="B119" s="8">
        <v>394</v>
      </c>
      <c r="C119" s="8" t="s">
        <v>16</v>
      </c>
      <c r="D119" s="9" t="s">
        <v>25</v>
      </c>
      <c r="E119" s="10" t="s">
        <v>333</v>
      </c>
      <c r="F119" s="11"/>
      <c r="G119" s="12">
        <f t="shared" si="3"/>
        <v>20840</v>
      </c>
      <c r="H119" s="12">
        <f t="shared" si="4"/>
        <v>10264</v>
      </c>
      <c r="I119" s="13">
        <v>31104</v>
      </c>
    </row>
    <row r="120" spans="1:11" s="6" customFormat="1" ht="51" hidden="1" x14ac:dyDescent="0.2">
      <c r="A120" s="8">
        <v>5900</v>
      </c>
      <c r="B120" s="8">
        <v>394</v>
      </c>
      <c r="C120" s="8">
        <v>1</v>
      </c>
      <c r="D120" s="9" t="s">
        <v>24</v>
      </c>
      <c r="E120" s="10" t="s">
        <v>332</v>
      </c>
      <c r="F120" s="11"/>
      <c r="G120" s="12">
        <f t="shared" si="3"/>
        <v>22576</v>
      </c>
      <c r="H120" s="12">
        <f t="shared" si="4"/>
        <v>11120</v>
      </c>
      <c r="I120" s="13">
        <v>33696</v>
      </c>
    </row>
    <row r="121" spans="1:11" s="6" customFormat="1" ht="119" hidden="1" x14ac:dyDescent="0.2">
      <c r="A121" s="8">
        <v>5900</v>
      </c>
      <c r="B121" s="8">
        <v>394</v>
      </c>
      <c r="C121" s="8">
        <v>1</v>
      </c>
      <c r="D121" s="9" t="s">
        <v>28</v>
      </c>
      <c r="E121" s="17" t="s">
        <v>335</v>
      </c>
      <c r="F121" s="11"/>
      <c r="G121" s="12">
        <f t="shared" si="3"/>
        <v>65121</v>
      </c>
      <c r="H121" s="12">
        <f t="shared" si="4"/>
        <v>32074</v>
      </c>
      <c r="I121" s="13">
        <v>97195</v>
      </c>
    </row>
    <row r="122" spans="1:11" s="6" customFormat="1" ht="85" hidden="1" x14ac:dyDescent="0.2">
      <c r="A122" s="8">
        <v>5900</v>
      </c>
      <c r="B122" s="8">
        <v>394</v>
      </c>
      <c r="C122" s="8" t="s">
        <v>26</v>
      </c>
      <c r="D122" s="29" t="s">
        <v>27</v>
      </c>
      <c r="E122" s="17" t="s">
        <v>334</v>
      </c>
      <c r="F122" s="11"/>
      <c r="G122" s="12">
        <f t="shared" si="3"/>
        <v>53467</v>
      </c>
      <c r="H122" s="12">
        <f t="shared" si="4"/>
        <v>26335</v>
      </c>
      <c r="I122" s="13">
        <v>79802</v>
      </c>
    </row>
    <row r="123" spans="1:11" ht="34" hidden="1" x14ac:dyDescent="0.2">
      <c r="A123" s="20">
        <v>5900</v>
      </c>
      <c r="B123" s="20">
        <v>510</v>
      </c>
      <c r="C123" s="20" t="s">
        <v>16</v>
      </c>
      <c r="D123" s="21">
        <v>6</v>
      </c>
      <c r="E123" s="22" t="s">
        <v>336</v>
      </c>
      <c r="F123" s="5"/>
      <c r="G123" s="12">
        <f t="shared" si="3"/>
        <v>146010</v>
      </c>
      <c r="H123" s="12">
        <f t="shared" si="4"/>
        <v>71916</v>
      </c>
      <c r="I123" s="23">
        <v>217926</v>
      </c>
    </row>
    <row r="124" spans="1:11" s="15" customFormat="1" ht="34" hidden="1" x14ac:dyDescent="0.2">
      <c r="A124" s="20">
        <v>5900</v>
      </c>
      <c r="B124" s="20">
        <v>590</v>
      </c>
      <c r="C124" s="20" t="s">
        <v>16</v>
      </c>
      <c r="D124" s="21">
        <v>6</v>
      </c>
      <c r="E124" s="22" t="s">
        <v>337</v>
      </c>
      <c r="F124" s="5"/>
      <c r="G124" s="12">
        <f t="shared" si="3"/>
        <v>267774</v>
      </c>
      <c r="H124" s="12">
        <f t="shared" si="4"/>
        <v>131888</v>
      </c>
      <c r="I124" s="23">
        <v>399662</v>
      </c>
      <c r="J124" s="14"/>
    </row>
    <row r="125" spans="1:11" ht="17" hidden="1" x14ac:dyDescent="0.2">
      <c r="A125" s="8" t="s">
        <v>125</v>
      </c>
      <c r="B125" s="8">
        <v>110</v>
      </c>
      <c r="C125" s="8" t="s">
        <v>49</v>
      </c>
      <c r="D125" s="9">
        <v>14</v>
      </c>
      <c r="E125" s="10" t="s">
        <v>126</v>
      </c>
      <c r="F125" s="52"/>
      <c r="G125" s="12">
        <f t="shared" si="3"/>
        <v>17144</v>
      </c>
      <c r="H125" s="12">
        <f t="shared" si="4"/>
        <v>8444</v>
      </c>
      <c r="I125" s="13">
        <f>12794*2</f>
        <v>25588</v>
      </c>
      <c r="J125" s="14"/>
      <c r="K125" s="15"/>
    </row>
    <row r="126" spans="1:11" ht="17" hidden="1" x14ac:dyDescent="0.2">
      <c r="A126" s="8" t="s">
        <v>125</v>
      </c>
      <c r="B126" s="8">
        <v>130</v>
      </c>
      <c r="C126" s="8" t="s">
        <v>49</v>
      </c>
      <c r="D126" s="9">
        <v>14</v>
      </c>
      <c r="E126" s="10" t="s">
        <v>127</v>
      </c>
      <c r="F126" s="52"/>
      <c r="G126" s="12">
        <f t="shared" si="3"/>
        <v>326212</v>
      </c>
      <c r="H126" s="12">
        <f t="shared" si="4"/>
        <v>160672</v>
      </c>
      <c r="I126" s="13">
        <f>243442*2</f>
        <v>486884</v>
      </c>
      <c r="J126" s="14"/>
      <c r="K126" s="15"/>
    </row>
    <row r="127" spans="1:11" ht="17" hidden="1" x14ac:dyDescent="0.2">
      <c r="A127" s="8" t="s">
        <v>125</v>
      </c>
      <c r="B127" s="8">
        <v>150</v>
      </c>
      <c r="C127" s="8" t="s">
        <v>49</v>
      </c>
      <c r="D127" s="9">
        <v>14</v>
      </c>
      <c r="E127" s="10" t="s">
        <v>128</v>
      </c>
      <c r="F127" s="52"/>
      <c r="G127" s="12">
        <f t="shared" si="3"/>
        <v>24762</v>
      </c>
      <c r="H127" s="12">
        <f t="shared" si="4"/>
        <v>12196</v>
      </c>
      <c r="I127" s="13">
        <f>18479*2</f>
        <v>36958</v>
      </c>
      <c r="J127" s="14"/>
      <c r="K127" s="15"/>
    </row>
    <row r="128" spans="1:11" ht="17" hidden="1" x14ac:dyDescent="0.2">
      <c r="A128" s="8" t="s">
        <v>125</v>
      </c>
      <c r="B128" s="8">
        <v>160</v>
      </c>
      <c r="C128" s="8" t="s">
        <v>49</v>
      </c>
      <c r="D128" s="9">
        <v>14</v>
      </c>
      <c r="E128" s="10" t="s">
        <v>129</v>
      </c>
      <c r="F128" s="52"/>
      <c r="G128" s="12">
        <f t="shared" si="3"/>
        <v>284762</v>
      </c>
      <c r="H128" s="12">
        <f t="shared" si="4"/>
        <v>140256</v>
      </c>
      <c r="I128" s="13">
        <f>212509*2</f>
        <v>425018</v>
      </c>
      <c r="J128" s="14"/>
      <c r="K128" s="15"/>
    </row>
    <row r="129" spans="1:11" ht="34" hidden="1" x14ac:dyDescent="0.2">
      <c r="A129" s="8" t="s">
        <v>125</v>
      </c>
      <c r="B129" s="8">
        <v>220</v>
      </c>
      <c r="C129" s="8" t="s">
        <v>49</v>
      </c>
      <c r="D129" s="9">
        <v>14</v>
      </c>
      <c r="E129" s="10" t="s">
        <v>130</v>
      </c>
      <c r="F129" s="11"/>
      <c r="G129" s="12">
        <f t="shared" si="3"/>
        <v>49944</v>
      </c>
      <c r="H129" s="12">
        <f t="shared" si="4"/>
        <v>24600</v>
      </c>
      <c r="I129" s="13">
        <f>37272*2</f>
        <v>74544</v>
      </c>
      <c r="J129" s="14"/>
      <c r="K129" s="15"/>
    </row>
    <row r="130" spans="1:11" ht="17" hidden="1" x14ac:dyDescent="0.2">
      <c r="A130" s="8" t="s">
        <v>125</v>
      </c>
      <c r="B130" s="8">
        <v>240</v>
      </c>
      <c r="C130" s="8" t="s">
        <v>49</v>
      </c>
      <c r="D130" s="9">
        <v>14</v>
      </c>
      <c r="E130" s="10" t="s">
        <v>131</v>
      </c>
      <c r="F130" s="11"/>
      <c r="G130" s="12">
        <f t="shared" ref="G130:G193" si="5">ROUND(I130*0.67,0)</f>
        <v>7377</v>
      </c>
      <c r="H130" s="12">
        <f t="shared" si="4"/>
        <v>3633</v>
      </c>
      <c r="I130" s="13">
        <f>5505*2</f>
        <v>11010</v>
      </c>
      <c r="J130" s="14"/>
      <c r="K130" s="15"/>
    </row>
    <row r="131" spans="1:11" ht="34" hidden="1" x14ac:dyDescent="0.2">
      <c r="A131" s="20">
        <v>6100</v>
      </c>
      <c r="B131" s="20">
        <v>394</v>
      </c>
      <c r="C131" s="20" t="s">
        <v>29</v>
      </c>
      <c r="D131" s="21" t="s">
        <v>30</v>
      </c>
      <c r="E131" s="22" t="s">
        <v>338</v>
      </c>
      <c r="F131" s="5"/>
      <c r="G131" s="12">
        <f t="shared" si="5"/>
        <v>95907</v>
      </c>
      <c r="H131" s="12">
        <f t="shared" si="4"/>
        <v>47238</v>
      </c>
      <c r="I131" s="13">
        <v>143145</v>
      </c>
      <c r="J131" s="14"/>
      <c r="K131" s="15"/>
    </row>
    <row r="132" spans="1:11" ht="17" hidden="1" x14ac:dyDescent="0.2">
      <c r="A132" s="8" t="s">
        <v>132</v>
      </c>
      <c r="B132" s="8">
        <v>130</v>
      </c>
      <c r="C132" s="8" t="s">
        <v>49</v>
      </c>
      <c r="D132" s="9">
        <v>14</v>
      </c>
      <c r="E132" s="10" t="s">
        <v>133</v>
      </c>
      <c r="F132" s="52"/>
      <c r="G132" s="12">
        <f t="shared" si="5"/>
        <v>38096</v>
      </c>
      <c r="H132" s="12">
        <f t="shared" si="4"/>
        <v>18764</v>
      </c>
      <c r="I132" s="13">
        <f>28430*2</f>
        <v>56860</v>
      </c>
      <c r="J132" s="14"/>
      <c r="K132" s="15"/>
    </row>
    <row r="133" spans="1:11" ht="17" hidden="1" x14ac:dyDescent="0.2">
      <c r="A133" s="8" t="s">
        <v>132</v>
      </c>
      <c r="B133" s="8">
        <v>150</v>
      </c>
      <c r="C133" s="8" t="s">
        <v>49</v>
      </c>
      <c r="D133" s="9">
        <v>14</v>
      </c>
      <c r="E133" s="10" t="s">
        <v>134</v>
      </c>
      <c r="F133" s="52"/>
      <c r="G133" s="12">
        <f t="shared" si="5"/>
        <v>32381</v>
      </c>
      <c r="H133" s="12">
        <f t="shared" si="4"/>
        <v>15949</v>
      </c>
      <c r="I133" s="13">
        <f>24165*2</f>
        <v>48330</v>
      </c>
      <c r="J133" s="14"/>
      <c r="K133" s="15"/>
    </row>
    <row r="134" spans="1:11" ht="17" hidden="1" x14ac:dyDescent="0.2">
      <c r="A134" s="8" t="s">
        <v>132</v>
      </c>
      <c r="B134" s="8">
        <v>160</v>
      </c>
      <c r="C134" s="8" t="s">
        <v>49</v>
      </c>
      <c r="D134" s="9">
        <v>14</v>
      </c>
      <c r="E134" s="10" t="s">
        <v>135</v>
      </c>
      <c r="F134" s="52"/>
      <c r="G134" s="12">
        <f t="shared" si="5"/>
        <v>1905</v>
      </c>
      <c r="H134" s="12">
        <f t="shared" si="4"/>
        <v>939</v>
      </c>
      <c r="I134" s="13">
        <f>1422*2</f>
        <v>2844</v>
      </c>
      <c r="J134" s="14"/>
      <c r="K134" s="15"/>
    </row>
    <row r="135" spans="1:11" ht="34" hidden="1" x14ac:dyDescent="0.2">
      <c r="A135" s="8" t="s">
        <v>132</v>
      </c>
      <c r="B135" s="8">
        <v>220</v>
      </c>
      <c r="C135" s="8" t="s">
        <v>49</v>
      </c>
      <c r="D135" s="9">
        <v>14</v>
      </c>
      <c r="E135" s="10" t="s">
        <v>136</v>
      </c>
      <c r="F135" s="11"/>
      <c r="G135" s="12">
        <f t="shared" si="5"/>
        <v>5538</v>
      </c>
      <c r="H135" s="12">
        <f t="shared" si="4"/>
        <v>2728</v>
      </c>
      <c r="I135" s="13">
        <f>4133*2</f>
        <v>8266</v>
      </c>
      <c r="J135" s="14"/>
      <c r="K135" s="15"/>
    </row>
    <row r="136" spans="1:11" ht="17" hidden="1" x14ac:dyDescent="0.2">
      <c r="A136" s="8" t="s">
        <v>132</v>
      </c>
      <c r="B136" s="8">
        <v>240</v>
      </c>
      <c r="C136" s="8" t="s">
        <v>49</v>
      </c>
      <c r="D136" s="9">
        <v>14</v>
      </c>
      <c r="E136" s="10" t="s">
        <v>137</v>
      </c>
      <c r="F136" s="11"/>
      <c r="G136" s="12">
        <f t="shared" si="5"/>
        <v>819</v>
      </c>
      <c r="H136" s="12">
        <f t="shared" si="4"/>
        <v>403</v>
      </c>
      <c r="I136" s="13">
        <f>611*2</f>
        <v>1222</v>
      </c>
      <c r="J136" s="14"/>
      <c r="K136" s="15"/>
    </row>
    <row r="137" spans="1:11" ht="85" hidden="1" x14ac:dyDescent="0.2">
      <c r="A137" s="20">
        <v>6120</v>
      </c>
      <c r="B137" s="20">
        <v>130</v>
      </c>
      <c r="C137" s="20" t="s">
        <v>29</v>
      </c>
      <c r="D137" s="21">
        <v>2</v>
      </c>
      <c r="E137" s="22" t="s">
        <v>339</v>
      </c>
      <c r="F137" s="5"/>
      <c r="G137" s="12">
        <f t="shared" si="5"/>
        <v>539549</v>
      </c>
      <c r="H137" s="12">
        <f t="shared" si="4"/>
        <v>265748</v>
      </c>
      <c r="I137" s="13">
        <v>805297</v>
      </c>
      <c r="J137" s="14"/>
      <c r="K137" s="15"/>
    </row>
    <row r="138" spans="1:11" ht="85" hidden="1" x14ac:dyDescent="0.2">
      <c r="A138" s="20">
        <v>6120</v>
      </c>
      <c r="B138" s="20">
        <v>130</v>
      </c>
      <c r="C138" s="20" t="s">
        <v>31</v>
      </c>
      <c r="D138" s="21">
        <v>3</v>
      </c>
      <c r="E138" s="22" t="s">
        <v>32</v>
      </c>
      <c r="F138" s="5"/>
      <c r="G138" s="12">
        <f t="shared" si="5"/>
        <v>227043</v>
      </c>
      <c r="H138" s="12">
        <f t="shared" si="4"/>
        <v>111827</v>
      </c>
      <c r="I138" s="13">
        <v>338870</v>
      </c>
      <c r="J138" s="14"/>
      <c r="K138" s="15"/>
    </row>
    <row r="139" spans="1:11" ht="17" hidden="1" x14ac:dyDescent="0.2">
      <c r="A139" s="20">
        <v>6120</v>
      </c>
      <c r="B139" s="20">
        <v>210</v>
      </c>
      <c r="C139" s="20" t="s">
        <v>31</v>
      </c>
      <c r="D139" s="21" t="s">
        <v>33</v>
      </c>
      <c r="E139" s="22" t="s">
        <v>340</v>
      </c>
      <c r="F139" s="5"/>
      <c r="G139" s="12">
        <f t="shared" si="5"/>
        <v>87469</v>
      </c>
      <c r="H139" s="12">
        <f t="shared" si="4"/>
        <v>43082</v>
      </c>
      <c r="I139" s="13">
        <v>130551</v>
      </c>
      <c r="J139" s="14"/>
      <c r="K139" s="15"/>
    </row>
    <row r="140" spans="1:11" ht="17" hidden="1" x14ac:dyDescent="0.2">
      <c r="A140" s="20">
        <v>6120</v>
      </c>
      <c r="B140" s="20">
        <v>220</v>
      </c>
      <c r="C140" s="20" t="s">
        <v>31</v>
      </c>
      <c r="D140" s="21" t="s">
        <v>33</v>
      </c>
      <c r="E140" s="22" t="s">
        <v>341</v>
      </c>
      <c r="F140" s="5"/>
      <c r="G140" s="12">
        <f t="shared" si="5"/>
        <v>47529</v>
      </c>
      <c r="H140" s="12">
        <f t="shared" si="4"/>
        <v>23410</v>
      </c>
      <c r="I140" s="13">
        <v>70939</v>
      </c>
      <c r="J140" s="14"/>
      <c r="K140" s="15"/>
    </row>
    <row r="141" spans="1:11" ht="34" hidden="1" x14ac:dyDescent="0.2">
      <c r="A141" s="20">
        <v>6120</v>
      </c>
      <c r="B141" s="20">
        <v>220</v>
      </c>
      <c r="C141" s="20" t="s">
        <v>31</v>
      </c>
      <c r="D141" s="21" t="s">
        <v>33</v>
      </c>
      <c r="E141" s="22" t="s">
        <v>344</v>
      </c>
      <c r="F141" s="5"/>
      <c r="G141" s="12">
        <f t="shared" si="5"/>
        <v>11116</v>
      </c>
      <c r="H141" s="12">
        <f t="shared" si="4"/>
        <v>5475</v>
      </c>
      <c r="I141" s="13">
        <v>16591</v>
      </c>
      <c r="J141" s="14"/>
      <c r="K141" s="15"/>
    </row>
    <row r="142" spans="1:11" ht="17" hidden="1" x14ac:dyDescent="0.2">
      <c r="A142" s="20">
        <v>6120</v>
      </c>
      <c r="B142" s="20">
        <v>231</v>
      </c>
      <c r="C142" s="20" t="s">
        <v>31</v>
      </c>
      <c r="D142" s="21" t="s">
        <v>33</v>
      </c>
      <c r="E142" s="22" t="s">
        <v>342</v>
      </c>
      <c r="F142" s="5"/>
      <c r="G142" s="12">
        <f t="shared" si="5"/>
        <v>38802</v>
      </c>
      <c r="H142" s="12">
        <f t="shared" si="4"/>
        <v>19111</v>
      </c>
      <c r="I142" s="13">
        <v>57913</v>
      </c>
      <c r="J142" s="14"/>
      <c r="K142" s="15"/>
    </row>
    <row r="143" spans="1:11" ht="17" hidden="1" x14ac:dyDescent="0.2">
      <c r="A143" s="20">
        <v>6120</v>
      </c>
      <c r="B143" s="20">
        <v>232</v>
      </c>
      <c r="C143" s="20" t="s">
        <v>31</v>
      </c>
      <c r="D143" s="21" t="s">
        <v>33</v>
      </c>
      <c r="E143" s="22" t="s">
        <v>343</v>
      </c>
      <c r="F143" s="5"/>
      <c r="G143" s="12">
        <f t="shared" si="5"/>
        <v>592</v>
      </c>
      <c r="H143" s="12">
        <f t="shared" si="4"/>
        <v>292</v>
      </c>
      <c r="I143" s="13">
        <v>884</v>
      </c>
      <c r="J143" s="14"/>
      <c r="K143" s="15"/>
    </row>
    <row r="144" spans="1:11" ht="34" hidden="1" x14ac:dyDescent="0.2">
      <c r="A144" s="20">
        <v>6120</v>
      </c>
      <c r="B144" s="20">
        <v>240</v>
      </c>
      <c r="C144" s="20" t="s">
        <v>31</v>
      </c>
      <c r="D144" s="21" t="s">
        <v>33</v>
      </c>
      <c r="E144" s="22" t="s">
        <v>345</v>
      </c>
      <c r="F144" s="5"/>
      <c r="G144" s="12">
        <f t="shared" si="5"/>
        <v>9389</v>
      </c>
      <c r="H144" s="12">
        <f t="shared" si="4"/>
        <v>4625</v>
      </c>
      <c r="I144" s="13">
        <v>14014</v>
      </c>
      <c r="J144" s="14"/>
      <c r="K144" s="15"/>
    </row>
    <row r="145" spans="1:55" ht="34" hidden="1" x14ac:dyDescent="0.2">
      <c r="A145" s="20">
        <v>6120</v>
      </c>
      <c r="B145" s="20">
        <v>394</v>
      </c>
      <c r="C145" s="20" t="s">
        <v>31</v>
      </c>
      <c r="D145" s="21" t="s">
        <v>487</v>
      </c>
      <c r="E145" s="22" t="s">
        <v>346</v>
      </c>
      <c r="F145" s="5"/>
      <c r="G145" s="12">
        <f t="shared" si="5"/>
        <v>72245</v>
      </c>
      <c r="H145" s="12">
        <f t="shared" si="4"/>
        <v>35583</v>
      </c>
      <c r="I145" s="13">
        <v>107828</v>
      </c>
      <c r="J145" s="14"/>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row>
    <row r="146" spans="1:55" ht="51" hidden="1" x14ac:dyDescent="0.2">
      <c r="A146" s="20">
        <v>6130</v>
      </c>
      <c r="B146" s="20">
        <v>130</v>
      </c>
      <c r="C146" s="20" t="s">
        <v>34</v>
      </c>
      <c r="D146" s="21">
        <v>1</v>
      </c>
      <c r="E146" s="22" t="s">
        <v>347</v>
      </c>
      <c r="F146" s="5"/>
      <c r="G146" s="12">
        <f t="shared" si="5"/>
        <v>15973</v>
      </c>
      <c r="H146" s="12">
        <f t="shared" si="4"/>
        <v>7867</v>
      </c>
      <c r="I146" s="23">
        <v>23840</v>
      </c>
      <c r="J146" s="14"/>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row>
    <row r="147" spans="1:55" s="34" customFormat="1" ht="17" hidden="1" x14ac:dyDescent="0.2">
      <c r="A147" s="8" t="s">
        <v>138</v>
      </c>
      <c r="B147" s="8">
        <v>130</v>
      </c>
      <c r="C147" s="8" t="s">
        <v>49</v>
      </c>
      <c r="D147" s="9">
        <v>14</v>
      </c>
      <c r="E147" s="10" t="s">
        <v>139</v>
      </c>
      <c r="F147" s="52"/>
      <c r="G147" s="12">
        <f t="shared" si="5"/>
        <v>11429</v>
      </c>
      <c r="H147" s="12">
        <f t="shared" si="4"/>
        <v>5629</v>
      </c>
      <c r="I147" s="13">
        <f>8529*2</f>
        <v>17058</v>
      </c>
      <c r="J147" s="14"/>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row>
    <row r="148" spans="1:55" ht="17" hidden="1" x14ac:dyDescent="0.2">
      <c r="A148" s="8" t="s">
        <v>138</v>
      </c>
      <c r="B148" s="8">
        <v>150</v>
      </c>
      <c r="C148" s="8" t="s">
        <v>49</v>
      </c>
      <c r="D148" s="9">
        <v>14</v>
      </c>
      <c r="E148" s="10" t="s">
        <v>140</v>
      </c>
      <c r="F148" s="52"/>
      <c r="G148" s="12">
        <f t="shared" si="5"/>
        <v>72381</v>
      </c>
      <c r="H148" s="12">
        <f t="shared" si="4"/>
        <v>35651</v>
      </c>
      <c r="I148" s="13">
        <f>54016*2</f>
        <v>108032</v>
      </c>
      <c r="J148" s="14"/>
      <c r="K148" s="15"/>
    </row>
    <row r="149" spans="1:55" ht="34" hidden="1" x14ac:dyDescent="0.2">
      <c r="A149" s="20">
        <v>6130</v>
      </c>
      <c r="B149" s="20">
        <v>160</v>
      </c>
      <c r="C149" s="20" t="s">
        <v>34</v>
      </c>
      <c r="D149" s="21">
        <v>2</v>
      </c>
      <c r="E149" s="22" t="s">
        <v>348</v>
      </c>
      <c r="F149" s="5"/>
      <c r="G149" s="12">
        <f t="shared" si="5"/>
        <v>196624</v>
      </c>
      <c r="H149" s="12">
        <f t="shared" si="4"/>
        <v>96844</v>
      </c>
      <c r="I149" s="23">
        <v>293468</v>
      </c>
      <c r="J149" s="14"/>
      <c r="K149" s="15"/>
    </row>
    <row r="150" spans="1:55" ht="34" hidden="1" x14ac:dyDescent="0.2">
      <c r="A150" s="20">
        <v>6130</v>
      </c>
      <c r="B150" s="20">
        <v>160</v>
      </c>
      <c r="C150" s="20" t="s">
        <v>35</v>
      </c>
      <c r="D150" s="21">
        <v>9</v>
      </c>
      <c r="E150" s="22" t="s">
        <v>36</v>
      </c>
      <c r="F150" s="5"/>
      <c r="G150" s="12">
        <f t="shared" si="5"/>
        <v>65655</v>
      </c>
      <c r="H150" s="12">
        <f t="shared" si="4"/>
        <v>32337</v>
      </c>
      <c r="I150" s="23">
        <v>97992</v>
      </c>
      <c r="J150" s="14"/>
      <c r="K150" s="15"/>
    </row>
    <row r="151" spans="1:55" ht="17" hidden="1" x14ac:dyDescent="0.2">
      <c r="A151" s="20">
        <v>6130</v>
      </c>
      <c r="B151" s="20">
        <v>210</v>
      </c>
      <c r="C151" s="20" t="s">
        <v>34</v>
      </c>
      <c r="D151" s="21">
        <v>1</v>
      </c>
      <c r="E151" s="24" t="s">
        <v>349</v>
      </c>
      <c r="F151" s="5"/>
      <c r="G151" s="12">
        <f t="shared" si="5"/>
        <v>1823</v>
      </c>
      <c r="H151" s="12">
        <f t="shared" si="4"/>
        <v>898</v>
      </c>
      <c r="I151" s="23">
        <v>2721</v>
      </c>
      <c r="J151" s="14"/>
      <c r="K151" s="15"/>
    </row>
    <row r="152" spans="1:55" ht="34" hidden="1" x14ac:dyDescent="0.2">
      <c r="A152" s="20">
        <v>6130</v>
      </c>
      <c r="B152" s="20">
        <v>210</v>
      </c>
      <c r="C152" s="20" t="s">
        <v>34</v>
      </c>
      <c r="D152" s="21">
        <v>2</v>
      </c>
      <c r="E152" s="22" t="s">
        <v>350</v>
      </c>
      <c r="F152" s="5"/>
      <c r="G152" s="12">
        <f t="shared" si="5"/>
        <v>20862</v>
      </c>
      <c r="H152" s="12">
        <f t="shared" si="4"/>
        <v>10275</v>
      </c>
      <c r="I152" s="23">
        <v>31137</v>
      </c>
      <c r="J152" s="14"/>
      <c r="K152" s="15"/>
    </row>
    <row r="153" spans="1:55" ht="17" hidden="1" x14ac:dyDescent="0.2">
      <c r="A153" s="21">
        <v>6130</v>
      </c>
      <c r="B153" s="20">
        <v>210</v>
      </c>
      <c r="C153" s="20" t="s">
        <v>35</v>
      </c>
      <c r="D153" s="21">
        <v>9</v>
      </c>
      <c r="E153" s="22" t="s">
        <v>37</v>
      </c>
      <c r="F153" s="5"/>
      <c r="G153" s="12">
        <f t="shared" si="5"/>
        <v>7492</v>
      </c>
      <c r="H153" s="12">
        <f t="shared" si="4"/>
        <v>3690</v>
      </c>
      <c r="I153" s="23">
        <v>11182</v>
      </c>
      <c r="J153" s="14"/>
      <c r="K153" s="15"/>
    </row>
    <row r="154" spans="1:55" ht="34" hidden="1" x14ac:dyDescent="0.2">
      <c r="A154" s="21">
        <v>6130</v>
      </c>
      <c r="B154" s="20">
        <v>220</v>
      </c>
      <c r="C154" s="20" t="s">
        <v>34</v>
      </c>
      <c r="D154" s="21">
        <v>1</v>
      </c>
      <c r="E154" s="22" t="s">
        <v>351</v>
      </c>
      <c r="F154" s="5"/>
      <c r="G154" s="12">
        <f t="shared" si="5"/>
        <v>991</v>
      </c>
      <c r="H154" s="12">
        <f t="shared" si="4"/>
        <v>488</v>
      </c>
      <c r="I154" s="23">
        <v>1479</v>
      </c>
      <c r="J154" s="14"/>
      <c r="K154" s="15"/>
    </row>
    <row r="155" spans="1:55" ht="34" hidden="1" x14ac:dyDescent="0.2">
      <c r="A155" s="21">
        <v>6130</v>
      </c>
      <c r="B155" s="20">
        <v>220</v>
      </c>
      <c r="C155" s="20" t="s">
        <v>34</v>
      </c>
      <c r="D155" s="21">
        <v>1</v>
      </c>
      <c r="E155" s="22" t="s">
        <v>352</v>
      </c>
      <c r="F155" s="5"/>
      <c r="G155" s="12">
        <f t="shared" si="5"/>
        <v>232</v>
      </c>
      <c r="H155" s="12">
        <f t="shared" si="4"/>
        <v>114</v>
      </c>
      <c r="I155" s="23">
        <v>346</v>
      </c>
      <c r="J155" s="14"/>
      <c r="K155" s="15"/>
    </row>
    <row r="156" spans="1:55" ht="34" hidden="1" x14ac:dyDescent="0.2">
      <c r="A156" s="21">
        <v>6130</v>
      </c>
      <c r="B156" s="20">
        <v>220</v>
      </c>
      <c r="C156" s="20" t="s">
        <v>34</v>
      </c>
      <c r="D156" s="21">
        <v>2</v>
      </c>
      <c r="E156" s="22" t="s">
        <v>353</v>
      </c>
      <c r="F156" s="5"/>
      <c r="G156" s="12">
        <f t="shared" si="5"/>
        <v>12191</v>
      </c>
      <c r="H156" s="12">
        <f t="shared" si="4"/>
        <v>6005</v>
      </c>
      <c r="I156" s="23">
        <v>18196</v>
      </c>
      <c r="J156" s="14"/>
      <c r="K156" s="15"/>
    </row>
    <row r="157" spans="1:55" ht="34" hidden="1" x14ac:dyDescent="0.2">
      <c r="A157" s="21">
        <v>6130</v>
      </c>
      <c r="B157" s="20">
        <v>220</v>
      </c>
      <c r="C157" s="20" t="s">
        <v>34</v>
      </c>
      <c r="D157" s="21">
        <v>2</v>
      </c>
      <c r="E157" s="22" t="s">
        <v>354</v>
      </c>
      <c r="F157" s="5"/>
      <c r="G157" s="12">
        <f t="shared" si="5"/>
        <v>2852</v>
      </c>
      <c r="H157" s="12">
        <f t="shared" si="4"/>
        <v>1404</v>
      </c>
      <c r="I157" s="23">
        <v>4256</v>
      </c>
      <c r="J157" s="14"/>
      <c r="K157" s="15"/>
    </row>
    <row r="158" spans="1:55" ht="17" hidden="1" x14ac:dyDescent="0.2">
      <c r="A158" s="21">
        <v>6130</v>
      </c>
      <c r="B158" s="20">
        <v>220</v>
      </c>
      <c r="C158" s="20" t="s">
        <v>35</v>
      </c>
      <c r="D158" s="21">
        <v>9</v>
      </c>
      <c r="E158" s="22" t="s">
        <v>38</v>
      </c>
      <c r="F158" s="5"/>
      <c r="G158" s="12">
        <f t="shared" si="5"/>
        <v>4071</v>
      </c>
      <c r="H158" s="12">
        <f t="shared" si="4"/>
        <v>2005</v>
      </c>
      <c r="I158" s="23">
        <v>6076</v>
      </c>
      <c r="J158" s="14"/>
      <c r="K158" s="15"/>
    </row>
    <row r="159" spans="1:55" ht="17" hidden="1" x14ac:dyDescent="0.2">
      <c r="A159" s="21">
        <v>6130</v>
      </c>
      <c r="B159" s="20">
        <v>220</v>
      </c>
      <c r="C159" s="20" t="s">
        <v>35</v>
      </c>
      <c r="D159" s="21">
        <v>9</v>
      </c>
      <c r="E159" s="22" t="s">
        <v>41</v>
      </c>
      <c r="F159" s="5"/>
      <c r="G159" s="12">
        <f t="shared" si="5"/>
        <v>953</v>
      </c>
      <c r="H159" s="12">
        <f t="shared" si="4"/>
        <v>469</v>
      </c>
      <c r="I159" s="23">
        <v>1422</v>
      </c>
      <c r="J159" s="14"/>
      <c r="K159" s="15"/>
    </row>
    <row r="160" spans="1:55" ht="17" hidden="1" x14ac:dyDescent="0.2">
      <c r="A160" s="9" t="s">
        <v>138</v>
      </c>
      <c r="B160" s="8">
        <v>220</v>
      </c>
      <c r="C160" s="8" t="s">
        <v>49</v>
      </c>
      <c r="D160" s="9">
        <v>14</v>
      </c>
      <c r="E160" s="10" t="s">
        <v>141</v>
      </c>
      <c r="F160" s="11"/>
      <c r="G160" s="12">
        <f t="shared" si="5"/>
        <v>6412</v>
      </c>
      <c r="H160" s="12">
        <f t="shared" si="4"/>
        <v>3158</v>
      </c>
      <c r="I160" s="13">
        <f>4785*2</f>
        <v>9570</v>
      </c>
      <c r="J160" s="14"/>
      <c r="K160" s="15"/>
    </row>
    <row r="161" spans="1:11" ht="34" hidden="1" x14ac:dyDescent="0.2">
      <c r="A161" s="20">
        <v>6130</v>
      </c>
      <c r="B161" s="20">
        <v>231</v>
      </c>
      <c r="C161" s="20" t="s">
        <v>35</v>
      </c>
      <c r="D161" s="21">
        <v>9</v>
      </c>
      <c r="E161" s="22" t="s">
        <v>39</v>
      </c>
      <c r="F161" s="5"/>
      <c r="G161" s="12">
        <f t="shared" si="5"/>
        <v>11221</v>
      </c>
      <c r="H161" s="12">
        <f t="shared" si="4"/>
        <v>5527</v>
      </c>
      <c r="I161" s="23">
        <v>16748</v>
      </c>
      <c r="J161" s="14"/>
      <c r="K161" s="15"/>
    </row>
    <row r="162" spans="1:11" ht="34" hidden="1" x14ac:dyDescent="0.2">
      <c r="A162" s="20">
        <v>6130</v>
      </c>
      <c r="B162" s="20">
        <v>232</v>
      </c>
      <c r="C162" s="20" t="s">
        <v>35</v>
      </c>
      <c r="D162" s="21">
        <v>9</v>
      </c>
      <c r="E162" s="22" t="s">
        <v>40</v>
      </c>
      <c r="F162" s="5"/>
      <c r="G162" s="12">
        <f t="shared" si="5"/>
        <v>742</v>
      </c>
      <c r="H162" s="12">
        <f t="shared" si="4"/>
        <v>366</v>
      </c>
      <c r="I162" s="23">
        <v>1108</v>
      </c>
    </row>
    <row r="163" spans="1:11" ht="51" hidden="1" x14ac:dyDescent="0.2">
      <c r="A163" s="20">
        <v>6130</v>
      </c>
      <c r="B163" s="20">
        <v>240</v>
      </c>
      <c r="C163" s="20" t="s">
        <v>34</v>
      </c>
      <c r="D163" s="21">
        <v>1</v>
      </c>
      <c r="E163" s="22" t="s">
        <v>355</v>
      </c>
      <c r="F163" s="5"/>
      <c r="G163" s="12">
        <f t="shared" si="5"/>
        <v>181</v>
      </c>
      <c r="H163" s="12">
        <f t="shared" si="4"/>
        <v>89</v>
      </c>
      <c r="I163" s="23">
        <v>270</v>
      </c>
    </row>
    <row r="164" spans="1:11" ht="51" hidden="1" x14ac:dyDescent="0.2">
      <c r="A164" s="21">
        <v>6130</v>
      </c>
      <c r="B164" s="20">
        <v>240</v>
      </c>
      <c r="C164" s="20" t="s">
        <v>34</v>
      </c>
      <c r="D164" s="21">
        <v>2</v>
      </c>
      <c r="E164" s="22" t="s">
        <v>356</v>
      </c>
      <c r="F164" s="5"/>
      <c r="G164" s="12">
        <f t="shared" si="5"/>
        <v>2576</v>
      </c>
      <c r="H164" s="12">
        <f t="shared" si="4"/>
        <v>1269</v>
      </c>
      <c r="I164" s="23">
        <v>3845</v>
      </c>
    </row>
    <row r="165" spans="1:11" ht="34" hidden="1" x14ac:dyDescent="0.2">
      <c r="A165" s="21">
        <v>6130</v>
      </c>
      <c r="B165" s="20">
        <v>240</v>
      </c>
      <c r="C165" s="20" t="s">
        <v>35</v>
      </c>
      <c r="D165" s="21">
        <v>9</v>
      </c>
      <c r="E165" s="22" t="s">
        <v>42</v>
      </c>
      <c r="F165" s="5"/>
      <c r="G165" s="12">
        <f t="shared" si="5"/>
        <v>742</v>
      </c>
      <c r="H165" s="12">
        <f t="shared" si="4"/>
        <v>366</v>
      </c>
      <c r="I165" s="23">
        <v>1108</v>
      </c>
    </row>
    <row r="166" spans="1:11" ht="17" hidden="1" x14ac:dyDescent="0.2">
      <c r="A166" s="9" t="s">
        <v>138</v>
      </c>
      <c r="B166" s="8">
        <v>240</v>
      </c>
      <c r="C166" s="8" t="s">
        <v>49</v>
      </c>
      <c r="D166" s="9">
        <v>14</v>
      </c>
      <c r="E166" s="10" t="s">
        <v>142</v>
      </c>
      <c r="F166" s="11"/>
      <c r="G166" s="12">
        <f t="shared" si="5"/>
        <v>947</v>
      </c>
      <c r="H166" s="12">
        <f t="shared" si="4"/>
        <v>467</v>
      </c>
      <c r="I166" s="13">
        <f>707*2</f>
        <v>1414</v>
      </c>
    </row>
    <row r="167" spans="1:11" ht="51" hidden="1" x14ac:dyDescent="0.2">
      <c r="A167" s="21">
        <v>6130</v>
      </c>
      <c r="B167" s="20">
        <v>310</v>
      </c>
      <c r="C167" s="20" t="s">
        <v>31</v>
      </c>
      <c r="D167" s="21">
        <v>1</v>
      </c>
      <c r="E167" s="22" t="s">
        <v>357</v>
      </c>
      <c r="F167" s="30"/>
      <c r="G167" s="12">
        <f t="shared" si="5"/>
        <v>3595488</v>
      </c>
      <c r="H167" s="12">
        <f t="shared" si="4"/>
        <v>1770912</v>
      </c>
      <c r="I167" s="31">
        <v>5366400</v>
      </c>
    </row>
    <row r="168" spans="1:11" ht="68" hidden="1" x14ac:dyDescent="0.2">
      <c r="A168" s="20">
        <v>6130</v>
      </c>
      <c r="B168" s="20">
        <v>394</v>
      </c>
      <c r="C168" s="20" t="s">
        <v>31</v>
      </c>
      <c r="D168" s="21" t="s">
        <v>43</v>
      </c>
      <c r="E168" s="22" t="s">
        <v>358</v>
      </c>
      <c r="F168" s="30"/>
      <c r="G168" s="12">
        <f t="shared" si="5"/>
        <v>76030</v>
      </c>
      <c r="H168" s="12">
        <f t="shared" ref="H168:H231" si="6">ROUND(I168*0.33,0)</f>
        <v>37447</v>
      </c>
      <c r="I168" s="32">
        <v>113477</v>
      </c>
    </row>
    <row r="169" spans="1:11" ht="17" hidden="1" x14ac:dyDescent="0.2">
      <c r="A169" s="20">
        <v>6130</v>
      </c>
      <c r="B169" s="20">
        <v>510</v>
      </c>
      <c r="C169" s="20" t="s">
        <v>34</v>
      </c>
      <c r="D169" s="21">
        <v>3</v>
      </c>
      <c r="E169" s="22" t="s">
        <v>44</v>
      </c>
      <c r="F169" s="30"/>
      <c r="G169" s="12">
        <f t="shared" si="5"/>
        <v>140700</v>
      </c>
      <c r="H169" s="12">
        <f t="shared" si="6"/>
        <v>69300</v>
      </c>
      <c r="I169" s="31">
        <v>210000</v>
      </c>
    </row>
    <row r="170" spans="1:11" ht="17" hidden="1" x14ac:dyDescent="0.2">
      <c r="A170" s="8" t="s">
        <v>143</v>
      </c>
      <c r="B170" s="8">
        <v>130</v>
      </c>
      <c r="C170" s="8" t="s">
        <v>49</v>
      </c>
      <c r="D170" s="9">
        <v>14</v>
      </c>
      <c r="E170" s="10" t="s">
        <v>144</v>
      </c>
      <c r="F170" s="52"/>
      <c r="G170" s="12">
        <f t="shared" si="5"/>
        <v>34287</v>
      </c>
      <c r="H170" s="12">
        <f t="shared" si="6"/>
        <v>16887</v>
      </c>
      <c r="I170" s="13">
        <f>25587*2</f>
        <v>51174</v>
      </c>
    </row>
    <row r="171" spans="1:11" ht="17" hidden="1" x14ac:dyDescent="0.2">
      <c r="A171" s="9" t="s">
        <v>143</v>
      </c>
      <c r="B171" s="8">
        <v>160</v>
      </c>
      <c r="C171" s="8" t="s">
        <v>49</v>
      </c>
      <c r="D171" s="9">
        <v>14</v>
      </c>
      <c r="E171" s="10" t="s">
        <v>145</v>
      </c>
      <c r="F171" s="52"/>
      <c r="G171" s="12">
        <f t="shared" si="5"/>
        <v>5715</v>
      </c>
      <c r="H171" s="12">
        <f t="shared" si="6"/>
        <v>2815</v>
      </c>
      <c r="I171" s="13">
        <f>4265*2</f>
        <v>8530</v>
      </c>
    </row>
    <row r="172" spans="1:11" s="15" customFormat="1" ht="34" hidden="1" x14ac:dyDescent="0.2">
      <c r="A172" s="9" t="s">
        <v>143</v>
      </c>
      <c r="B172" s="8">
        <v>220</v>
      </c>
      <c r="C172" s="8" t="s">
        <v>49</v>
      </c>
      <c r="D172" s="9">
        <v>14</v>
      </c>
      <c r="E172" s="10" t="s">
        <v>146</v>
      </c>
      <c r="F172" s="52"/>
      <c r="G172" s="12">
        <f t="shared" si="5"/>
        <v>3061</v>
      </c>
      <c r="H172" s="12">
        <f t="shared" si="6"/>
        <v>1507</v>
      </c>
      <c r="I172" s="13">
        <f>2284*2</f>
        <v>4568</v>
      </c>
      <c r="J172" s="14"/>
    </row>
    <row r="173" spans="1:11" ht="17" hidden="1" x14ac:dyDescent="0.2">
      <c r="A173" s="9" t="s">
        <v>143</v>
      </c>
      <c r="B173" s="8">
        <v>240</v>
      </c>
      <c r="C173" s="8" t="s">
        <v>49</v>
      </c>
      <c r="D173" s="9">
        <v>14</v>
      </c>
      <c r="E173" s="10" t="s">
        <v>147</v>
      </c>
      <c r="F173" s="52"/>
      <c r="G173" s="12">
        <f t="shared" si="5"/>
        <v>453</v>
      </c>
      <c r="H173" s="12">
        <f t="shared" si="6"/>
        <v>223</v>
      </c>
      <c r="I173" s="13">
        <f>338*2</f>
        <v>676</v>
      </c>
    </row>
    <row r="174" spans="1:11" ht="68" hidden="1" x14ac:dyDescent="0.2">
      <c r="A174" s="21">
        <v>6150</v>
      </c>
      <c r="B174" s="20">
        <v>160</v>
      </c>
      <c r="C174" s="20" t="s">
        <v>45</v>
      </c>
      <c r="D174" s="21">
        <v>1</v>
      </c>
      <c r="E174" s="22" t="s">
        <v>359</v>
      </c>
      <c r="F174" s="5">
        <v>48</v>
      </c>
      <c r="G174" s="12">
        <f t="shared" si="5"/>
        <v>1867853</v>
      </c>
      <c r="H174" s="12">
        <f t="shared" si="6"/>
        <v>919987</v>
      </c>
      <c r="I174" s="23">
        <v>2787840</v>
      </c>
    </row>
    <row r="175" spans="1:11" ht="17" hidden="1" x14ac:dyDescent="0.2">
      <c r="A175" s="9" t="s">
        <v>148</v>
      </c>
      <c r="B175" s="8">
        <v>160</v>
      </c>
      <c r="C175" s="8" t="s">
        <v>49</v>
      </c>
      <c r="D175" s="9">
        <v>14</v>
      </c>
      <c r="E175" s="10" t="s">
        <v>149</v>
      </c>
      <c r="F175" s="52"/>
      <c r="G175" s="12">
        <f t="shared" si="5"/>
        <v>3810</v>
      </c>
      <c r="H175" s="12">
        <f t="shared" si="6"/>
        <v>1876</v>
      </c>
      <c r="I175" s="13">
        <f>2843*2</f>
        <v>5686</v>
      </c>
    </row>
    <row r="176" spans="1:11" ht="34" hidden="1" x14ac:dyDescent="0.2">
      <c r="A176" s="21">
        <v>6150</v>
      </c>
      <c r="B176" s="20">
        <v>210</v>
      </c>
      <c r="C176" s="20" t="s">
        <v>45</v>
      </c>
      <c r="D176" s="21">
        <v>1</v>
      </c>
      <c r="E176" s="22" t="s">
        <v>360</v>
      </c>
      <c r="F176" s="5"/>
      <c r="G176" s="12">
        <f t="shared" si="5"/>
        <v>213122</v>
      </c>
      <c r="H176" s="12">
        <f t="shared" si="6"/>
        <v>104971</v>
      </c>
      <c r="I176" s="31">
        <v>318093</v>
      </c>
    </row>
    <row r="177" spans="1:10" ht="17" hidden="1" x14ac:dyDescent="0.2">
      <c r="A177" s="21">
        <v>6150</v>
      </c>
      <c r="B177" s="20">
        <v>220</v>
      </c>
      <c r="C177" s="20" t="s">
        <v>45</v>
      </c>
      <c r="D177" s="21">
        <v>1</v>
      </c>
      <c r="E177" s="22" t="s">
        <v>46</v>
      </c>
      <c r="F177" s="5"/>
      <c r="G177" s="12">
        <f t="shared" si="5"/>
        <v>115807</v>
      </c>
      <c r="H177" s="12">
        <f t="shared" si="6"/>
        <v>57040</v>
      </c>
      <c r="I177" s="31">
        <v>172847</v>
      </c>
    </row>
    <row r="178" spans="1:10" ht="34" hidden="1" x14ac:dyDescent="0.2">
      <c r="A178" s="21">
        <v>6150</v>
      </c>
      <c r="B178" s="20">
        <v>220</v>
      </c>
      <c r="C178" s="20" t="s">
        <v>45</v>
      </c>
      <c r="D178" s="21">
        <v>1</v>
      </c>
      <c r="E178" s="22" t="s">
        <v>361</v>
      </c>
      <c r="F178" s="5"/>
      <c r="G178" s="12">
        <f t="shared" si="5"/>
        <v>318282</v>
      </c>
      <c r="H178" s="12">
        <f t="shared" si="6"/>
        <v>156766</v>
      </c>
      <c r="I178" s="31">
        <v>475048</v>
      </c>
    </row>
    <row r="179" spans="1:10" ht="34" hidden="1" x14ac:dyDescent="0.2">
      <c r="A179" s="9" t="s">
        <v>148</v>
      </c>
      <c r="B179" s="8">
        <v>220</v>
      </c>
      <c r="C179" s="8" t="s">
        <v>49</v>
      </c>
      <c r="D179" s="9">
        <v>14</v>
      </c>
      <c r="E179" s="10" t="s">
        <v>150</v>
      </c>
      <c r="F179" s="52"/>
      <c r="G179" s="12">
        <f t="shared" si="5"/>
        <v>292</v>
      </c>
      <c r="H179" s="12">
        <f t="shared" si="6"/>
        <v>144</v>
      </c>
      <c r="I179" s="13">
        <f>218*2</f>
        <v>436</v>
      </c>
    </row>
    <row r="180" spans="1:10" ht="34" hidden="1" x14ac:dyDescent="0.2">
      <c r="A180" s="21">
        <v>6150</v>
      </c>
      <c r="B180" s="20">
        <v>231</v>
      </c>
      <c r="C180" s="20" t="s">
        <v>45</v>
      </c>
      <c r="D180" s="21">
        <v>1</v>
      </c>
      <c r="E180" s="22" t="s">
        <v>362</v>
      </c>
      <c r="F180" s="5"/>
      <c r="G180" s="12">
        <f t="shared" si="5"/>
        <v>4110</v>
      </c>
      <c r="H180" s="12">
        <f t="shared" si="6"/>
        <v>2024</v>
      </c>
      <c r="I180" s="31">
        <v>6134</v>
      </c>
    </row>
    <row r="181" spans="1:10" ht="34" hidden="1" x14ac:dyDescent="0.2">
      <c r="A181" s="21">
        <v>6150</v>
      </c>
      <c r="B181" s="20">
        <v>232</v>
      </c>
      <c r="C181" s="20" t="s">
        <v>45</v>
      </c>
      <c r="D181" s="21">
        <v>1</v>
      </c>
      <c r="E181" s="22" t="s">
        <v>363</v>
      </c>
      <c r="F181" s="5"/>
      <c r="G181" s="12">
        <f t="shared" si="5"/>
        <v>21107</v>
      </c>
      <c r="H181" s="12">
        <f t="shared" si="6"/>
        <v>10396</v>
      </c>
      <c r="I181" s="57">
        <v>31503</v>
      </c>
    </row>
    <row r="182" spans="1:10" ht="34" hidden="1" x14ac:dyDescent="0.2">
      <c r="A182" s="21">
        <v>6150</v>
      </c>
      <c r="B182" s="20">
        <v>240</v>
      </c>
      <c r="C182" s="20" t="s">
        <v>45</v>
      </c>
      <c r="D182" s="21">
        <v>1</v>
      </c>
      <c r="E182" s="22" t="s">
        <v>364</v>
      </c>
      <c r="F182" s="5"/>
      <c r="G182" s="12">
        <f t="shared" si="5"/>
        <v>27084</v>
      </c>
      <c r="H182" s="12">
        <f t="shared" si="6"/>
        <v>13340</v>
      </c>
      <c r="I182" s="57">
        <v>40424</v>
      </c>
    </row>
    <row r="183" spans="1:10" ht="17" hidden="1" x14ac:dyDescent="0.2">
      <c r="A183" s="9" t="s">
        <v>148</v>
      </c>
      <c r="B183" s="8">
        <v>240</v>
      </c>
      <c r="C183" s="8" t="s">
        <v>49</v>
      </c>
      <c r="D183" s="9">
        <v>14</v>
      </c>
      <c r="E183" s="10" t="s">
        <v>151</v>
      </c>
      <c r="F183" s="52"/>
      <c r="G183" s="12">
        <f t="shared" si="5"/>
        <v>44</v>
      </c>
      <c r="H183" s="12">
        <f t="shared" si="6"/>
        <v>22</v>
      </c>
      <c r="I183" s="56">
        <f>33*2</f>
        <v>66</v>
      </c>
    </row>
    <row r="184" spans="1:10" ht="34" hidden="1" x14ac:dyDescent="0.2">
      <c r="A184" s="21">
        <v>6150</v>
      </c>
      <c r="B184" s="20">
        <v>330</v>
      </c>
      <c r="C184" s="20" t="s">
        <v>45</v>
      </c>
      <c r="D184" s="21">
        <v>4</v>
      </c>
      <c r="E184" s="22" t="s">
        <v>365</v>
      </c>
      <c r="F184" s="5"/>
      <c r="G184" s="12">
        <f t="shared" si="5"/>
        <v>18010</v>
      </c>
      <c r="H184" s="12">
        <f t="shared" si="6"/>
        <v>8870</v>
      </c>
      <c r="I184" s="23">
        <v>26880</v>
      </c>
    </row>
    <row r="185" spans="1:10" ht="17" hidden="1" x14ac:dyDescent="0.2">
      <c r="A185" s="20">
        <v>6150</v>
      </c>
      <c r="B185" s="20">
        <v>390</v>
      </c>
      <c r="C185" s="20" t="s">
        <v>47</v>
      </c>
      <c r="D185" s="21">
        <v>2</v>
      </c>
      <c r="E185" s="22" t="s">
        <v>366</v>
      </c>
      <c r="F185" s="5"/>
      <c r="G185" s="12">
        <f t="shared" si="5"/>
        <v>33500</v>
      </c>
      <c r="H185" s="12">
        <f t="shared" si="6"/>
        <v>16500</v>
      </c>
      <c r="I185" s="23">
        <v>50000</v>
      </c>
    </row>
    <row r="186" spans="1:10" s="15" customFormat="1" ht="34" hidden="1" x14ac:dyDescent="0.2">
      <c r="A186" s="20">
        <v>6150</v>
      </c>
      <c r="B186" s="20">
        <v>394</v>
      </c>
      <c r="C186" s="20" t="s">
        <v>31</v>
      </c>
      <c r="D186" s="21">
        <v>3</v>
      </c>
      <c r="E186" s="22" t="s">
        <v>368</v>
      </c>
      <c r="F186" s="5"/>
      <c r="G186" s="12">
        <f t="shared" si="5"/>
        <v>38343</v>
      </c>
      <c r="H186" s="12">
        <f t="shared" si="6"/>
        <v>18886</v>
      </c>
      <c r="I186" s="13">
        <v>57229</v>
      </c>
      <c r="J186" s="14"/>
    </row>
    <row r="187" spans="1:10" ht="17" hidden="1" x14ac:dyDescent="0.2">
      <c r="A187" s="20">
        <v>6150</v>
      </c>
      <c r="B187" s="20">
        <v>394</v>
      </c>
      <c r="C187" s="20" t="s">
        <v>47</v>
      </c>
      <c r="D187" s="21" t="s">
        <v>48</v>
      </c>
      <c r="E187" s="22" t="s">
        <v>367</v>
      </c>
      <c r="F187" s="5"/>
      <c r="G187" s="12">
        <f t="shared" si="5"/>
        <v>1834</v>
      </c>
      <c r="H187" s="12">
        <f t="shared" si="6"/>
        <v>903</v>
      </c>
      <c r="I187" s="32">
        <v>2737</v>
      </c>
    </row>
    <row r="188" spans="1:10" ht="34" hidden="1" x14ac:dyDescent="0.2">
      <c r="A188" s="20">
        <v>6150</v>
      </c>
      <c r="B188" s="20">
        <v>510</v>
      </c>
      <c r="C188" s="20" t="s">
        <v>45</v>
      </c>
      <c r="D188" s="21">
        <v>2</v>
      </c>
      <c r="E188" s="22" t="s">
        <v>369</v>
      </c>
      <c r="F188" s="5"/>
      <c r="G188" s="12">
        <f t="shared" si="5"/>
        <v>167500</v>
      </c>
      <c r="H188" s="12">
        <f t="shared" si="6"/>
        <v>82500</v>
      </c>
      <c r="I188" s="23">
        <v>250000</v>
      </c>
    </row>
    <row r="189" spans="1:10" ht="51" hidden="1" x14ac:dyDescent="0.2">
      <c r="A189" s="20">
        <v>6150</v>
      </c>
      <c r="B189" s="20">
        <v>590</v>
      </c>
      <c r="C189" s="20" t="s">
        <v>45</v>
      </c>
      <c r="D189" s="21">
        <v>2</v>
      </c>
      <c r="E189" s="22" t="s">
        <v>489</v>
      </c>
      <c r="F189" s="5"/>
      <c r="G189" s="12">
        <f t="shared" si="5"/>
        <v>67000</v>
      </c>
      <c r="H189" s="12">
        <f t="shared" si="6"/>
        <v>33000</v>
      </c>
      <c r="I189" s="23">
        <v>100000</v>
      </c>
    </row>
    <row r="190" spans="1:10" ht="17" hidden="1" x14ac:dyDescent="0.2">
      <c r="A190" s="8" t="s">
        <v>152</v>
      </c>
      <c r="B190" s="8">
        <v>130</v>
      </c>
      <c r="C190" s="8" t="s">
        <v>49</v>
      </c>
      <c r="D190" s="9">
        <v>14</v>
      </c>
      <c r="E190" s="10" t="s">
        <v>153</v>
      </c>
      <c r="F190" s="52"/>
      <c r="G190" s="12">
        <f t="shared" si="5"/>
        <v>9525</v>
      </c>
      <c r="H190" s="12">
        <f t="shared" si="6"/>
        <v>4691</v>
      </c>
      <c r="I190" s="13">
        <f>7108*2</f>
        <v>14216</v>
      </c>
    </row>
    <row r="191" spans="1:10" ht="34" hidden="1" x14ac:dyDescent="0.2">
      <c r="A191" s="8" t="s">
        <v>152</v>
      </c>
      <c r="B191" s="8">
        <v>220</v>
      </c>
      <c r="C191" s="8" t="s">
        <v>49</v>
      </c>
      <c r="D191" s="9">
        <v>14</v>
      </c>
      <c r="E191" s="10" t="s">
        <v>154</v>
      </c>
      <c r="F191" s="52"/>
      <c r="G191" s="12">
        <f t="shared" si="5"/>
        <v>729</v>
      </c>
      <c r="H191" s="12">
        <f t="shared" si="6"/>
        <v>359</v>
      </c>
      <c r="I191" s="13">
        <f>544*2</f>
        <v>1088</v>
      </c>
    </row>
    <row r="192" spans="1:10" ht="17" hidden="1" x14ac:dyDescent="0.2">
      <c r="A192" s="8" t="s">
        <v>152</v>
      </c>
      <c r="B192" s="8">
        <v>240</v>
      </c>
      <c r="C192" s="8" t="s">
        <v>49</v>
      </c>
      <c r="D192" s="9">
        <v>14</v>
      </c>
      <c r="E192" s="10" t="s">
        <v>155</v>
      </c>
      <c r="F192" s="52"/>
      <c r="G192" s="12">
        <f t="shared" si="5"/>
        <v>109</v>
      </c>
      <c r="H192" s="12">
        <f t="shared" si="6"/>
        <v>53</v>
      </c>
      <c r="I192" s="13">
        <f>81*2</f>
        <v>162</v>
      </c>
    </row>
    <row r="193" spans="1:10" ht="17" hidden="1" x14ac:dyDescent="0.2">
      <c r="A193" s="8" t="s">
        <v>156</v>
      </c>
      <c r="B193" s="8">
        <v>110</v>
      </c>
      <c r="C193" s="8" t="s">
        <v>49</v>
      </c>
      <c r="D193" s="9">
        <v>14</v>
      </c>
      <c r="E193" s="10" t="s">
        <v>157</v>
      </c>
      <c r="F193" s="52"/>
      <c r="G193" s="12">
        <f t="shared" si="5"/>
        <v>1905</v>
      </c>
      <c r="H193" s="12">
        <f t="shared" si="6"/>
        <v>939</v>
      </c>
      <c r="I193" s="13">
        <f>1422*2</f>
        <v>2844</v>
      </c>
    </row>
    <row r="194" spans="1:10" ht="51" hidden="1" x14ac:dyDescent="0.2">
      <c r="A194" s="81">
        <v>6200</v>
      </c>
      <c r="B194" s="81">
        <v>130</v>
      </c>
      <c r="C194" s="81" t="s">
        <v>31</v>
      </c>
      <c r="D194" s="82">
        <v>6</v>
      </c>
      <c r="E194" s="83" t="s">
        <v>483</v>
      </c>
      <c r="F194" s="84"/>
      <c r="G194" s="85">
        <f t="shared" ref="G194:G257" si="7">ROUND(I194*0.67,0)</f>
        <v>545766</v>
      </c>
      <c r="H194" s="85">
        <f t="shared" si="6"/>
        <v>268810</v>
      </c>
      <c r="I194" s="86">
        <v>814576</v>
      </c>
    </row>
    <row r="195" spans="1:10" s="15" customFormat="1" ht="17" hidden="1" x14ac:dyDescent="0.2">
      <c r="A195" s="8" t="s">
        <v>156</v>
      </c>
      <c r="B195" s="8">
        <v>130</v>
      </c>
      <c r="C195" s="8" t="s">
        <v>49</v>
      </c>
      <c r="D195" s="9">
        <v>14</v>
      </c>
      <c r="E195" s="10" t="s">
        <v>158</v>
      </c>
      <c r="F195" s="52"/>
      <c r="G195" s="12">
        <f t="shared" si="7"/>
        <v>87620</v>
      </c>
      <c r="H195" s="12">
        <f t="shared" si="6"/>
        <v>43156</v>
      </c>
      <c r="I195" s="13">
        <f>65388*2</f>
        <v>130776</v>
      </c>
      <c r="J195" s="14"/>
    </row>
    <row r="196" spans="1:10" ht="34" hidden="1" x14ac:dyDescent="0.2">
      <c r="A196" s="81">
        <v>6200</v>
      </c>
      <c r="B196" s="81">
        <v>150</v>
      </c>
      <c r="C196" s="81" t="s">
        <v>31</v>
      </c>
      <c r="D196" s="82">
        <v>6</v>
      </c>
      <c r="E196" s="83" t="s">
        <v>258</v>
      </c>
      <c r="F196" s="84"/>
      <c r="G196" s="85">
        <f t="shared" si="7"/>
        <v>34489</v>
      </c>
      <c r="H196" s="85">
        <f t="shared" si="6"/>
        <v>16987</v>
      </c>
      <c r="I196" s="86">
        <v>51476</v>
      </c>
    </row>
    <row r="197" spans="1:10" ht="17" hidden="1" x14ac:dyDescent="0.2">
      <c r="A197" s="8" t="s">
        <v>156</v>
      </c>
      <c r="B197" s="8">
        <v>150</v>
      </c>
      <c r="C197" s="8" t="s">
        <v>49</v>
      </c>
      <c r="D197" s="9">
        <v>14</v>
      </c>
      <c r="E197" s="10" t="s">
        <v>159</v>
      </c>
      <c r="F197" s="52"/>
      <c r="G197" s="12">
        <f t="shared" si="7"/>
        <v>15238</v>
      </c>
      <c r="H197" s="12">
        <f t="shared" si="6"/>
        <v>7506</v>
      </c>
      <c r="I197" s="13">
        <f>11372*2</f>
        <v>22744</v>
      </c>
    </row>
    <row r="198" spans="1:10" ht="17" hidden="1" x14ac:dyDescent="0.2">
      <c r="A198" s="8" t="s">
        <v>156</v>
      </c>
      <c r="B198" s="8">
        <v>160</v>
      </c>
      <c r="C198" s="8" t="s">
        <v>49</v>
      </c>
      <c r="D198" s="9">
        <v>14</v>
      </c>
      <c r="E198" s="10" t="s">
        <v>160</v>
      </c>
      <c r="F198" s="52"/>
      <c r="G198" s="12">
        <f t="shared" si="7"/>
        <v>9525</v>
      </c>
      <c r="H198" s="12">
        <f t="shared" si="6"/>
        <v>4691</v>
      </c>
      <c r="I198" s="13">
        <f>7108*2</f>
        <v>14216</v>
      </c>
    </row>
    <row r="199" spans="1:10" s="15" customFormat="1" ht="17" hidden="1" x14ac:dyDescent="0.2">
      <c r="A199" s="82">
        <v>6200</v>
      </c>
      <c r="B199" s="81">
        <v>210</v>
      </c>
      <c r="C199" s="81" t="s">
        <v>31</v>
      </c>
      <c r="D199" s="82">
        <v>6</v>
      </c>
      <c r="E199" s="87" t="s">
        <v>469</v>
      </c>
      <c r="F199" s="84"/>
      <c r="G199" s="85">
        <f t="shared" si="7"/>
        <v>63151</v>
      </c>
      <c r="H199" s="85">
        <f t="shared" si="6"/>
        <v>31104</v>
      </c>
      <c r="I199" s="86">
        <v>94255</v>
      </c>
      <c r="J199" s="14"/>
    </row>
    <row r="200" spans="1:10" ht="17" hidden="1" x14ac:dyDescent="0.2">
      <c r="A200" s="82">
        <v>6200</v>
      </c>
      <c r="B200" s="81">
        <v>220</v>
      </c>
      <c r="C200" s="81" t="s">
        <v>31</v>
      </c>
      <c r="D200" s="82">
        <v>6</v>
      </c>
      <c r="E200" s="87" t="s">
        <v>470</v>
      </c>
      <c r="F200" s="84"/>
      <c r="G200" s="85">
        <f t="shared" si="7"/>
        <v>34349</v>
      </c>
      <c r="H200" s="85">
        <f t="shared" si="6"/>
        <v>16918</v>
      </c>
      <c r="I200" s="86">
        <v>51267</v>
      </c>
    </row>
    <row r="201" spans="1:10" ht="34" hidden="1" x14ac:dyDescent="0.2">
      <c r="A201" s="81">
        <v>6200</v>
      </c>
      <c r="B201" s="81">
        <v>220</v>
      </c>
      <c r="C201" s="81" t="s">
        <v>31</v>
      </c>
      <c r="D201" s="82">
        <v>6</v>
      </c>
      <c r="E201" s="87" t="s">
        <v>471</v>
      </c>
      <c r="F201" s="84"/>
      <c r="G201" s="85">
        <f t="shared" si="7"/>
        <v>8032</v>
      </c>
      <c r="H201" s="85">
        <f t="shared" si="6"/>
        <v>3956</v>
      </c>
      <c r="I201" s="86">
        <v>11988</v>
      </c>
    </row>
    <row r="202" spans="1:10" ht="34" hidden="1" x14ac:dyDescent="0.2">
      <c r="A202" s="9" t="s">
        <v>156</v>
      </c>
      <c r="B202" s="8">
        <v>220</v>
      </c>
      <c r="C202" s="8" t="s">
        <v>49</v>
      </c>
      <c r="D202" s="9">
        <v>14</v>
      </c>
      <c r="E202" s="10" t="s">
        <v>161</v>
      </c>
      <c r="F202" s="52"/>
      <c r="G202" s="12">
        <f t="shared" si="7"/>
        <v>8744</v>
      </c>
      <c r="H202" s="12">
        <f t="shared" si="6"/>
        <v>4307</v>
      </c>
      <c r="I202" s="13">
        <f>6525*2</f>
        <v>13050</v>
      </c>
    </row>
    <row r="203" spans="1:10" ht="17" hidden="1" x14ac:dyDescent="0.2">
      <c r="A203" s="82">
        <v>6200</v>
      </c>
      <c r="B203" s="81">
        <v>231</v>
      </c>
      <c r="C203" s="81" t="s">
        <v>31</v>
      </c>
      <c r="D203" s="82">
        <v>6</v>
      </c>
      <c r="E203" s="87" t="s">
        <v>472</v>
      </c>
      <c r="F203" s="84"/>
      <c r="G203" s="85">
        <f t="shared" si="7"/>
        <v>82547</v>
      </c>
      <c r="H203" s="85">
        <f t="shared" si="6"/>
        <v>40657</v>
      </c>
      <c r="I203" s="86">
        <v>123204</v>
      </c>
    </row>
    <row r="204" spans="1:10" ht="17" hidden="1" x14ac:dyDescent="0.2">
      <c r="A204" s="82">
        <v>6200</v>
      </c>
      <c r="B204" s="81">
        <v>232</v>
      </c>
      <c r="C204" s="81" t="s">
        <v>31</v>
      </c>
      <c r="D204" s="82">
        <v>6</v>
      </c>
      <c r="E204" s="87" t="s">
        <v>473</v>
      </c>
      <c r="F204" s="84"/>
      <c r="G204" s="85">
        <f t="shared" si="7"/>
        <v>1443</v>
      </c>
      <c r="H204" s="85">
        <f t="shared" si="6"/>
        <v>711</v>
      </c>
      <c r="I204" s="86">
        <v>2154</v>
      </c>
    </row>
    <row r="205" spans="1:10" ht="34" hidden="1" x14ac:dyDescent="0.2">
      <c r="A205" s="82">
        <v>6200</v>
      </c>
      <c r="B205" s="81">
        <v>240</v>
      </c>
      <c r="C205" s="81" t="s">
        <v>31</v>
      </c>
      <c r="D205" s="82">
        <v>6</v>
      </c>
      <c r="E205" s="87" t="s">
        <v>474</v>
      </c>
      <c r="F205" s="84"/>
      <c r="G205" s="85">
        <f t="shared" si="7"/>
        <v>4212</v>
      </c>
      <c r="H205" s="85">
        <f t="shared" si="6"/>
        <v>2074</v>
      </c>
      <c r="I205" s="86">
        <v>6286</v>
      </c>
    </row>
    <row r="206" spans="1:10" ht="17" hidden="1" x14ac:dyDescent="0.2">
      <c r="A206" s="9" t="s">
        <v>156</v>
      </c>
      <c r="B206" s="8">
        <v>240</v>
      </c>
      <c r="C206" s="8" t="s">
        <v>49</v>
      </c>
      <c r="D206" s="9">
        <v>14</v>
      </c>
      <c r="E206" s="10" t="s">
        <v>162</v>
      </c>
      <c r="F206" s="52"/>
      <c r="G206" s="12">
        <f t="shared" si="7"/>
        <v>1292</v>
      </c>
      <c r="H206" s="12">
        <f t="shared" si="6"/>
        <v>636</v>
      </c>
      <c r="I206" s="13">
        <f>964*2</f>
        <v>1928</v>
      </c>
    </row>
    <row r="207" spans="1:10" ht="85" hidden="1" x14ac:dyDescent="0.2">
      <c r="A207" s="21">
        <v>6300</v>
      </c>
      <c r="B207" s="20">
        <v>110</v>
      </c>
      <c r="C207" s="20" t="s">
        <v>49</v>
      </c>
      <c r="D207" s="21">
        <v>1</v>
      </c>
      <c r="E207" s="22" t="s">
        <v>370</v>
      </c>
      <c r="F207" s="5">
        <v>1</v>
      </c>
      <c r="G207" s="12">
        <f t="shared" si="7"/>
        <v>111165</v>
      </c>
      <c r="H207" s="12">
        <f t="shared" si="6"/>
        <v>54753</v>
      </c>
      <c r="I207" s="23">
        <v>165918</v>
      </c>
    </row>
    <row r="208" spans="1:10" ht="34" hidden="1" x14ac:dyDescent="0.2">
      <c r="A208" s="21">
        <v>6300</v>
      </c>
      <c r="B208" s="20">
        <v>110</v>
      </c>
      <c r="C208" s="20" t="s">
        <v>49</v>
      </c>
      <c r="D208" s="21">
        <v>10</v>
      </c>
      <c r="E208" s="22" t="s">
        <v>371</v>
      </c>
      <c r="F208" s="5">
        <v>1</v>
      </c>
      <c r="G208" s="12">
        <f t="shared" si="7"/>
        <v>234966</v>
      </c>
      <c r="H208" s="12">
        <f t="shared" si="6"/>
        <v>115730</v>
      </c>
      <c r="I208" s="23">
        <v>350696</v>
      </c>
    </row>
    <row r="209" spans="1:10" ht="34" hidden="1" x14ac:dyDescent="0.2">
      <c r="A209" s="9" t="s">
        <v>163</v>
      </c>
      <c r="B209" s="8">
        <v>110</v>
      </c>
      <c r="C209" s="8" t="s">
        <v>49</v>
      </c>
      <c r="D209" s="9">
        <v>14</v>
      </c>
      <c r="E209" s="10" t="s">
        <v>164</v>
      </c>
      <c r="F209" s="11"/>
      <c r="G209" s="12">
        <f t="shared" si="7"/>
        <v>15715</v>
      </c>
      <c r="H209" s="12">
        <f t="shared" si="6"/>
        <v>7740</v>
      </c>
      <c r="I209" s="13">
        <f>23455*1</f>
        <v>23455</v>
      </c>
    </row>
    <row r="210" spans="1:10" ht="68" hidden="1" x14ac:dyDescent="0.2">
      <c r="A210" s="21">
        <v>6300</v>
      </c>
      <c r="B210" s="20">
        <v>120</v>
      </c>
      <c r="C210" s="20">
        <v>1</v>
      </c>
      <c r="D210" s="21">
        <v>10</v>
      </c>
      <c r="E210" s="22" t="s">
        <v>372</v>
      </c>
      <c r="F210" s="5"/>
      <c r="G210" s="12">
        <f t="shared" si="7"/>
        <v>15075000</v>
      </c>
      <c r="H210" s="12">
        <f t="shared" si="6"/>
        <v>7425000</v>
      </c>
      <c r="I210" s="23">
        <v>22500000</v>
      </c>
    </row>
    <row r="211" spans="1:10" ht="51" hidden="1" x14ac:dyDescent="0.2">
      <c r="A211" s="20">
        <v>6300</v>
      </c>
      <c r="B211" s="20">
        <v>130</v>
      </c>
      <c r="C211" s="20" t="s">
        <v>49</v>
      </c>
      <c r="D211" s="21">
        <v>2</v>
      </c>
      <c r="E211" s="22" t="s">
        <v>373</v>
      </c>
      <c r="F211" s="5">
        <v>1</v>
      </c>
      <c r="G211" s="12">
        <f t="shared" si="7"/>
        <v>127970</v>
      </c>
      <c r="H211" s="12">
        <f t="shared" si="6"/>
        <v>63030</v>
      </c>
      <c r="I211" s="23">
        <v>191000</v>
      </c>
    </row>
    <row r="212" spans="1:10" ht="34" hidden="1" x14ac:dyDescent="0.2">
      <c r="A212" s="81">
        <v>6300</v>
      </c>
      <c r="B212" s="81">
        <v>130</v>
      </c>
      <c r="C212" s="81" t="s">
        <v>31</v>
      </c>
      <c r="D212" s="82">
        <v>6</v>
      </c>
      <c r="E212" s="87" t="s">
        <v>259</v>
      </c>
      <c r="F212" s="84"/>
      <c r="G212" s="85">
        <f t="shared" si="7"/>
        <v>50687</v>
      </c>
      <c r="H212" s="85">
        <f t="shared" si="6"/>
        <v>24965</v>
      </c>
      <c r="I212" s="86">
        <v>75652</v>
      </c>
    </row>
    <row r="213" spans="1:10" s="15" customFormat="1" ht="68" hidden="1" x14ac:dyDescent="0.2">
      <c r="A213" s="8">
        <v>6300</v>
      </c>
      <c r="B213" s="8">
        <v>130</v>
      </c>
      <c r="C213" s="8">
        <v>1</v>
      </c>
      <c r="D213" s="9">
        <v>14</v>
      </c>
      <c r="E213" s="10" t="s">
        <v>374</v>
      </c>
      <c r="F213" s="11">
        <v>3</v>
      </c>
      <c r="G213" s="12">
        <f t="shared" si="7"/>
        <v>189123</v>
      </c>
      <c r="H213" s="12">
        <f t="shared" si="6"/>
        <v>93150</v>
      </c>
      <c r="I213" s="13">
        <v>282273</v>
      </c>
      <c r="J213" s="14"/>
    </row>
    <row r="214" spans="1:10" s="15" customFormat="1" ht="34" hidden="1" x14ac:dyDescent="0.2">
      <c r="A214" s="8" t="s">
        <v>163</v>
      </c>
      <c r="B214" s="8">
        <v>130</v>
      </c>
      <c r="C214" s="8" t="s">
        <v>49</v>
      </c>
      <c r="D214" s="9">
        <v>14</v>
      </c>
      <c r="E214" s="10" t="s">
        <v>165</v>
      </c>
      <c r="F214" s="11"/>
      <c r="G214" s="12">
        <f t="shared" si="7"/>
        <v>67619</v>
      </c>
      <c r="H214" s="12">
        <f t="shared" si="6"/>
        <v>33305</v>
      </c>
      <c r="I214" s="13">
        <f>50462*2</f>
        <v>100924</v>
      </c>
      <c r="J214" s="14"/>
    </row>
    <row r="215" spans="1:10" s="15" customFormat="1" ht="51" hidden="1" x14ac:dyDescent="0.2">
      <c r="A215" s="8">
        <v>6300</v>
      </c>
      <c r="B215" s="8">
        <v>160</v>
      </c>
      <c r="C215" s="8" t="s">
        <v>49</v>
      </c>
      <c r="D215" s="9">
        <v>12</v>
      </c>
      <c r="E215" s="10" t="s">
        <v>375</v>
      </c>
      <c r="F215" s="11">
        <v>1</v>
      </c>
      <c r="G215" s="12">
        <f t="shared" si="7"/>
        <v>81055</v>
      </c>
      <c r="H215" s="12">
        <f t="shared" si="6"/>
        <v>39923</v>
      </c>
      <c r="I215" s="13">
        <v>120978</v>
      </c>
      <c r="J215" s="14"/>
    </row>
    <row r="216" spans="1:10" s="15" customFormat="1" ht="34" hidden="1" x14ac:dyDescent="0.2">
      <c r="A216" s="8" t="s">
        <v>163</v>
      </c>
      <c r="B216" s="8">
        <v>160</v>
      </c>
      <c r="C216" s="8" t="s">
        <v>49</v>
      </c>
      <c r="D216" s="9">
        <v>14</v>
      </c>
      <c r="E216" s="10" t="s">
        <v>166</v>
      </c>
      <c r="F216" s="11"/>
      <c r="G216" s="12">
        <f t="shared" si="7"/>
        <v>54286</v>
      </c>
      <c r="H216" s="12">
        <f t="shared" si="6"/>
        <v>26738</v>
      </c>
      <c r="I216" s="13">
        <f>40512*2</f>
        <v>81024</v>
      </c>
      <c r="J216" s="14"/>
    </row>
    <row r="217" spans="1:10" s="15" customFormat="1" ht="17" hidden="1" x14ac:dyDescent="0.2">
      <c r="A217" s="8">
        <v>6300</v>
      </c>
      <c r="B217" s="8">
        <v>210</v>
      </c>
      <c r="C217" s="8" t="s">
        <v>49</v>
      </c>
      <c r="D217" s="9">
        <v>1</v>
      </c>
      <c r="E217" s="10" t="s">
        <v>376</v>
      </c>
      <c r="F217" s="11"/>
      <c r="G217" s="12">
        <f t="shared" si="7"/>
        <v>11795</v>
      </c>
      <c r="H217" s="12">
        <f t="shared" si="6"/>
        <v>5809</v>
      </c>
      <c r="I217" s="13">
        <v>17604</v>
      </c>
      <c r="J217" s="14"/>
    </row>
    <row r="218" spans="1:10" s="15" customFormat="1" ht="34" hidden="1" x14ac:dyDescent="0.2">
      <c r="A218" s="8">
        <v>6300</v>
      </c>
      <c r="B218" s="8">
        <v>210</v>
      </c>
      <c r="C218" s="8" t="s">
        <v>49</v>
      </c>
      <c r="D218" s="9">
        <v>2</v>
      </c>
      <c r="E218" s="10" t="s">
        <v>377</v>
      </c>
      <c r="F218" s="11"/>
      <c r="G218" s="12">
        <f t="shared" si="7"/>
        <v>13578</v>
      </c>
      <c r="H218" s="12">
        <f t="shared" si="6"/>
        <v>6688</v>
      </c>
      <c r="I218" s="13">
        <v>20266</v>
      </c>
      <c r="J218" s="14"/>
    </row>
    <row r="219" spans="1:10" s="15" customFormat="1" ht="17" hidden="1" x14ac:dyDescent="0.2">
      <c r="A219" s="81">
        <v>6300</v>
      </c>
      <c r="B219" s="81">
        <v>210</v>
      </c>
      <c r="C219" s="81" t="s">
        <v>31</v>
      </c>
      <c r="D219" s="82">
        <v>6</v>
      </c>
      <c r="E219" s="87" t="s">
        <v>475</v>
      </c>
      <c r="F219" s="84"/>
      <c r="G219" s="85">
        <f t="shared" si="7"/>
        <v>5239</v>
      </c>
      <c r="H219" s="85">
        <f t="shared" si="6"/>
        <v>2581</v>
      </c>
      <c r="I219" s="86">
        <v>7820</v>
      </c>
      <c r="J219" s="14"/>
    </row>
    <row r="220" spans="1:10" s="15" customFormat="1" ht="34" hidden="1" x14ac:dyDescent="0.2">
      <c r="A220" s="8">
        <v>6300</v>
      </c>
      <c r="B220" s="8">
        <v>210</v>
      </c>
      <c r="C220" s="8" t="s">
        <v>49</v>
      </c>
      <c r="D220" s="9">
        <v>10</v>
      </c>
      <c r="E220" s="10" t="s">
        <v>378</v>
      </c>
      <c r="F220" s="11"/>
      <c r="G220" s="12">
        <f t="shared" si="7"/>
        <v>26810</v>
      </c>
      <c r="H220" s="12">
        <f t="shared" si="6"/>
        <v>13205</v>
      </c>
      <c r="I220" s="13">
        <v>40015</v>
      </c>
      <c r="J220" s="14"/>
    </row>
    <row r="221" spans="1:10" s="15" customFormat="1" ht="17" hidden="1" x14ac:dyDescent="0.2">
      <c r="A221" s="8">
        <v>6300</v>
      </c>
      <c r="B221" s="8">
        <v>210</v>
      </c>
      <c r="C221" s="8">
        <v>1</v>
      </c>
      <c r="D221" s="9">
        <v>10</v>
      </c>
      <c r="E221" s="33" t="s">
        <v>381</v>
      </c>
      <c r="F221" s="11"/>
      <c r="G221" s="12">
        <f t="shared" si="7"/>
        <v>1720058</v>
      </c>
      <c r="H221" s="12">
        <f t="shared" si="6"/>
        <v>847193</v>
      </c>
      <c r="I221" s="13">
        <v>2567250</v>
      </c>
      <c r="J221" s="14"/>
    </row>
    <row r="222" spans="1:10" s="15" customFormat="1" ht="34" hidden="1" x14ac:dyDescent="0.2">
      <c r="A222" s="8">
        <v>6300</v>
      </c>
      <c r="B222" s="8">
        <v>210</v>
      </c>
      <c r="C222" s="8" t="s">
        <v>49</v>
      </c>
      <c r="D222" s="9">
        <v>12</v>
      </c>
      <c r="E222" s="10" t="s">
        <v>379</v>
      </c>
      <c r="F222" s="11"/>
      <c r="G222" s="12">
        <f t="shared" si="7"/>
        <v>8600</v>
      </c>
      <c r="H222" s="12">
        <f t="shared" si="6"/>
        <v>4236</v>
      </c>
      <c r="I222" s="13">
        <v>12835.77</v>
      </c>
      <c r="J222" s="14"/>
    </row>
    <row r="223" spans="1:10" s="15" customFormat="1" ht="17" hidden="1" x14ac:dyDescent="0.2">
      <c r="A223" s="8">
        <v>6300</v>
      </c>
      <c r="B223" s="8">
        <v>210</v>
      </c>
      <c r="C223" s="8">
        <v>1</v>
      </c>
      <c r="D223" s="9">
        <v>14</v>
      </c>
      <c r="E223" s="33" t="s">
        <v>380</v>
      </c>
      <c r="F223" s="11"/>
      <c r="G223" s="12">
        <f t="shared" si="7"/>
        <v>21646</v>
      </c>
      <c r="H223" s="12">
        <f t="shared" si="6"/>
        <v>10662</v>
      </c>
      <c r="I223" s="13">
        <v>32308</v>
      </c>
      <c r="J223" s="14"/>
    </row>
    <row r="224" spans="1:10" s="15" customFormat="1" ht="17" hidden="1" x14ac:dyDescent="0.2">
      <c r="A224" s="8">
        <v>6300</v>
      </c>
      <c r="B224" s="8">
        <v>220</v>
      </c>
      <c r="C224" s="8" t="s">
        <v>49</v>
      </c>
      <c r="D224" s="9">
        <v>1</v>
      </c>
      <c r="E224" s="10" t="s">
        <v>384</v>
      </c>
      <c r="F224" s="11"/>
      <c r="G224" s="12">
        <f t="shared" si="7"/>
        <v>6892</v>
      </c>
      <c r="H224" s="12">
        <f t="shared" si="6"/>
        <v>3395</v>
      </c>
      <c r="I224" s="13">
        <v>10287</v>
      </c>
      <c r="J224" s="14"/>
    </row>
    <row r="225" spans="1:19" s="15" customFormat="1" ht="34" hidden="1" x14ac:dyDescent="0.2">
      <c r="A225" s="8">
        <v>6300</v>
      </c>
      <c r="B225" s="8">
        <v>220</v>
      </c>
      <c r="C225" s="8" t="s">
        <v>49</v>
      </c>
      <c r="D225" s="9">
        <v>1</v>
      </c>
      <c r="E225" s="10" t="s">
        <v>385</v>
      </c>
      <c r="F225" s="11"/>
      <c r="G225" s="12">
        <f t="shared" si="7"/>
        <v>1612</v>
      </c>
      <c r="H225" s="12">
        <f t="shared" si="6"/>
        <v>794</v>
      </c>
      <c r="I225" s="13">
        <v>2406</v>
      </c>
      <c r="J225" s="14"/>
    </row>
    <row r="226" spans="1:19" s="15" customFormat="1" ht="17" hidden="1" x14ac:dyDescent="0.2">
      <c r="A226" s="8">
        <v>6300</v>
      </c>
      <c r="B226" s="8">
        <v>220</v>
      </c>
      <c r="C226" s="8" t="s">
        <v>49</v>
      </c>
      <c r="D226" s="9">
        <v>2</v>
      </c>
      <c r="E226" s="10" t="s">
        <v>51</v>
      </c>
      <c r="F226" s="11"/>
      <c r="G226" s="12">
        <f t="shared" si="7"/>
        <v>7934</v>
      </c>
      <c r="H226" s="12">
        <f t="shared" si="6"/>
        <v>3908</v>
      </c>
      <c r="I226" s="13">
        <v>11842</v>
      </c>
      <c r="J226" s="14"/>
    </row>
    <row r="227" spans="1:19" ht="34" hidden="1" x14ac:dyDescent="0.2">
      <c r="A227" s="8">
        <v>6300</v>
      </c>
      <c r="B227" s="8">
        <v>220</v>
      </c>
      <c r="C227" s="8" t="s">
        <v>49</v>
      </c>
      <c r="D227" s="9">
        <v>2</v>
      </c>
      <c r="E227" s="10" t="s">
        <v>386</v>
      </c>
      <c r="F227" s="11"/>
      <c r="G227" s="12">
        <f t="shared" si="7"/>
        <v>1856</v>
      </c>
      <c r="H227" s="12">
        <f t="shared" si="6"/>
        <v>914</v>
      </c>
      <c r="I227" s="13">
        <v>2770</v>
      </c>
    </row>
    <row r="228" spans="1:19" s="15" customFormat="1" ht="17" hidden="1" x14ac:dyDescent="0.2">
      <c r="A228" s="88">
        <v>6300</v>
      </c>
      <c r="B228" s="88">
        <v>220</v>
      </c>
      <c r="C228" s="88" t="s">
        <v>31</v>
      </c>
      <c r="D228" s="82">
        <v>6</v>
      </c>
      <c r="E228" s="87" t="s">
        <v>476</v>
      </c>
      <c r="F228" s="89"/>
      <c r="G228" s="90">
        <f t="shared" si="7"/>
        <v>3002</v>
      </c>
      <c r="H228" s="90">
        <f t="shared" si="6"/>
        <v>1478</v>
      </c>
      <c r="I228" s="91">
        <v>4480</v>
      </c>
      <c r="J228" s="14"/>
      <c r="S228" s="80"/>
    </row>
    <row r="229" spans="1:19" s="45" customFormat="1" ht="17" hidden="1" x14ac:dyDescent="0.2">
      <c r="A229" s="81">
        <v>6300</v>
      </c>
      <c r="B229" s="81">
        <v>220</v>
      </c>
      <c r="C229" s="81" t="s">
        <v>31</v>
      </c>
      <c r="D229" s="82">
        <v>6</v>
      </c>
      <c r="E229" s="87" t="s">
        <v>477</v>
      </c>
      <c r="F229" s="84"/>
      <c r="G229" s="85">
        <f t="shared" si="7"/>
        <v>702</v>
      </c>
      <c r="H229" s="85">
        <f t="shared" si="6"/>
        <v>346</v>
      </c>
      <c r="I229" s="86">
        <v>1048</v>
      </c>
      <c r="J229" s="43"/>
      <c r="K229" s="44"/>
      <c r="L229" s="44"/>
      <c r="M229" s="44"/>
      <c r="N229" s="44"/>
      <c r="O229" s="44"/>
      <c r="P229" s="44"/>
      <c r="Q229" s="44"/>
      <c r="R229" s="44"/>
      <c r="S229" s="30"/>
    </row>
    <row r="230" spans="1:19" s="15" customFormat="1" ht="34" hidden="1" x14ac:dyDescent="0.2">
      <c r="A230" s="46">
        <v>6300</v>
      </c>
      <c r="B230" s="46">
        <v>220</v>
      </c>
      <c r="C230" s="46">
        <v>1</v>
      </c>
      <c r="D230" s="9">
        <v>10</v>
      </c>
      <c r="E230" s="10" t="s">
        <v>382</v>
      </c>
      <c r="F230" s="47"/>
      <c r="G230" s="48">
        <f t="shared" si="7"/>
        <v>1720058</v>
      </c>
      <c r="H230" s="48">
        <f t="shared" si="6"/>
        <v>847193</v>
      </c>
      <c r="I230" s="49">
        <v>2567250</v>
      </c>
      <c r="J230" s="14"/>
    </row>
    <row r="231" spans="1:19" s="15" customFormat="1" ht="17" hidden="1" x14ac:dyDescent="0.2">
      <c r="A231" s="8">
        <v>6300</v>
      </c>
      <c r="B231" s="8">
        <v>220</v>
      </c>
      <c r="C231" s="8">
        <v>1</v>
      </c>
      <c r="D231" s="9">
        <v>10</v>
      </c>
      <c r="E231" s="10" t="s">
        <v>383</v>
      </c>
      <c r="F231" s="11"/>
      <c r="G231" s="12">
        <f t="shared" si="7"/>
        <v>218588</v>
      </c>
      <c r="H231" s="12">
        <f t="shared" si="6"/>
        <v>107663</v>
      </c>
      <c r="I231" s="13">
        <v>326250</v>
      </c>
      <c r="J231" s="14"/>
    </row>
    <row r="232" spans="1:19" s="15" customFormat="1" ht="34" hidden="1" x14ac:dyDescent="0.2">
      <c r="A232" s="8">
        <v>6300</v>
      </c>
      <c r="B232" s="8">
        <v>220</v>
      </c>
      <c r="C232" s="8" t="s">
        <v>49</v>
      </c>
      <c r="D232" s="9">
        <v>10</v>
      </c>
      <c r="E232" s="10" t="s">
        <v>50</v>
      </c>
      <c r="F232" s="11"/>
      <c r="G232" s="12">
        <f t="shared" si="7"/>
        <v>7284</v>
      </c>
      <c r="H232" s="12">
        <f t="shared" ref="H232:H295" si="8">ROUND(I232*0.33,0)</f>
        <v>3588</v>
      </c>
      <c r="I232" s="13">
        <v>10872</v>
      </c>
      <c r="J232" s="14"/>
    </row>
    <row r="233" spans="1:19" s="15" customFormat="1" ht="34" hidden="1" x14ac:dyDescent="0.2">
      <c r="A233" s="8">
        <v>6300</v>
      </c>
      <c r="B233" s="8">
        <v>220</v>
      </c>
      <c r="C233" s="8" t="s">
        <v>49</v>
      </c>
      <c r="D233" s="9">
        <v>10</v>
      </c>
      <c r="E233" s="10" t="s">
        <v>387</v>
      </c>
      <c r="F233" s="11"/>
      <c r="G233" s="12">
        <f t="shared" si="7"/>
        <v>3408</v>
      </c>
      <c r="H233" s="12">
        <f t="shared" si="8"/>
        <v>1678</v>
      </c>
      <c r="I233" s="13">
        <v>5086</v>
      </c>
      <c r="J233" s="14"/>
    </row>
    <row r="234" spans="1:19" ht="17" hidden="1" x14ac:dyDescent="0.2">
      <c r="A234" s="8">
        <v>6300</v>
      </c>
      <c r="B234" s="8">
        <v>220</v>
      </c>
      <c r="C234" s="8" t="s">
        <v>49</v>
      </c>
      <c r="D234" s="9">
        <v>12</v>
      </c>
      <c r="E234" s="10" t="s">
        <v>52</v>
      </c>
      <c r="F234" s="11"/>
      <c r="G234" s="12">
        <f t="shared" si="7"/>
        <v>5026</v>
      </c>
      <c r="H234" s="12">
        <f t="shared" si="8"/>
        <v>2475</v>
      </c>
      <c r="I234" s="13">
        <v>7501</v>
      </c>
    </row>
    <row r="235" spans="1:19" ht="34" hidden="1" x14ac:dyDescent="0.2">
      <c r="A235" s="8">
        <v>6300</v>
      </c>
      <c r="B235" s="8">
        <v>220</v>
      </c>
      <c r="C235" s="8" t="s">
        <v>49</v>
      </c>
      <c r="D235" s="9">
        <v>12</v>
      </c>
      <c r="E235" s="10" t="s">
        <v>388</v>
      </c>
      <c r="F235" s="53"/>
      <c r="G235" s="12">
        <f t="shared" si="7"/>
        <v>1176</v>
      </c>
      <c r="H235" s="12">
        <f t="shared" si="8"/>
        <v>579</v>
      </c>
      <c r="I235" s="13">
        <v>1755</v>
      </c>
      <c r="J235" s="7"/>
    </row>
    <row r="236" spans="1:19" ht="17" hidden="1" x14ac:dyDescent="0.2">
      <c r="A236" s="8">
        <v>6300</v>
      </c>
      <c r="B236" s="8">
        <v>220</v>
      </c>
      <c r="C236" s="8">
        <v>1</v>
      </c>
      <c r="D236" s="9">
        <v>14</v>
      </c>
      <c r="E236" s="10" t="s">
        <v>53</v>
      </c>
      <c r="F236" s="53"/>
      <c r="G236" s="12">
        <f t="shared" si="7"/>
        <v>11726</v>
      </c>
      <c r="H236" s="12">
        <f t="shared" si="8"/>
        <v>5775</v>
      </c>
      <c r="I236" s="13">
        <v>17501</v>
      </c>
      <c r="J236" s="7"/>
    </row>
    <row r="237" spans="1:19" ht="34" hidden="1" x14ac:dyDescent="0.2">
      <c r="A237" s="8">
        <v>6300</v>
      </c>
      <c r="B237" s="8">
        <v>220</v>
      </c>
      <c r="C237" s="8">
        <v>1</v>
      </c>
      <c r="D237" s="9">
        <v>14</v>
      </c>
      <c r="E237" s="10" t="s">
        <v>389</v>
      </c>
      <c r="F237" s="53"/>
      <c r="G237" s="12">
        <f t="shared" si="7"/>
        <v>2742</v>
      </c>
      <c r="H237" s="12">
        <f t="shared" si="8"/>
        <v>1351</v>
      </c>
      <c r="I237" s="13">
        <v>4093</v>
      </c>
      <c r="J237" s="7"/>
    </row>
    <row r="238" spans="1:19" ht="17" hidden="1" x14ac:dyDescent="0.2">
      <c r="A238" s="8" t="s">
        <v>163</v>
      </c>
      <c r="B238" s="8">
        <v>220</v>
      </c>
      <c r="C238" s="8" t="s">
        <v>49</v>
      </c>
      <c r="D238" s="9">
        <v>14</v>
      </c>
      <c r="E238" s="10" t="s">
        <v>167</v>
      </c>
      <c r="F238" s="53"/>
      <c r="G238" s="12">
        <f t="shared" si="7"/>
        <v>11730</v>
      </c>
      <c r="H238" s="12">
        <f t="shared" si="8"/>
        <v>5778</v>
      </c>
      <c r="I238" s="13">
        <f>8754*2</f>
        <v>17508</v>
      </c>
      <c r="J238" s="7"/>
    </row>
    <row r="239" spans="1:19" ht="34" hidden="1" x14ac:dyDescent="0.2">
      <c r="A239" s="8">
        <v>6300</v>
      </c>
      <c r="B239" s="8">
        <v>231</v>
      </c>
      <c r="C239" s="8" t="s">
        <v>49</v>
      </c>
      <c r="D239" s="9">
        <v>1</v>
      </c>
      <c r="E239" s="10" t="s">
        <v>390</v>
      </c>
      <c r="F239" s="53"/>
      <c r="G239" s="12">
        <f t="shared" si="7"/>
        <v>26257</v>
      </c>
      <c r="H239" s="12">
        <f t="shared" si="8"/>
        <v>12933</v>
      </c>
      <c r="I239" s="13">
        <v>39190</v>
      </c>
      <c r="J239" s="7"/>
    </row>
    <row r="240" spans="1:19" ht="34" hidden="1" x14ac:dyDescent="0.2">
      <c r="A240" s="8">
        <v>6300</v>
      </c>
      <c r="B240" s="8">
        <v>231</v>
      </c>
      <c r="C240" s="8" t="s">
        <v>49</v>
      </c>
      <c r="D240" s="9">
        <v>2</v>
      </c>
      <c r="E240" s="10" t="s">
        <v>391</v>
      </c>
      <c r="F240" s="53"/>
      <c r="G240" s="12">
        <f t="shared" si="7"/>
        <v>30227</v>
      </c>
      <c r="H240" s="12">
        <f t="shared" si="8"/>
        <v>14888</v>
      </c>
      <c r="I240" s="13">
        <v>45115</v>
      </c>
      <c r="J240" s="7"/>
    </row>
    <row r="241" spans="1:10" ht="17" hidden="1" x14ac:dyDescent="0.2">
      <c r="A241" s="81">
        <v>6300</v>
      </c>
      <c r="B241" s="81">
        <v>231</v>
      </c>
      <c r="C241" s="81" t="s">
        <v>31</v>
      </c>
      <c r="D241" s="82">
        <v>6</v>
      </c>
      <c r="E241" s="87" t="s">
        <v>478</v>
      </c>
      <c r="F241" s="92"/>
      <c r="G241" s="85">
        <f t="shared" si="7"/>
        <v>5100</v>
      </c>
      <c r="H241" s="85">
        <f t="shared" si="8"/>
        <v>2512</v>
      </c>
      <c r="I241" s="86">
        <v>7612</v>
      </c>
      <c r="J241" s="7"/>
    </row>
    <row r="242" spans="1:10" ht="34" hidden="1" x14ac:dyDescent="0.2">
      <c r="A242" s="8">
        <v>6300</v>
      </c>
      <c r="B242" s="8">
        <v>231</v>
      </c>
      <c r="C242" s="8" t="s">
        <v>49</v>
      </c>
      <c r="D242" s="9">
        <v>10</v>
      </c>
      <c r="E242" s="10" t="s">
        <v>392</v>
      </c>
      <c r="F242" s="11"/>
      <c r="G242" s="12">
        <f t="shared" si="7"/>
        <v>40156</v>
      </c>
      <c r="H242" s="12">
        <f t="shared" si="8"/>
        <v>19778</v>
      </c>
      <c r="I242" s="13">
        <v>59934</v>
      </c>
      <c r="J242" s="7"/>
    </row>
    <row r="243" spans="1:10" ht="34" hidden="1" x14ac:dyDescent="0.2">
      <c r="A243" s="8">
        <v>6300</v>
      </c>
      <c r="B243" s="8">
        <v>231</v>
      </c>
      <c r="C243" s="8" t="s">
        <v>49</v>
      </c>
      <c r="D243" s="9">
        <v>12</v>
      </c>
      <c r="E243" s="10" t="s">
        <v>393</v>
      </c>
      <c r="F243" s="11"/>
      <c r="G243" s="12">
        <f t="shared" si="7"/>
        <v>19146</v>
      </c>
      <c r="H243" s="12">
        <f t="shared" si="8"/>
        <v>9430</v>
      </c>
      <c r="I243" s="13">
        <v>28576</v>
      </c>
      <c r="J243" s="7"/>
    </row>
    <row r="244" spans="1:10" ht="17" hidden="1" x14ac:dyDescent="0.2">
      <c r="A244" s="8">
        <v>6300</v>
      </c>
      <c r="B244" s="8">
        <v>231</v>
      </c>
      <c r="C244" s="8">
        <v>1</v>
      </c>
      <c r="D244" s="9">
        <v>14</v>
      </c>
      <c r="E244" s="33" t="s">
        <v>394</v>
      </c>
      <c r="F244" s="11"/>
      <c r="G244" s="12">
        <f t="shared" si="7"/>
        <v>32321</v>
      </c>
      <c r="H244" s="12">
        <f t="shared" si="8"/>
        <v>15920</v>
      </c>
      <c r="I244" s="13">
        <v>48241</v>
      </c>
      <c r="J244" s="7"/>
    </row>
    <row r="245" spans="1:10" ht="17" hidden="1" x14ac:dyDescent="0.2">
      <c r="A245" s="81">
        <v>6300</v>
      </c>
      <c r="B245" s="81">
        <v>232</v>
      </c>
      <c r="C245" s="81" t="s">
        <v>31</v>
      </c>
      <c r="D245" s="82">
        <v>6</v>
      </c>
      <c r="E245" s="87" t="s">
        <v>479</v>
      </c>
      <c r="F245" s="84"/>
      <c r="G245" s="85">
        <f t="shared" si="7"/>
        <v>126</v>
      </c>
      <c r="H245" s="85">
        <f t="shared" si="8"/>
        <v>62</v>
      </c>
      <c r="I245" s="86">
        <v>188</v>
      </c>
      <c r="J245" s="7"/>
    </row>
    <row r="246" spans="1:10" ht="34" hidden="1" x14ac:dyDescent="0.2">
      <c r="A246" s="8">
        <v>6300</v>
      </c>
      <c r="B246" s="8">
        <v>232</v>
      </c>
      <c r="C246" s="8" t="s">
        <v>49</v>
      </c>
      <c r="D246" s="9">
        <v>10</v>
      </c>
      <c r="E246" s="10" t="s">
        <v>396</v>
      </c>
      <c r="F246" s="11"/>
      <c r="G246" s="12">
        <f t="shared" si="7"/>
        <v>611</v>
      </c>
      <c r="H246" s="12">
        <f t="shared" si="8"/>
        <v>301</v>
      </c>
      <c r="I246" s="13">
        <v>912</v>
      </c>
      <c r="J246" s="7"/>
    </row>
    <row r="247" spans="1:10" ht="34" hidden="1" x14ac:dyDescent="0.2">
      <c r="A247" s="8">
        <v>6300</v>
      </c>
      <c r="B247" s="8">
        <v>232</v>
      </c>
      <c r="C247" s="8" t="s">
        <v>49</v>
      </c>
      <c r="D247" s="9">
        <v>12</v>
      </c>
      <c r="E247" s="10" t="s">
        <v>395</v>
      </c>
      <c r="F247" s="53"/>
      <c r="G247" s="12">
        <f t="shared" si="7"/>
        <v>211</v>
      </c>
      <c r="H247" s="12">
        <f t="shared" si="8"/>
        <v>104</v>
      </c>
      <c r="I247" s="13">
        <v>315</v>
      </c>
      <c r="J247" s="7"/>
    </row>
    <row r="248" spans="1:10" ht="34" hidden="1" x14ac:dyDescent="0.2">
      <c r="A248" s="8">
        <v>6300</v>
      </c>
      <c r="B248" s="8">
        <v>232</v>
      </c>
      <c r="C248" s="8">
        <v>1</v>
      </c>
      <c r="D248" s="9">
        <v>14</v>
      </c>
      <c r="E248" s="10" t="s">
        <v>397</v>
      </c>
      <c r="F248" s="11"/>
      <c r="G248" s="12">
        <f t="shared" si="7"/>
        <v>417</v>
      </c>
      <c r="H248" s="12">
        <f t="shared" si="8"/>
        <v>205</v>
      </c>
      <c r="I248" s="13">
        <v>622</v>
      </c>
      <c r="J248" s="7"/>
    </row>
    <row r="249" spans="1:10" ht="34" hidden="1" x14ac:dyDescent="0.2">
      <c r="A249" s="8">
        <v>6300</v>
      </c>
      <c r="B249" s="8">
        <v>240</v>
      </c>
      <c r="C249" s="8" t="s">
        <v>49</v>
      </c>
      <c r="D249" s="9">
        <v>1</v>
      </c>
      <c r="E249" s="10" t="s">
        <v>399</v>
      </c>
      <c r="F249" s="53"/>
      <c r="G249" s="12">
        <f t="shared" si="7"/>
        <v>1457</v>
      </c>
      <c r="H249" s="12">
        <f t="shared" si="8"/>
        <v>717</v>
      </c>
      <c r="I249" s="13">
        <v>2174</v>
      </c>
      <c r="J249" s="7"/>
    </row>
    <row r="250" spans="1:10" ht="34" hidden="1" x14ac:dyDescent="0.2">
      <c r="A250" s="8">
        <v>6300</v>
      </c>
      <c r="B250" s="8">
        <v>240</v>
      </c>
      <c r="C250" s="8" t="s">
        <v>49</v>
      </c>
      <c r="D250" s="9">
        <v>2</v>
      </c>
      <c r="E250" s="10" t="s">
        <v>400</v>
      </c>
      <c r="F250" s="53"/>
      <c r="G250" s="12">
        <f t="shared" si="7"/>
        <v>1677</v>
      </c>
      <c r="H250" s="12">
        <f t="shared" si="8"/>
        <v>826</v>
      </c>
      <c r="I250" s="13">
        <v>2503</v>
      </c>
      <c r="J250" s="7"/>
    </row>
    <row r="251" spans="1:10" ht="17" hidden="1" x14ac:dyDescent="0.2">
      <c r="A251" s="81">
        <v>6300</v>
      </c>
      <c r="B251" s="81">
        <v>240</v>
      </c>
      <c r="C251" s="81" t="s">
        <v>31</v>
      </c>
      <c r="D251" s="82">
        <v>6</v>
      </c>
      <c r="E251" s="87" t="s">
        <v>480</v>
      </c>
      <c r="F251" s="92"/>
      <c r="G251" s="85">
        <f t="shared" si="7"/>
        <v>369</v>
      </c>
      <c r="H251" s="85">
        <f t="shared" si="8"/>
        <v>182</v>
      </c>
      <c r="I251" s="86">
        <v>550</v>
      </c>
      <c r="J251" s="7"/>
    </row>
    <row r="252" spans="1:10" ht="34" hidden="1" x14ac:dyDescent="0.2">
      <c r="A252" s="8">
        <v>6300</v>
      </c>
      <c r="B252" s="8">
        <v>240</v>
      </c>
      <c r="C252" s="8">
        <v>1</v>
      </c>
      <c r="D252" s="9">
        <v>10</v>
      </c>
      <c r="E252" s="10" t="s">
        <v>398</v>
      </c>
      <c r="F252" s="53"/>
      <c r="G252" s="12">
        <f t="shared" si="7"/>
        <v>170348</v>
      </c>
      <c r="H252" s="12">
        <f t="shared" si="8"/>
        <v>83903</v>
      </c>
      <c r="I252" s="13">
        <v>254250</v>
      </c>
      <c r="J252" s="7"/>
    </row>
    <row r="253" spans="1:10" ht="34" hidden="1" x14ac:dyDescent="0.2">
      <c r="A253" s="8">
        <v>6300</v>
      </c>
      <c r="B253" s="8">
        <v>240</v>
      </c>
      <c r="C253" s="8" t="s">
        <v>49</v>
      </c>
      <c r="D253" s="9">
        <v>10</v>
      </c>
      <c r="E253" s="10" t="s">
        <v>54</v>
      </c>
      <c r="F253" s="53"/>
      <c r="G253" s="12">
        <f t="shared" si="7"/>
        <v>2655</v>
      </c>
      <c r="H253" s="12">
        <f t="shared" si="8"/>
        <v>1308</v>
      </c>
      <c r="I253" s="13">
        <v>3963</v>
      </c>
      <c r="J253" s="7"/>
    </row>
    <row r="254" spans="1:10" ht="17" hidden="1" x14ac:dyDescent="0.2">
      <c r="A254" s="8">
        <v>6300</v>
      </c>
      <c r="B254" s="8">
        <v>240</v>
      </c>
      <c r="C254" s="8">
        <v>1</v>
      </c>
      <c r="D254" s="9">
        <v>14</v>
      </c>
      <c r="E254" s="33" t="s">
        <v>401</v>
      </c>
      <c r="F254" s="53"/>
      <c r="G254" s="12">
        <f t="shared" si="7"/>
        <v>2478</v>
      </c>
      <c r="H254" s="12">
        <f t="shared" si="8"/>
        <v>1220</v>
      </c>
      <c r="I254" s="13">
        <v>3698</v>
      </c>
      <c r="J254" s="7"/>
    </row>
    <row r="255" spans="1:10" ht="34" hidden="1" x14ac:dyDescent="0.2">
      <c r="A255" s="8" t="s">
        <v>163</v>
      </c>
      <c r="B255" s="8">
        <v>240</v>
      </c>
      <c r="C255" s="8" t="s">
        <v>49</v>
      </c>
      <c r="D255" s="9">
        <v>14</v>
      </c>
      <c r="E255" s="10" t="s">
        <v>168</v>
      </c>
      <c r="F255" s="53"/>
      <c r="G255" s="12">
        <f t="shared" si="7"/>
        <v>1733</v>
      </c>
      <c r="H255" s="12">
        <f t="shared" si="8"/>
        <v>853</v>
      </c>
      <c r="I255" s="13">
        <f>1293*2</f>
        <v>2586</v>
      </c>
      <c r="J255" s="7"/>
    </row>
    <row r="256" spans="1:10" ht="17" hidden="1" x14ac:dyDescent="0.2">
      <c r="A256" s="8" t="s">
        <v>169</v>
      </c>
      <c r="B256" s="8">
        <v>110</v>
      </c>
      <c r="C256" s="8" t="s">
        <v>49</v>
      </c>
      <c r="D256" s="9">
        <v>14</v>
      </c>
      <c r="E256" s="10" t="s">
        <v>170</v>
      </c>
      <c r="F256" s="53"/>
      <c r="G256" s="12">
        <f t="shared" si="7"/>
        <v>1905</v>
      </c>
      <c r="H256" s="12">
        <f t="shared" si="8"/>
        <v>939</v>
      </c>
      <c r="I256" s="13">
        <f>1422*2</f>
        <v>2844</v>
      </c>
      <c r="J256" s="7"/>
    </row>
    <row r="257" spans="1:10" ht="170" hidden="1" x14ac:dyDescent="0.2">
      <c r="A257" s="8">
        <v>6400</v>
      </c>
      <c r="B257" s="8">
        <v>120</v>
      </c>
      <c r="C257" s="8" t="s">
        <v>55</v>
      </c>
      <c r="D257" s="9">
        <v>1</v>
      </c>
      <c r="E257" s="10" t="s">
        <v>56</v>
      </c>
      <c r="F257" s="53"/>
      <c r="G257" s="12">
        <f t="shared" si="7"/>
        <v>2583855</v>
      </c>
      <c r="H257" s="12">
        <f t="shared" si="8"/>
        <v>1272645</v>
      </c>
      <c r="I257" s="13">
        <v>3856500</v>
      </c>
      <c r="J257" s="7"/>
    </row>
    <row r="258" spans="1:10" ht="17" hidden="1" x14ac:dyDescent="0.2">
      <c r="A258" s="8" t="s">
        <v>169</v>
      </c>
      <c r="B258" s="8">
        <v>130</v>
      </c>
      <c r="C258" s="8" t="s">
        <v>49</v>
      </c>
      <c r="D258" s="9">
        <v>14</v>
      </c>
      <c r="E258" s="10" t="s">
        <v>171</v>
      </c>
      <c r="F258" s="53"/>
      <c r="G258" s="12">
        <f t="shared" ref="G258:G321" si="9">ROUND(I258*0.67,0)</f>
        <v>133334</v>
      </c>
      <c r="H258" s="12">
        <f t="shared" si="8"/>
        <v>65672</v>
      </c>
      <c r="I258" s="13">
        <f>99503*2</f>
        <v>199006</v>
      </c>
      <c r="J258" s="7"/>
    </row>
    <row r="259" spans="1:10" ht="51" hidden="1" x14ac:dyDescent="0.2">
      <c r="A259" s="8">
        <v>6400</v>
      </c>
      <c r="B259" s="8">
        <v>150</v>
      </c>
      <c r="C259" s="8" t="s">
        <v>55</v>
      </c>
      <c r="D259" s="9">
        <v>2</v>
      </c>
      <c r="E259" s="10" t="s">
        <v>402</v>
      </c>
      <c r="F259" s="11"/>
      <c r="G259" s="12">
        <f t="shared" si="9"/>
        <v>301500</v>
      </c>
      <c r="H259" s="12">
        <f t="shared" si="8"/>
        <v>148500</v>
      </c>
      <c r="I259" s="13">
        <v>450000</v>
      </c>
      <c r="J259" s="7"/>
    </row>
    <row r="260" spans="1:10" ht="34" hidden="1" x14ac:dyDescent="0.2">
      <c r="A260" s="8" t="s">
        <v>169</v>
      </c>
      <c r="B260" s="8">
        <v>160</v>
      </c>
      <c r="C260" s="8" t="s">
        <v>49</v>
      </c>
      <c r="D260" s="9">
        <v>14</v>
      </c>
      <c r="E260" s="10" t="s">
        <v>172</v>
      </c>
      <c r="F260" s="11"/>
      <c r="G260" s="12">
        <f t="shared" si="9"/>
        <v>5715</v>
      </c>
      <c r="H260" s="12">
        <f t="shared" si="8"/>
        <v>2815</v>
      </c>
      <c r="I260" s="13">
        <f>4265*2</f>
        <v>8530</v>
      </c>
      <c r="J260" s="7"/>
    </row>
    <row r="261" spans="1:10" ht="17" hidden="1" x14ac:dyDescent="0.2">
      <c r="A261" s="8">
        <v>6400</v>
      </c>
      <c r="B261" s="8">
        <v>210</v>
      </c>
      <c r="C261" s="8" t="s">
        <v>55</v>
      </c>
      <c r="D261" s="9" t="s">
        <v>57</v>
      </c>
      <c r="E261" s="10" t="s">
        <v>58</v>
      </c>
      <c r="F261" s="53"/>
      <c r="G261" s="12">
        <f t="shared" si="9"/>
        <v>1147</v>
      </c>
      <c r="H261" s="12">
        <f t="shared" si="8"/>
        <v>565</v>
      </c>
      <c r="I261" s="13">
        <v>1712</v>
      </c>
      <c r="J261" s="7"/>
    </row>
    <row r="262" spans="1:10" ht="34" hidden="1" x14ac:dyDescent="0.2">
      <c r="A262" s="8" t="s">
        <v>169</v>
      </c>
      <c r="B262" s="8">
        <v>220</v>
      </c>
      <c r="C262" s="8" t="s">
        <v>49</v>
      </c>
      <c r="D262" s="9">
        <v>14</v>
      </c>
      <c r="E262" s="10" t="s">
        <v>173</v>
      </c>
      <c r="F262" s="53"/>
      <c r="G262" s="12">
        <f t="shared" si="9"/>
        <v>10783</v>
      </c>
      <c r="H262" s="12">
        <f t="shared" si="8"/>
        <v>5311</v>
      </c>
      <c r="I262" s="13">
        <f>8047*2</f>
        <v>16094</v>
      </c>
      <c r="J262" s="7"/>
    </row>
    <row r="263" spans="1:10" ht="51" hidden="1" x14ac:dyDescent="0.2">
      <c r="A263" s="8">
        <v>6400</v>
      </c>
      <c r="B263" s="8">
        <v>220</v>
      </c>
      <c r="C263" s="8" t="s">
        <v>55</v>
      </c>
      <c r="D263" s="9" t="s">
        <v>57</v>
      </c>
      <c r="E263" s="10" t="s">
        <v>59</v>
      </c>
      <c r="F263" s="53"/>
      <c r="G263" s="12">
        <f t="shared" si="9"/>
        <v>180039</v>
      </c>
      <c r="H263" s="12">
        <f t="shared" si="8"/>
        <v>88676</v>
      </c>
      <c r="I263" s="13">
        <v>268715</v>
      </c>
      <c r="J263" s="7"/>
    </row>
    <row r="264" spans="1:10" ht="68" hidden="1" x14ac:dyDescent="0.2">
      <c r="A264" s="8">
        <v>6400</v>
      </c>
      <c r="B264" s="8">
        <v>220</v>
      </c>
      <c r="C264" s="8" t="s">
        <v>55</v>
      </c>
      <c r="D264" s="9" t="s">
        <v>57</v>
      </c>
      <c r="E264" s="10" t="s">
        <v>60</v>
      </c>
      <c r="F264" s="53"/>
      <c r="G264" s="12">
        <f t="shared" si="9"/>
        <v>41984</v>
      </c>
      <c r="H264" s="12">
        <f t="shared" si="8"/>
        <v>20679</v>
      </c>
      <c r="I264" s="13">
        <v>62663</v>
      </c>
      <c r="J264" s="7"/>
    </row>
    <row r="265" spans="1:10" ht="17" hidden="1" x14ac:dyDescent="0.2">
      <c r="A265" s="8" t="s">
        <v>169</v>
      </c>
      <c r="B265" s="8">
        <v>240</v>
      </c>
      <c r="C265" s="8" t="s">
        <v>49</v>
      </c>
      <c r="D265" s="9">
        <v>14</v>
      </c>
      <c r="E265" s="10" t="s">
        <v>174</v>
      </c>
      <c r="F265" s="53"/>
      <c r="G265" s="12">
        <f t="shared" si="9"/>
        <v>1593</v>
      </c>
      <c r="H265" s="12">
        <f t="shared" si="8"/>
        <v>785</v>
      </c>
      <c r="I265" s="13">
        <f>1189*2</f>
        <v>2378</v>
      </c>
      <c r="J265" s="7"/>
    </row>
    <row r="266" spans="1:10" ht="68" hidden="1" x14ac:dyDescent="0.2">
      <c r="A266" s="8">
        <v>6400</v>
      </c>
      <c r="B266" s="8">
        <v>240</v>
      </c>
      <c r="C266" s="8" t="s">
        <v>55</v>
      </c>
      <c r="D266" s="9" t="s">
        <v>57</v>
      </c>
      <c r="E266" s="10" t="s">
        <v>61</v>
      </c>
      <c r="F266" s="11"/>
      <c r="G266" s="12">
        <f t="shared" si="9"/>
        <v>32719</v>
      </c>
      <c r="H266" s="12">
        <f t="shared" si="8"/>
        <v>16115</v>
      </c>
      <c r="I266" s="13">
        <v>48834</v>
      </c>
      <c r="J266" s="7"/>
    </row>
    <row r="267" spans="1:10" ht="51" hidden="1" x14ac:dyDescent="0.2">
      <c r="A267" s="8">
        <v>6400</v>
      </c>
      <c r="B267" s="8">
        <v>310</v>
      </c>
      <c r="C267" s="8">
        <v>1</v>
      </c>
      <c r="D267" s="9">
        <v>6</v>
      </c>
      <c r="E267" s="10" t="s">
        <v>403</v>
      </c>
      <c r="F267" s="11"/>
      <c r="G267" s="12">
        <f t="shared" si="9"/>
        <v>603000</v>
      </c>
      <c r="H267" s="12">
        <f t="shared" si="8"/>
        <v>297000</v>
      </c>
      <c r="I267" s="13">
        <v>900000</v>
      </c>
      <c r="J267" s="7"/>
    </row>
    <row r="268" spans="1:10" ht="51" hidden="1" x14ac:dyDescent="0.2">
      <c r="A268" s="8">
        <v>6400</v>
      </c>
      <c r="B268" s="8">
        <v>335</v>
      </c>
      <c r="C268" s="8" t="s">
        <v>47</v>
      </c>
      <c r="D268" s="9">
        <v>3</v>
      </c>
      <c r="E268" s="10" t="s">
        <v>62</v>
      </c>
      <c r="F268" s="53"/>
      <c r="G268" s="12">
        <f t="shared" si="9"/>
        <v>26800</v>
      </c>
      <c r="H268" s="12">
        <f t="shared" si="8"/>
        <v>13200</v>
      </c>
      <c r="I268" s="13">
        <v>40000</v>
      </c>
      <c r="J268" s="7"/>
    </row>
    <row r="269" spans="1:10" ht="68" hidden="1" x14ac:dyDescent="0.2">
      <c r="A269" s="8">
        <v>6400</v>
      </c>
      <c r="B269" s="8">
        <v>394</v>
      </c>
      <c r="C269" s="8">
        <v>1</v>
      </c>
      <c r="D269" s="9" t="s">
        <v>63</v>
      </c>
      <c r="E269" s="17" t="s">
        <v>404</v>
      </c>
      <c r="F269" s="53"/>
      <c r="G269" s="12">
        <f t="shared" si="9"/>
        <v>8746</v>
      </c>
      <c r="H269" s="12">
        <f t="shared" si="8"/>
        <v>4308</v>
      </c>
      <c r="I269" s="13">
        <v>13054</v>
      </c>
      <c r="J269" s="7"/>
    </row>
    <row r="270" spans="1:10" ht="34" hidden="1" x14ac:dyDescent="0.2">
      <c r="A270" s="8">
        <v>6400</v>
      </c>
      <c r="B270" s="8">
        <v>394</v>
      </c>
      <c r="C270" s="8">
        <v>1</v>
      </c>
      <c r="D270" s="9" t="s">
        <v>64</v>
      </c>
      <c r="E270" s="17" t="s">
        <v>405</v>
      </c>
      <c r="F270" s="53"/>
      <c r="G270" s="12">
        <f t="shared" si="9"/>
        <v>2186</v>
      </c>
      <c r="H270" s="12">
        <f t="shared" si="8"/>
        <v>1077</v>
      </c>
      <c r="I270" s="13">
        <v>3263</v>
      </c>
      <c r="J270" s="7"/>
    </row>
    <row r="271" spans="1:10" ht="85" hidden="1" x14ac:dyDescent="0.2">
      <c r="A271" s="8">
        <v>6400</v>
      </c>
      <c r="B271" s="8">
        <v>751</v>
      </c>
      <c r="C271" s="8">
        <v>1</v>
      </c>
      <c r="D271" s="9">
        <v>13</v>
      </c>
      <c r="E271" s="10" t="s">
        <v>294</v>
      </c>
      <c r="F271" s="53"/>
      <c r="G271" s="12">
        <f t="shared" si="9"/>
        <v>113900</v>
      </c>
      <c r="H271" s="12">
        <f t="shared" si="8"/>
        <v>56100</v>
      </c>
      <c r="I271" s="13">
        <v>170000</v>
      </c>
      <c r="J271" s="7"/>
    </row>
    <row r="272" spans="1:10" ht="17" hidden="1" x14ac:dyDescent="0.2">
      <c r="A272" s="8" t="s">
        <v>175</v>
      </c>
      <c r="B272" s="8">
        <v>110</v>
      </c>
      <c r="C272" s="8" t="s">
        <v>49</v>
      </c>
      <c r="D272" s="9">
        <v>14</v>
      </c>
      <c r="E272" s="10" t="s">
        <v>176</v>
      </c>
      <c r="F272" s="11"/>
      <c r="G272" s="12">
        <f t="shared" si="9"/>
        <v>1905</v>
      </c>
      <c r="H272" s="12">
        <f t="shared" si="8"/>
        <v>939</v>
      </c>
      <c r="I272" s="13">
        <f>1422*2</f>
        <v>2844</v>
      </c>
      <c r="J272" s="7"/>
    </row>
    <row r="273" spans="1:10" ht="17" hidden="1" x14ac:dyDescent="0.2">
      <c r="A273" s="8" t="s">
        <v>175</v>
      </c>
      <c r="B273" s="8">
        <v>160</v>
      </c>
      <c r="C273" s="8" t="s">
        <v>49</v>
      </c>
      <c r="D273" s="9">
        <v>14</v>
      </c>
      <c r="E273" s="10" t="s">
        <v>177</v>
      </c>
      <c r="F273" s="11"/>
      <c r="G273" s="12">
        <f t="shared" si="9"/>
        <v>64762</v>
      </c>
      <c r="H273" s="12">
        <f t="shared" si="8"/>
        <v>31898</v>
      </c>
      <c r="I273" s="13">
        <f>48330*2</f>
        <v>96660</v>
      </c>
      <c r="J273" s="7"/>
    </row>
    <row r="274" spans="1:10" ht="34" hidden="1" x14ac:dyDescent="0.2">
      <c r="A274" s="8" t="s">
        <v>175</v>
      </c>
      <c r="B274" s="8">
        <v>220</v>
      </c>
      <c r="C274" s="8" t="s">
        <v>49</v>
      </c>
      <c r="D274" s="9">
        <v>14</v>
      </c>
      <c r="E274" s="10" t="s">
        <v>178</v>
      </c>
      <c r="F274" s="53"/>
      <c r="G274" s="12">
        <f t="shared" si="9"/>
        <v>5100</v>
      </c>
      <c r="H274" s="12">
        <f t="shared" si="8"/>
        <v>2512</v>
      </c>
      <c r="I274" s="13">
        <f>3806*2</f>
        <v>7612</v>
      </c>
      <c r="J274" s="7"/>
    </row>
    <row r="275" spans="1:10" ht="17" hidden="1" x14ac:dyDescent="0.2">
      <c r="A275" s="8" t="s">
        <v>175</v>
      </c>
      <c r="B275" s="8">
        <v>240</v>
      </c>
      <c r="C275" s="8" t="s">
        <v>49</v>
      </c>
      <c r="D275" s="9">
        <v>14</v>
      </c>
      <c r="E275" s="10" t="s">
        <v>179</v>
      </c>
      <c r="F275" s="53"/>
      <c r="G275" s="12">
        <f t="shared" si="9"/>
        <v>754</v>
      </c>
      <c r="H275" s="12">
        <f t="shared" si="8"/>
        <v>372</v>
      </c>
      <c r="I275" s="13">
        <f>563*2</f>
        <v>1126</v>
      </c>
      <c r="J275" s="7"/>
    </row>
    <row r="276" spans="1:10" ht="68" hidden="1" x14ac:dyDescent="0.2">
      <c r="A276" s="8">
        <v>6500</v>
      </c>
      <c r="B276" s="8">
        <v>319</v>
      </c>
      <c r="C276" s="8" t="s">
        <v>9</v>
      </c>
      <c r="D276" s="9">
        <v>4</v>
      </c>
      <c r="E276" s="10" t="s">
        <v>406</v>
      </c>
      <c r="F276" s="53"/>
      <c r="G276" s="12">
        <f t="shared" si="9"/>
        <v>167500</v>
      </c>
      <c r="H276" s="12">
        <f t="shared" si="8"/>
        <v>82500</v>
      </c>
      <c r="I276" s="13">
        <v>250000</v>
      </c>
      <c r="J276" s="7"/>
    </row>
    <row r="277" spans="1:10" ht="17" hidden="1" x14ac:dyDescent="0.2">
      <c r="A277" s="20">
        <v>6500</v>
      </c>
      <c r="B277" s="20">
        <v>350</v>
      </c>
      <c r="C277" s="20" t="s">
        <v>9</v>
      </c>
      <c r="D277" s="21">
        <v>7</v>
      </c>
      <c r="E277" s="22" t="s">
        <v>66</v>
      </c>
      <c r="F277" s="5"/>
      <c r="G277" s="12">
        <f t="shared" si="9"/>
        <v>43550</v>
      </c>
      <c r="H277" s="12">
        <f t="shared" si="8"/>
        <v>21450</v>
      </c>
      <c r="I277" s="23">
        <v>65000</v>
      </c>
      <c r="J277" s="7"/>
    </row>
    <row r="278" spans="1:10" ht="102" hidden="1" x14ac:dyDescent="0.2">
      <c r="A278" s="8">
        <v>6500</v>
      </c>
      <c r="B278" s="8">
        <v>369</v>
      </c>
      <c r="C278" s="8" t="s">
        <v>65</v>
      </c>
      <c r="D278" s="9">
        <v>1</v>
      </c>
      <c r="E278" s="10" t="s">
        <v>486</v>
      </c>
      <c r="F278" s="11"/>
      <c r="G278" s="12">
        <f t="shared" si="9"/>
        <v>1368140</v>
      </c>
      <c r="H278" s="12">
        <f t="shared" si="8"/>
        <v>673860</v>
      </c>
      <c r="I278" s="13">
        <v>2042000</v>
      </c>
      <c r="J278" s="7"/>
    </row>
    <row r="279" spans="1:10" ht="68" hidden="1" x14ac:dyDescent="0.2">
      <c r="A279" s="8">
        <v>6500</v>
      </c>
      <c r="B279" s="8">
        <v>379</v>
      </c>
      <c r="C279" s="8" t="s">
        <v>9</v>
      </c>
      <c r="D279" s="9">
        <v>5</v>
      </c>
      <c r="E279" s="10" t="s">
        <v>485</v>
      </c>
      <c r="F279" s="11"/>
      <c r="G279" s="12">
        <f t="shared" si="9"/>
        <v>596300</v>
      </c>
      <c r="H279" s="12">
        <f t="shared" si="8"/>
        <v>293700</v>
      </c>
      <c r="I279" s="13">
        <v>890000</v>
      </c>
      <c r="J279" s="7"/>
    </row>
    <row r="280" spans="1:10" ht="68" hidden="1" x14ac:dyDescent="0.2">
      <c r="A280" s="20">
        <v>6500</v>
      </c>
      <c r="B280" s="20">
        <v>648</v>
      </c>
      <c r="C280" s="20" t="s">
        <v>9</v>
      </c>
      <c r="D280" s="21">
        <v>4</v>
      </c>
      <c r="E280" s="22" t="s">
        <v>407</v>
      </c>
      <c r="F280" s="2"/>
      <c r="G280" s="12">
        <f t="shared" si="9"/>
        <v>167500</v>
      </c>
      <c r="H280" s="12">
        <f t="shared" si="8"/>
        <v>82500</v>
      </c>
      <c r="I280" s="23">
        <v>250000</v>
      </c>
      <c r="J280" s="7"/>
    </row>
    <row r="281" spans="1:10" ht="17" hidden="1" x14ac:dyDescent="0.2">
      <c r="A281" s="8" t="s">
        <v>180</v>
      </c>
      <c r="B281" s="8">
        <v>110</v>
      </c>
      <c r="C281" s="8" t="s">
        <v>49</v>
      </c>
      <c r="D281" s="9">
        <v>14</v>
      </c>
      <c r="E281" s="10" t="s">
        <v>181</v>
      </c>
      <c r="F281" s="10"/>
      <c r="G281" s="12">
        <f t="shared" si="9"/>
        <v>1905</v>
      </c>
      <c r="H281" s="12">
        <f t="shared" si="8"/>
        <v>939</v>
      </c>
      <c r="I281" s="13">
        <f>1422*2</f>
        <v>2844</v>
      </c>
      <c r="J281" s="7"/>
    </row>
    <row r="282" spans="1:10" ht="17" hidden="1" x14ac:dyDescent="0.2">
      <c r="A282" s="8" t="s">
        <v>180</v>
      </c>
      <c r="B282" s="8">
        <v>160</v>
      </c>
      <c r="C282" s="8" t="s">
        <v>49</v>
      </c>
      <c r="D282" s="9">
        <v>14</v>
      </c>
      <c r="E282" s="10" t="s">
        <v>182</v>
      </c>
      <c r="F282" s="52"/>
      <c r="G282" s="12">
        <f t="shared" si="9"/>
        <v>3810</v>
      </c>
      <c r="H282" s="12">
        <f t="shared" si="8"/>
        <v>1876</v>
      </c>
      <c r="I282" s="13">
        <f>2843*2</f>
        <v>5686</v>
      </c>
      <c r="J282" s="7"/>
    </row>
    <row r="283" spans="1:10" ht="17" hidden="1" x14ac:dyDescent="0.2">
      <c r="A283" s="8" t="s">
        <v>180</v>
      </c>
      <c r="B283" s="8">
        <v>170</v>
      </c>
      <c r="C283" s="8" t="s">
        <v>49</v>
      </c>
      <c r="D283" s="9">
        <v>14</v>
      </c>
      <c r="E283" s="10" t="s">
        <v>183</v>
      </c>
      <c r="F283" s="52"/>
      <c r="G283" s="12">
        <f t="shared" si="9"/>
        <v>1905</v>
      </c>
      <c r="H283" s="12">
        <f t="shared" si="8"/>
        <v>939</v>
      </c>
      <c r="I283" s="13">
        <f>1422*2</f>
        <v>2844</v>
      </c>
      <c r="J283" s="7"/>
    </row>
    <row r="284" spans="1:10" ht="17" hidden="1" x14ac:dyDescent="0.2">
      <c r="A284" s="8" t="s">
        <v>180</v>
      </c>
      <c r="B284" s="8">
        <v>220</v>
      </c>
      <c r="C284" s="8" t="s">
        <v>49</v>
      </c>
      <c r="D284" s="9">
        <v>14</v>
      </c>
      <c r="E284" s="10" t="s">
        <v>184</v>
      </c>
      <c r="F284" s="53"/>
      <c r="G284" s="12">
        <f t="shared" si="9"/>
        <v>583</v>
      </c>
      <c r="H284" s="12">
        <f t="shared" si="8"/>
        <v>287</v>
      </c>
      <c r="I284" s="13">
        <f>435*2</f>
        <v>870</v>
      </c>
      <c r="J284" s="7"/>
    </row>
    <row r="285" spans="1:10" ht="17" hidden="1" x14ac:dyDescent="0.2">
      <c r="A285" s="8" t="s">
        <v>180</v>
      </c>
      <c r="B285" s="8">
        <v>240</v>
      </c>
      <c r="C285" s="8" t="s">
        <v>49</v>
      </c>
      <c r="D285" s="9">
        <v>14</v>
      </c>
      <c r="E285" s="10" t="s">
        <v>185</v>
      </c>
      <c r="F285" s="53"/>
      <c r="G285" s="12">
        <f t="shared" si="9"/>
        <v>87</v>
      </c>
      <c r="H285" s="12">
        <f t="shared" si="8"/>
        <v>43</v>
      </c>
      <c r="I285" s="13">
        <f>65*2</f>
        <v>130</v>
      </c>
      <c r="J285" s="7"/>
    </row>
    <row r="286" spans="1:10" ht="34" hidden="1" x14ac:dyDescent="0.2">
      <c r="A286" s="8" t="s">
        <v>186</v>
      </c>
      <c r="B286" s="8">
        <v>110</v>
      </c>
      <c r="C286" s="8" t="s">
        <v>49</v>
      </c>
      <c r="D286" s="9">
        <v>14</v>
      </c>
      <c r="E286" s="10" t="s">
        <v>187</v>
      </c>
      <c r="F286" s="10"/>
      <c r="G286" s="12">
        <f t="shared" si="9"/>
        <v>13180</v>
      </c>
      <c r="H286" s="12">
        <f t="shared" si="8"/>
        <v>6492</v>
      </c>
      <c r="I286" s="13">
        <f>9836*2</f>
        <v>19672</v>
      </c>
      <c r="J286" s="7"/>
    </row>
    <row r="287" spans="1:10" ht="34" hidden="1" x14ac:dyDescent="0.2">
      <c r="A287" s="8" t="s">
        <v>186</v>
      </c>
      <c r="B287" s="8">
        <v>160</v>
      </c>
      <c r="C287" s="8" t="s">
        <v>49</v>
      </c>
      <c r="D287" s="9">
        <v>14</v>
      </c>
      <c r="E287" s="10" t="s">
        <v>188</v>
      </c>
      <c r="F287" s="10"/>
      <c r="G287" s="12">
        <f t="shared" si="9"/>
        <v>20954</v>
      </c>
      <c r="H287" s="12">
        <f t="shared" si="8"/>
        <v>10320</v>
      </c>
      <c r="I287" s="13">
        <f>15637*2</f>
        <v>31274</v>
      </c>
      <c r="J287" s="7"/>
    </row>
    <row r="288" spans="1:10" ht="34" hidden="1" x14ac:dyDescent="0.2">
      <c r="A288" s="8" t="s">
        <v>186</v>
      </c>
      <c r="B288" s="8">
        <v>220</v>
      </c>
      <c r="C288" s="8" t="s">
        <v>49</v>
      </c>
      <c r="D288" s="9">
        <v>14</v>
      </c>
      <c r="E288" s="10" t="s">
        <v>189</v>
      </c>
      <c r="F288" s="10"/>
      <c r="G288" s="12">
        <f t="shared" si="9"/>
        <v>2503</v>
      </c>
      <c r="H288" s="12">
        <f t="shared" si="8"/>
        <v>1233</v>
      </c>
      <c r="I288" s="13">
        <f>1868*2</f>
        <v>3736</v>
      </c>
      <c r="J288" s="7"/>
    </row>
    <row r="289" spans="1:10" ht="34" hidden="1" x14ac:dyDescent="0.2">
      <c r="A289" s="8" t="s">
        <v>186</v>
      </c>
      <c r="B289" s="8">
        <v>240</v>
      </c>
      <c r="C289" s="8" t="s">
        <v>49</v>
      </c>
      <c r="D289" s="9">
        <v>14</v>
      </c>
      <c r="E289" s="10" t="s">
        <v>190</v>
      </c>
      <c r="F289" s="10"/>
      <c r="G289" s="12">
        <f t="shared" si="9"/>
        <v>386</v>
      </c>
      <c r="H289" s="12">
        <f t="shared" si="8"/>
        <v>190</v>
      </c>
      <c r="I289" s="13">
        <f>288*2</f>
        <v>576</v>
      </c>
      <c r="J289" s="7"/>
    </row>
    <row r="290" spans="1:10" ht="17" hidden="1" x14ac:dyDescent="0.2">
      <c r="A290" s="8">
        <v>7200</v>
      </c>
      <c r="B290" s="8">
        <v>792</v>
      </c>
      <c r="C290" s="8" t="s">
        <v>67</v>
      </c>
      <c r="D290" s="9">
        <v>1</v>
      </c>
      <c r="E290" s="10" t="s">
        <v>408</v>
      </c>
      <c r="F290" s="53"/>
      <c r="G290" s="12">
        <f t="shared" si="9"/>
        <v>3577301</v>
      </c>
      <c r="H290" s="12">
        <f t="shared" si="8"/>
        <v>1761954</v>
      </c>
      <c r="I290" s="13">
        <v>5339255</v>
      </c>
      <c r="J290" s="7"/>
    </row>
    <row r="291" spans="1:10" ht="34" hidden="1" x14ac:dyDescent="0.2">
      <c r="A291" s="8" t="s">
        <v>191</v>
      </c>
      <c r="B291" s="8">
        <v>110</v>
      </c>
      <c r="C291" s="8" t="s">
        <v>49</v>
      </c>
      <c r="D291" s="9">
        <v>14</v>
      </c>
      <c r="E291" s="10" t="s">
        <v>192</v>
      </c>
      <c r="F291" s="10"/>
      <c r="G291" s="12">
        <f t="shared" si="9"/>
        <v>161906</v>
      </c>
      <c r="H291" s="12">
        <f t="shared" si="8"/>
        <v>79745</v>
      </c>
      <c r="I291" s="13">
        <f>120825*2</f>
        <v>241650</v>
      </c>
      <c r="J291" s="7"/>
    </row>
    <row r="292" spans="1:10" ht="34" hidden="1" x14ac:dyDescent="0.2">
      <c r="A292" s="20">
        <v>7300</v>
      </c>
      <c r="B292" s="20">
        <v>160</v>
      </c>
      <c r="C292" s="20" t="s">
        <v>16</v>
      </c>
      <c r="D292" s="21">
        <v>5</v>
      </c>
      <c r="E292" s="22" t="s">
        <v>68</v>
      </c>
      <c r="F292" s="2"/>
      <c r="G292" s="12">
        <f t="shared" si="9"/>
        <v>181382</v>
      </c>
      <c r="H292" s="12">
        <f t="shared" si="8"/>
        <v>89338</v>
      </c>
      <c r="I292" s="13">
        <v>270720</v>
      </c>
      <c r="J292" s="7"/>
    </row>
    <row r="293" spans="1:10" ht="34" hidden="1" x14ac:dyDescent="0.2">
      <c r="A293" s="8" t="s">
        <v>191</v>
      </c>
      <c r="B293" s="8">
        <v>160</v>
      </c>
      <c r="C293" s="8" t="s">
        <v>49</v>
      </c>
      <c r="D293" s="9">
        <v>14</v>
      </c>
      <c r="E293" s="10" t="s">
        <v>193</v>
      </c>
      <c r="F293" s="10"/>
      <c r="G293" s="12">
        <f t="shared" si="9"/>
        <v>264761</v>
      </c>
      <c r="H293" s="12">
        <f t="shared" si="8"/>
        <v>130405</v>
      </c>
      <c r="I293" s="13">
        <f>197583*2</f>
        <v>395166</v>
      </c>
      <c r="J293" s="7"/>
    </row>
    <row r="294" spans="1:10" ht="17" hidden="1" x14ac:dyDescent="0.2">
      <c r="A294" s="20">
        <v>7300</v>
      </c>
      <c r="B294" s="20">
        <v>210</v>
      </c>
      <c r="C294" s="20" t="s">
        <v>69</v>
      </c>
      <c r="D294" s="21">
        <v>5</v>
      </c>
      <c r="E294" s="35" t="s">
        <v>409</v>
      </c>
      <c r="F294" s="2"/>
      <c r="G294" s="12">
        <f t="shared" si="9"/>
        <v>20696</v>
      </c>
      <c r="H294" s="12">
        <f t="shared" si="8"/>
        <v>10194</v>
      </c>
      <c r="I294" s="23">
        <v>30890</v>
      </c>
      <c r="J294" s="7"/>
    </row>
    <row r="295" spans="1:10" ht="17" hidden="1" x14ac:dyDescent="0.2">
      <c r="A295" s="20">
        <v>7300</v>
      </c>
      <c r="B295" s="20">
        <v>220</v>
      </c>
      <c r="C295" s="20" t="s">
        <v>16</v>
      </c>
      <c r="D295" s="21">
        <v>5</v>
      </c>
      <c r="E295" s="22" t="s">
        <v>410</v>
      </c>
      <c r="F295" s="2"/>
      <c r="G295" s="12">
        <f t="shared" si="9"/>
        <v>11246</v>
      </c>
      <c r="H295" s="12">
        <f t="shared" si="8"/>
        <v>5539</v>
      </c>
      <c r="I295" s="23">
        <v>16785</v>
      </c>
      <c r="J295" s="7"/>
    </row>
    <row r="296" spans="1:10" ht="34" hidden="1" x14ac:dyDescent="0.2">
      <c r="A296" s="20">
        <v>7300</v>
      </c>
      <c r="B296" s="20">
        <v>220</v>
      </c>
      <c r="C296" s="20" t="s">
        <v>16</v>
      </c>
      <c r="D296" s="21">
        <v>5</v>
      </c>
      <c r="E296" s="22" t="s">
        <v>411</v>
      </c>
      <c r="F296" s="2"/>
      <c r="G296" s="12">
        <f t="shared" si="9"/>
        <v>2630</v>
      </c>
      <c r="H296" s="12">
        <f t="shared" ref="H296:H359" si="10">ROUND(I296*0.33,0)</f>
        <v>1296</v>
      </c>
      <c r="I296" s="23">
        <v>3926</v>
      </c>
      <c r="J296" s="7"/>
    </row>
    <row r="297" spans="1:10" ht="34" hidden="1" x14ac:dyDescent="0.2">
      <c r="A297" s="8" t="s">
        <v>191</v>
      </c>
      <c r="B297" s="8">
        <v>220</v>
      </c>
      <c r="C297" s="8" t="s">
        <v>49</v>
      </c>
      <c r="D297" s="9">
        <v>14</v>
      </c>
      <c r="E297" s="10" t="s">
        <v>194</v>
      </c>
      <c r="F297" s="10"/>
      <c r="G297" s="12">
        <f t="shared" si="9"/>
        <v>32640</v>
      </c>
      <c r="H297" s="12">
        <f t="shared" si="10"/>
        <v>16076</v>
      </c>
      <c r="I297" s="13">
        <f>24358*2</f>
        <v>48716</v>
      </c>
      <c r="J297" s="7"/>
    </row>
    <row r="298" spans="1:10" ht="34" hidden="1" x14ac:dyDescent="0.2">
      <c r="A298" s="20">
        <v>7300</v>
      </c>
      <c r="B298" s="20">
        <v>240</v>
      </c>
      <c r="C298" s="20" t="s">
        <v>69</v>
      </c>
      <c r="D298" s="21">
        <v>5</v>
      </c>
      <c r="E298" s="22" t="s">
        <v>412</v>
      </c>
      <c r="F298" s="2"/>
      <c r="G298" s="12">
        <f t="shared" si="9"/>
        <v>2050</v>
      </c>
      <c r="H298" s="12">
        <f t="shared" si="10"/>
        <v>1010</v>
      </c>
      <c r="I298" s="23">
        <v>3060</v>
      </c>
      <c r="J298" s="7"/>
    </row>
    <row r="299" spans="1:10" ht="34" hidden="1" x14ac:dyDescent="0.2">
      <c r="A299" s="8" t="s">
        <v>191</v>
      </c>
      <c r="B299" s="8">
        <v>240</v>
      </c>
      <c r="C299" s="8" t="s">
        <v>49</v>
      </c>
      <c r="D299" s="9">
        <v>14</v>
      </c>
      <c r="E299" s="10" t="s">
        <v>195</v>
      </c>
      <c r="F299" s="10"/>
      <c r="G299" s="12">
        <f t="shared" si="9"/>
        <v>4821</v>
      </c>
      <c r="H299" s="12">
        <f t="shared" si="10"/>
        <v>2375</v>
      </c>
      <c r="I299" s="13">
        <f>3598*2</f>
        <v>7196</v>
      </c>
      <c r="J299" s="7"/>
    </row>
    <row r="300" spans="1:10" ht="34" hidden="1" x14ac:dyDescent="0.2">
      <c r="A300" s="8">
        <v>7300</v>
      </c>
      <c r="B300" s="8">
        <v>394</v>
      </c>
      <c r="C300" s="8" t="s">
        <v>70</v>
      </c>
      <c r="D300" s="9" t="s">
        <v>71</v>
      </c>
      <c r="E300" s="17" t="s">
        <v>413</v>
      </c>
      <c r="F300" s="11"/>
      <c r="G300" s="12">
        <f t="shared" si="9"/>
        <v>73394</v>
      </c>
      <c r="H300" s="12">
        <f t="shared" si="10"/>
        <v>36149</v>
      </c>
      <c r="I300" s="13">
        <v>109543</v>
      </c>
      <c r="J300" s="7"/>
    </row>
    <row r="301" spans="1:10" ht="17" hidden="1" x14ac:dyDescent="0.2">
      <c r="A301" s="8" t="s">
        <v>196</v>
      </c>
      <c r="B301" s="8">
        <v>110</v>
      </c>
      <c r="C301" s="8" t="s">
        <v>49</v>
      </c>
      <c r="D301" s="9">
        <v>14</v>
      </c>
      <c r="E301" s="10" t="s">
        <v>197</v>
      </c>
      <c r="F301" s="52"/>
      <c r="G301" s="12">
        <f t="shared" si="9"/>
        <v>1905</v>
      </c>
      <c r="H301" s="12">
        <f t="shared" si="10"/>
        <v>939</v>
      </c>
      <c r="I301" s="13">
        <f>1422*2</f>
        <v>2844</v>
      </c>
      <c r="J301" s="7"/>
    </row>
    <row r="302" spans="1:10" ht="34" hidden="1" x14ac:dyDescent="0.2">
      <c r="A302" s="8" t="s">
        <v>196</v>
      </c>
      <c r="B302" s="8">
        <v>160</v>
      </c>
      <c r="C302" s="8" t="s">
        <v>49</v>
      </c>
      <c r="D302" s="9">
        <v>14</v>
      </c>
      <c r="E302" s="10" t="s">
        <v>198</v>
      </c>
      <c r="F302" s="52"/>
      <c r="G302" s="12">
        <f t="shared" si="9"/>
        <v>13334</v>
      </c>
      <c r="H302" s="12">
        <f t="shared" si="10"/>
        <v>6568</v>
      </c>
      <c r="I302" s="13">
        <f>9951*2</f>
        <v>19902</v>
      </c>
      <c r="J302" s="7"/>
    </row>
    <row r="303" spans="1:10" ht="34" hidden="1" x14ac:dyDescent="0.2">
      <c r="A303" s="8" t="s">
        <v>196</v>
      </c>
      <c r="B303" s="8">
        <v>220</v>
      </c>
      <c r="C303" s="8" t="s">
        <v>49</v>
      </c>
      <c r="D303" s="9">
        <v>14</v>
      </c>
      <c r="E303" s="10" t="s">
        <v>199</v>
      </c>
      <c r="F303" s="52"/>
      <c r="G303" s="12">
        <f t="shared" si="9"/>
        <v>1166</v>
      </c>
      <c r="H303" s="12">
        <f t="shared" si="10"/>
        <v>574</v>
      </c>
      <c r="I303" s="13">
        <f>870*2</f>
        <v>1740</v>
      </c>
      <c r="J303" s="7"/>
    </row>
    <row r="304" spans="1:10" ht="17" hidden="1" x14ac:dyDescent="0.2">
      <c r="A304" s="8" t="s">
        <v>196</v>
      </c>
      <c r="B304" s="8">
        <v>240</v>
      </c>
      <c r="C304" s="8" t="s">
        <v>49</v>
      </c>
      <c r="D304" s="9">
        <v>14</v>
      </c>
      <c r="E304" s="10" t="s">
        <v>200</v>
      </c>
      <c r="F304" s="52"/>
      <c r="G304" s="12">
        <f t="shared" si="9"/>
        <v>173</v>
      </c>
      <c r="H304" s="12">
        <f t="shared" si="10"/>
        <v>85</v>
      </c>
      <c r="I304" s="13">
        <f>129*2</f>
        <v>258</v>
      </c>
      <c r="J304" s="7"/>
    </row>
    <row r="305" spans="1:10" ht="51" hidden="1" x14ac:dyDescent="0.2">
      <c r="A305" s="20">
        <v>7400</v>
      </c>
      <c r="B305" s="20">
        <v>310</v>
      </c>
      <c r="C305" s="20" t="s">
        <v>72</v>
      </c>
      <c r="D305" s="21">
        <v>4</v>
      </c>
      <c r="E305" s="10" t="s">
        <v>417</v>
      </c>
      <c r="F305" s="5"/>
      <c r="G305" s="12">
        <f t="shared" si="9"/>
        <v>201000</v>
      </c>
      <c r="H305" s="12">
        <f t="shared" si="10"/>
        <v>99000</v>
      </c>
      <c r="I305" s="55">
        <v>300000</v>
      </c>
      <c r="J305" s="7"/>
    </row>
    <row r="306" spans="1:10" ht="34" hidden="1" x14ac:dyDescent="0.2">
      <c r="A306" s="20">
        <v>7400</v>
      </c>
      <c r="B306" s="20">
        <v>641</v>
      </c>
      <c r="C306" s="20" t="s">
        <v>72</v>
      </c>
      <c r="D306" s="21">
        <v>3</v>
      </c>
      <c r="E306" s="10" t="s">
        <v>415</v>
      </c>
      <c r="F306" s="5"/>
      <c r="G306" s="12">
        <f t="shared" si="9"/>
        <v>402000</v>
      </c>
      <c r="H306" s="12">
        <f t="shared" si="10"/>
        <v>198000</v>
      </c>
      <c r="I306" s="55">
        <v>600000</v>
      </c>
      <c r="J306" s="7"/>
    </row>
    <row r="307" spans="1:10" ht="34" hidden="1" x14ac:dyDescent="0.2">
      <c r="A307" s="20">
        <v>7400</v>
      </c>
      <c r="B307" s="20">
        <v>642</v>
      </c>
      <c r="C307" s="20" t="s">
        <v>72</v>
      </c>
      <c r="D307" s="21">
        <v>3</v>
      </c>
      <c r="E307" s="10" t="s">
        <v>416</v>
      </c>
      <c r="F307" s="5"/>
      <c r="G307" s="12">
        <f t="shared" si="9"/>
        <v>142375</v>
      </c>
      <c r="H307" s="12">
        <f t="shared" si="10"/>
        <v>70125</v>
      </c>
      <c r="I307" s="55">
        <v>212500</v>
      </c>
      <c r="J307" s="7"/>
    </row>
    <row r="308" spans="1:10" ht="85" hidden="1" x14ac:dyDescent="0.2">
      <c r="A308" s="20">
        <v>7400</v>
      </c>
      <c r="B308" s="20">
        <v>680</v>
      </c>
      <c r="C308" s="20" t="s">
        <v>72</v>
      </c>
      <c r="D308" s="21">
        <v>2</v>
      </c>
      <c r="E308" s="10" t="s">
        <v>414</v>
      </c>
      <c r="F308" s="5"/>
      <c r="G308" s="12">
        <f t="shared" si="9"/>
        <v>670000</v>
      </c>
      <c r="H308" s="12">
        <f t="shared" si="10"/>
        <v>330000</v>
      </c>
      <c r="I308" s="13">
        <v>1000000</v>
      </c>
      <c r="J308" s="7"/>
    </row>
    <row r="309" spans="1:10" ht="34" hidden="1" x14ac:dyDescent="0.2">
      <c r="A309" s="20">
        <v>7400</v>
      </c>
      <c r="B309" s="20">
        <v>680</v>
      </c>
      <c r="C309" s="20" t="s">
        <v>72</v>
      </c>
      <c r="D309" s="21">
        <v>3</v>
      </c>
      <c r="E309" s="10" t="s">
        <v>73</v>
      </c>
      <c r="F309" s="5"/>
      <c r="G309" s="12">
        <f t="shared" si="9"/>
        <v>1206000</v>
      </c>
      <c r="H309" s="12">
        <f t="shared" si="10"/>
        <v>594000</v>
      </c>
      <c r="I309" s="13">
        <v>1800000</v>
      </c>
      <c r="J309" s="7"/>
    </row>
    <row r="310" spans="1:10" ht="68" hidden="1" x14ac:dyDescent="0.2">
      <c r="A310" s="20">
        <v>7420</v>
      </c>
      <c r="B310" s="20">
        <v>681</v>
      </c>
      <c r="C310" s="20" t="s">
        <v>74</v>
      </c>
      <c r="D310" s="21">
        <v>1</v>
      </c>
      <c r="E310" s="22" t="s">
        <v>418</v>
      </c>
      <c r="F310" s="5"/>
      <c r="G310" s="12">
        <f t="shared" si="9"/>
        <v>2680000</v>
      </c>
      <c r="H310" s="12">
        <f t="shared" si="10"/>
        <v>1320000</v>
      </c>
      <c r="I310" s="13">
        <v>4000000</v>
      </c>
      <c r="J310" s="7"/>
    </row>
    <row r="311" spans="1:10" ht="68" hidden="1" x14ac:dyDescent="0.2">
      <c r="A311" s="20">
        <v>7420</v>
      </c>
      <c r="B311" s="20">
        <v>682</v>
      </c>
      <c r="C311" s="20" t="s">
        <v>74</v>
      </c>
      <c r="D311" s="21">
        <v>1</v>
      </c>
      <c r="E311" s="22" t="s">
        <v>75</v>
      </c>
      <c r="F311" s="5"/>
      <c r="G311" s="12">
        <f t="shared" si="9"/>
        <v>1427296</v>
      </c>
      <c r="H311" s="12">
        <f t="shared" si="10"/>
        <v>702997</v>
      </c>
      <c r="I311" s="13">
        <v>2130293</v>
      </c>
      <c r="J311" s="7"/>
    </row>
    <row r="312" spans="1:10" ht="17" hidden="1" x14ac:dyDescent="0.2">
      <c r="A312" s="8" t="s">
        <v>201</v>
      </c>
      <c r="B312" s="8">
        <v>110</v>
      </c>
      <c r="C312" s="8" t="s">
        <v>49</v>
      </c>
      <c r="D312" s="9">
        <v>14</v>
      </c>
      <c r="E312" s="10" t="s">
        <v>202</v>
      </c>
      <c r="F312" s="52"/>
      <c r="G312" s="12">
        <f t="shared" si="9"/>
        <v>9525</v>
      </c>
      <c r="H312" s="12">
        <f t="shared" si="10"/>
        <v>4691</v>
      </c>
      <c r="I312" s="13">
        <f>7108*2</f>
        <v>14216</v>
      </c>
      <c r="J312" s="7"/>
    </row>
    <row r="313" spans="1:10" ht="17" hidden="1" x14ac:dyDescent="0.2">
      <c r="A313" s="8" t="s">
        <v>201</v>
      </c>
      <c r="B313" s="8">
        <v>160</v>
      </c>
      <c r="C313" s="8" t="s">
        <v>49</v>
      </c>
      <c r="D313" s="9">
        <v>14</v>
      </c>
      <c r="E313" s="10" t="s">
        <v>203</v>
      </c>
      <c r="F313" s="52"/>
      <c r="G313" s="12">
        <f t="shared" si="9"/>
        <v>52382</v>
      </c>
      <c r="H313" s="12">
        <f t="shared" si="10"/>
        <v>25800</v>
      </c>
      <c r="I313" s="13">
        <f>39091*2</f>
        <v>78182</v>
      </c>
      <c r="J313" s="7"/>
    </row>
    <row r="314" spans="1:10" ht="17" hidden="1" x14ac:dyDescent="0.2">
      <c r="A314" s="8" t="s">
        <v>201</v>
      </c>
      <c r="B314" s="8">
        <v>220</v>
      </c>
      <c r="C314" s="8" t="s">
        <v>49</v>
      </c>
      <c r="D314" s="9">
        <v>14</v>
      </c>
      <c r="E314" s="10" t="s">
        <v>204</v>
      </c>
      <c r="F314" s="10"/>
      <c r="G314" s="12">
        <f t="shared" si="9"/>
        <v>4737</v>
      </c>
      <c r="H314" s="12">
        <f t="shared" si="10"/>
        <v>2333</v>
      </c>
      <c r="I314" s="13">
        <f>3535*2</f>
        <v>7070</v>
      </c>
      <c r="J314" s="7"/>
    </row>
    <row r="315" spans="1:10" ht="17" hidden="1" x14ac:dyDescent="0.2">
      <c r="A315" s="8" t="s">
        <v>201</v>
      </c>
      <c r="B315" s="8">
        <v>240</v>
      </c>
      <c r="C315" s="8" t="s">
        <v>49</v>
      </c>
      <c r="D315" s="9">
        <v>14</v>
      </c>
      <c r="E315" s="10" t="s">
        <v>205</v>
      </c>
      <c r="F315" s="10"/>
      <c r="G315" s="12">
        <f t="shared" si="9"/>
        <v>699</v>
      </c>
      <c r="H315" s="12">
        <f t="shared" si="10"/>
        <v>345</v>
      </c>
      <c r="I315" s="13">
        <f>522*2</f>
        <v>1044</v>
      </c>
      <c r="J315" s="7"/>
    </row>
    <row r="316" spans="1:10" ht="34" hidden="1" x14ac:dyDescent="0.2">
      <c r="A316" s="8" t="s">
        <v>206</v>
      </c>
      <c r="B316" s="8">
        <v>160</v>
      </c>
      <c r="C316" s="8" t="s">
        <v>49</v>
      </c>
      <c r="D316" s="9">
        <v>14</v>
      </c>
      <c r="E316" s="10" t="s">
        <v>207</v>
      </c>
      <c r="F316" s="10"/>
      <c r="G316" s="12">
        <f t="shared" si="9"/>
        <v>1905</v>
      </c>
      <c r="H316" s="12">
        <f t="shared" si="10"/>
        <v>939</v>
      </c>
      <c r="I316" s="13">
        <f>1422*2</f>
        <v>2844</v>
      </c>
      <c r="J316" s="7"/>
    </row>
    <row r="317" spans="1:10" ht="34" hidden="1" x14ac:dyDescent="0.2">
      <c r="A317" s="8" t="s">
        <v>206</v>
      </c>
      <c r="B317" s="8">
        <v>220</v>
      </c>
      <c r="C317" s="8" t="s">
        <v>49</v>
      </c>
      <c r="D317" s="9">
        <v>14</v>
      </c>
      <c r="E317" s="10" t="s">
        <v>208</v>
      </c>
      <c r="F317" s="52"/>
      <c r="G317" s="12">
        <f t="shared" si="9"/>
        <v>146</v>
      </c>
      <c r="H317" s="12">
        <f t="shared" si="10"/>
        <v>72</v>
      </c>
      <c r="I317" s="13">
        <f>109*2</f>
        <v>218</v>
      </c>
      <c r="J317" s="7"/>
    </row>
    <row r="318" spans="1:10" ht="34" hidden="1" x14ac:dyDescent="0.2">
      <c r="A318" s="8" t="s">
        <v>206</v>
      </c>
      <c r="B318" s="8">
        <v>240</v>
      </c>
      <c r="C318" s="8" t="s">
        <v>49</v>
      </c>
      <c r="D318" s="9">
        <v>14</v>
      </c>
      <c r="E318" s="10" t="s">
        <v>209</v>
      </c>
      <c r="F318" s="52"/>
      <c r="G318" s="12">
        <f t="shared" si="9"/>
        <v>23</v>
      </c>
      <c r="H318" s="12">
        <f t="shared" si="10"/>
        <v>11</v>
      </c>
      <c r="I318" s="13">
        <f>17*2</f>
        <v>34</v>
      </c>
      <c r="J318" s="7"/>
    </row>
    <row r="319" spans="1:10" ht="17" hidden="1" x14ac:dyDescent="0.2">
      <c r="A319" s="8" t="s">
        <v>210</v>
      </c>
      <c r="B319" s="8">
        <v>160</v>
      </c>
      <c r="C319" s="8" t="s">
        <v>49</v>
      </c>
      <c r="D319" s="9">
        <v>14</v>
      </c>
      <c r="E319" s="10" t="s">
        <v>211</v>
      </c>
      <c r="F319" s="10"/>
      <c r="G319" s="12">
        <f t="shared" si="9"/>
        <v>3810</v>
      </c>
      <c r="H319" s="12">
        <f t="shared" si="10"/>
        <v>1876</v>
      </c>
      <c r="I319" s="13">
        <f>2843*2</f>
        <v>5686</v>
      </c>
      <c r="J319" s="7"/>
    </row>
    <row r="320" spans="1:10" ht="34" hidden="1" x14ac:dyDescent="0.2">
      <c r="A320" s="8" t="s">
        <v>210</v>
      </c>
      <c r="B320" s="8">
        <v>220</v>
      </c>
      <c r="C320" s="8" t="s">
        <v>49</v>
      </c>
      <c r="D320" s="9">
        <v>14</v>
      </c>
      <c r="E320" s="10" t="s">
        <v>212</v>
      </c>
      <c r="F320" s="10"/>
      <c r="G320" s="12">
        <f t="shared" si="9"/>
        <v>292</v>
      </c>
      <c r="H320" s="12">
        <f t="shared" si="10"/>
        <v>144</v>
      </c>
      <c r="I320" s="13">
        <f>218*2</f>
        <v>436</v>
      </c>
      <c r="J320" s="7"/>
    </row>
    <row r="321" spans="1:10" ht="17" hidden="1" x14ac:dyDescent="0.2">
      <c r="A321" s="8" t="s">
        <v>210</v>
      </c>
      <c r="B321" s="8">
        <v>240</v>
      </c>
      <c r="C321" s="8" t="s">
        <v>49</v>
      </c>
      <c r="D321" s="9">
        <v>14</v>
      </c>
      <c r="E321" s="10" t="s">
        <v>213</v>
      </c>
      <c r="F321" s="10"/>
      <c r="G321" s="12">
        <f t="shared" si="9"/>
        <v>44</v>
      </c>
      <c r="H321" s="12">
        <f t="shared" si="10"/>
        <v>22</v>
      </c>
      <c r="I321" s="13">
        <f>33*2</f>
        <v>66</v>
      </c>
      <c r="J321" s="7"/>
    </row>
    <row r="322" spans="1:10" ht="17" hidden="1" x14ac:dyDescent="0.2">
      <c r="A322" s="8" t="s">
        <v>214</v>
      </c>
      <c r="B322" s="8">
        <v>110</v>
      </c>
      <c r="C322" s="8" t="s">
        <v>49</v>
      </c>
      <c r="D322" s="9">
        <v>14</v>
      </c>
      <c r="E322" s="10" t="s">
        <v>215</v>
      </c>
      <c r="F322" s="10"/>
      <c r="G322" s="12">
        <f t="shared" ref="G322:G373" si="11">ROUND(I322*0.67,0)</f>
        <v>9525</v>
      </c>
      <c r="H322" s="12">
        <f t="shared" si="10"/>
        <v>4691</v>
      </c>
      <c r="I322" s="13">
        <f>7108*2</f>
        <v>14216</v>
      </c>
      <c r="J322" s="7"/>
    </row>
    <row r="323" spans="1:10" ht="17" hidden="1" x14ac:dyDescent="0.2">
      <c r="A323" s="8" t="s">
        <v>214</v>
      </c>
      <c r="B323" s="8">
        <v>160</v>
      </c>
      <c r="C323" s="8" t="s">
        <v>49</v>
      </c>
      <c r="D323" s="9">
        <v>14</v>
      </c>
      <c r="E323" s="10" t="s">
        <v>216</v>
      </c>
      <c r="F323" s="10"/>
      <c r="G323" s="12">
        <f t="shared" si="11"/>
        <v>38096</v>
      </c>
      <c r="H323" s="12">
        <f t="shared" si="10"/>
        <v>18764</v>
      </c>
      <c r="I323" s="13">
        <f>28430*2</f>
        <v>56860</v>
      </c>
      <c r="J323" s="7"/>
    </row>
    <row r="324" spans="1:10" ht="34" hidden="1" x14ac:dyDescent="0.2">
      <c r="A324" s="8" t="s">
        <v>214</v>
      </c>
      <c r="B324" s="8">
        <v>220</v>
      </c>
      <c r="C324" s="8" t="s">
        <v>49</v>
      </c>
      <c r="D324" s="9">
        <v>14</v>
      </c>
      <c r="E324" s="10" t="s">
        <v>217</v>
      </c>
      <c r="F324" s="10"/>
      <c r="G324" s="12">
        <f t="shared" si="11"/>
        <v>3643</v>
      </c>
      <c r="H324" s="12">
        <f t="shared" si="10"/>
        <v>1795</v>
      </c>
      <c r="I324" s="13">
        <f>2719*2</f>
        <v>5438</v>
      </c>
      <c r="J324" s="7"/>
    </row>
    <row r="325" spans="1:10" ht="17" hidden="1" x14ac:dyDescent="0.2">
      <c r="A325" s="8" t="s">
        <v>214</v>
      </c>
      <c r="B325" s="8">
        <v>240</v>
      </c>
      <c r="C325" s="8" t="s">
        <v>49</v>
      </c>
      <c r="D325" s="9">
        <v>14</v>
      </c>
      <c r="E325" s="10" t="s">
        <v>218</v>
      </c>
      <c r="F325" s="10"/>
      <c r="G325" s="12">
        <f t="shared" si="11"/>
        <v>539</v>
      </c>
      <c r="H325" s="12">
        <f t="shared" si="10"/>
        <v>265</v>
      </c>
      <c r="I325" s="13">
        <f>402*2</f>
        <v>804</v>
      </c>
      <c r="J325" s="7"/>
    </row>
    <row r="326" spans="1:10" ht="34" hidden="1" x14ac:dyDescent="0.2">
      <c r="A326" s="8">
        <v>7730</v>
      </c>
      <c r="B326" s="8">
        <v>330</v>
      </c>
      <c r="C326" s="8" t="s">
        <v>49</v>
      </c>
      <c r="D326" s="9">
        <v>6</v>
      </c>
      <c r="E326" s="10" t="s">
        <v>419</v>
      </c>
      <c r="F326" s="54"/>
      <c r="G326" s="12">
        <f t="shared" si="11"/>
        <v>4502</v>
      </c>
      <c r="H326" s="12">
        <f t="shared" si="10"/>
        <v>2218</v>
      </c>
      <c r="I326" s="32">
        <v>6720</v>
      </c>
      <c r="J326" s="7"/>
    </row>
    <row r="327" spans="1:10" ht="68" hidden="1" x14ac:dyDescent="0.2">
      <c r="A327" s="8">
        <v>7730</v>
      </c>
      <c r="B327" s="8">
        <v>335</v>
      </c>
      <c r="C327" s="8" t="s">
        <v>49</v>
      </c>
      <c r="D327" s="9">
        <v>6</v>
      </c>
      <c r="E327" s="10" t="s">
        <v>420</v>
      </c>
      <c r="F327" s="54"/>
      <c r="G327" s="12">
        <f t="shared" si="11"/>
        <v>26800</v>
      </c>
      <c r="H327" s="12">
        <f t="shared" si="10"/>
        <v>13200</v>
      </c>
      <c r="I327" s="32">
        <v>40000</v>
      </c>
      <c r="J327" s="7"/>
    </row>
    <row r="328" spans="1:10" ht="136" hidden="1" x14ac:dyDescent="0.2">
      <c r="A328" s="8">
        <v>7730</v>
      </c>
      <c r="B328" s="8">
        <v>369</v>
      </c>
      <c r="C328" s="8" t="s">
        <v>49</v>
      </c>
      <c r="D328" s="9">
        <v>3</v>
      </c>
      <c r="E328" s="19" t="s">
        <v>421</v>
      </c>
      <c r="F328" s="54"/>
      <c r="G328" s="12">
        <f t="shared" si="11"/>
        <v>29480</v>
      </c>
      <c r="H328" s="12">
        <f t="shared" si="10"/>
        <v>14520</v>
      </c>
      <c r="I328" s="32">
        <v>44000</v>
      </c>
      <c r="J328" s="7"/>
    </row>
    <row r="329" spans="1:10" ht="102" hidden="1" x14ac:dyDescent="0.2">
      <c r="A329" s="50">
        <v>7730</v>
      </c>
      <c r="B329" s="50">
        <v>390</v>
      </c>
      <c r="C329" s="50" t="s">
        <v>49</v>
      </c>
      <c r="D329" s="74">
        <v>4</v>
      </c>
      <c r="E329" s="75" t="s">
        <v>422</v>
      </c>
      <c r="F329" s="76"/>
      <c r="G329" s="77">
        <f t="shared" si="11"/>
        <v>18760</v>
      </c>
      <c r="H329" s="77">
        <f t="shared" si="10"/>
        <v>9240</v>
      </c>
      <c r="I329" s="78">
        <v>28000</v>
      </c>
      <c r="J329" s="7"/>
    </row>
    <row r="330" spans="1:10" ht="34" hidden="1" x14ac:dyDescent="0.2">
      <c r="A330" s="8">
        <v>7730</v>
      </c>
      <c r="B330" s="8">
        <v>590</v>
      </c>
      <c r="C330" s="8" t="s">
        <v>49</v>
      </c>
      <c r="D330" s="9">
        <v>8</v>
      </c>
      <c r="E330" s="19" t="s">
        <v>76</v>
      </c>
      <c r="F330" s="54"/>
      <c r="G330" s="12">
        <f t="shared" si="11"/>
        <v>4020</v>
      </c>
      <c r="H330" s="12">
        <f t="shared" si="10"/>
        <v>1980</v>
      </c>
      <c r="I330" s="32">
        <v>6000</v>
      </c>
      <c r="J330" s="7"/>
    </row>
    <row r="331" spans="1:10" ht="102" hidden="1" x14ac:dyDescent="0.2">
      <c r="A331" s="8">
        <v>7730</v>
      </c>
      <c r="B331" s="8">
        <v>644</v>
      </c>
      <c r="C331" s="8" t="s">
        <v>49</v>
      </c>
      <c r="D331" s="9">
        <v>5</v>
      </c>
      <c r="E331" s="10" t="s">
        <v>423</v>
      </c>
      <c r="F331" s="54"/>
      <c r="G331" s="12">
        <f t="shared" si="11"/>
        <v>10023</v>
      </c>
      <c r="H331" s="12">
        <f t="shared" si="10"/>
        <v>4937</v>
      </c>
      <c r="I331" s="32">
        <v>14960</v>
      </c>
      <c r="J331" s="7"/>
    </row>
    <row r="332" spans="1:10" ht="51" hidden="1" x14ac:dyDescent="0.2">
      <c r="A332" s="8">
        <v>7730</v>
      </c>
      <c r="B332" s="8">
        <v>730</v>
      </c>
      <c r="C332" s="8" t="s">
        <v>49</v>
      </c>
      <c r="D332" s="9">
        <v>7</v>
      </c>
      <c r="E332" s="10" t="s">
        <v>424</v>
      </c>
      <c r="F332" s="54"/>
      <c r="G332" s="12">
        <f t="shared" si="11"/>
        <v>2680</v>
      </c>
      <c r="H332" s="12">
        <f t="shared" si="10"/>
        <v>1320</v>
      </c>
      <c r="I332" s="32">
        <v>4000</v>
      </c>
      <c r="J332" s="7"/>
    </row>
    <row r="333" spans="1:10" ht="102" hidden="1" x14ac:dyDescent="0.2">
      <c r="A333" s="8">
        <v>7730</v>
      </c>
      <c r="B333" s="50" t="s">
        <v>481</v>
      </c>
      <c r="C333" s="8" t="s">
        <v>49</v>
      </c>
      <c r="D333" s="9">
        <v>14</v>
      </c>
      <c r="E333" s="10" t="s">
        <v>95</v>
      </c>
      <c r="F333" s="53"/>
      <c r="G333" s="12">
        <f t="shared" si="11"/>
        <v>40200</v>
      </c>
      <c r="H333" s="12">
        <f t="shared" si="10"/>
        <v>19800</v>
      </c>
      <c r="I333" s="13">
        <v>60000</v>
      </c>
      <c r="J333" s="7"/>
    </row>
    <row r="334" spans="1:10" ht="17" hidden="1" x14ac:dyDescent="0.2">
      <c r="A334" s="8" t="s">
        <v>219</v>
      </c>
      <c r="B334" s="8">
        <v>110</v>
      </c>
      <c r="C334" s="8" t="s">
        <v>49</v>
      </c>
      <c r="D334" s="9">
        <v>14</v>
      </c>
      <c r="E334" s="10" t="s">
        <v>220</v>
      </c>
      <c r="F334" s="10"/>
      <c r="G334" s="12">
        <f t="shared" si="11"/>
        <v>1905</v>
      </c>
      <c r="H334" s="12">
        <f t="shared" si="10"/>
        <v>939</v>
      </c>
      <c r="I334" s="13">
        <f>1422*2</f>
        <v>2844</v>
      </c>
      <c r="J334" s="7"/>
    </row>
    <row r="335" spans="1:10" ht="17" hidden="1" x14ac:dyDescent="0.2">
      <c r="A335" s="8" t="s">
        <v>219</v>
      </c>
      <c r="B335" s="8">
        <v>160</v>
      </c>
      <c r="C335" s="8" t="s">
        <v>49</v>
      </c>
      <c r="D335" s="9">
        <v>14</v>
      </c>
      <c r="E335" s="10" t="s">
        <v>221</v>
      </c>
      <c r="F335" s="10"/>
      <c r="G335" s="12">
        <f t="shared" si="11"/>
        <v>20001</v>
      </c>
      <c r="H335" s="12">
        <f t="shared" si="10"/>
        <v>9851</v>
      </c>
      <c r="I335" s="13">
        <f>14926*2</f>
        <v>29852</v>
      </c>
      <c r="J335" s="7"/>
    </row>
    <row r="336" spans="1:10" ht="34" hidden="1" x14ac:dyDescent="0.2">
      <c r="A336" s="8" t="s">
        <v>219</v>
      </c>
      <c r="B336" s="8">
        <v>220</v>
      </c>
      <c r="C336" s="8" t="s">
        <v>49</v>
      </c>
      <c r="D336" s="9">
        <v>14</v>
      </c>
      <c r="E336" s="10" t="s">
        <v>222</v>
      </c>
      <c r="F336" s="10"/>
      <c r="G336" s="12">
        <f t="shared" si="11"/>
        <v>1676</v>
      </c>
      <c r="H336" s="12">
        <f t="shared" si="10"/>
        <v>826</v>
      </c>
      <c r="I336" s="13">
        <f>1251*2</f>
        <v>2502</v>
      </c>
      <c r="J336" s="7"/>
    </row>
    <row r="337" spans="1:10" ht="17" hidden="1" x14ac:dyDescent="0.2">
      <c r="A337" s="8" t="s">
        <v>219</v>
      </c>
      <c r="B337" s="8">
        <v>240</v>
      </c>
      <c r="C337" s="8" t="s">
        <v>49</v>
      </c>
      <c r="D337" s="9">
        <v>14</v>
      </c>
      <c r="E337" s="10" t="s">
        <v>223</v>
      </c>
      <c r="F337" s="10"/>
      <c r="G337" s="12">
        <f t="shared" si="11"/>
        <v>248</v>
      </c>
      <c r="H337" s="12">
        <f t="shared" si="10"/>
        <v>122</v>
      </c>
      <c r="I337" s="13">
        <f>185*2</f>
        <v>370</v>
      </c>
      <c r="J337" s="7"/>
    </row>
    <row r="338" spans="1:10" ht="17" hidden="1" x14ac:dyDescent="0.2">
      <c r="A338" s="8" t="s">
        <v>224</v>
      </c>
      <c r="B338" s="8">
        <v>160</v>
      </c>
      <c r="C338" s="8" t="s">
        <v>49</v>
      </c>
      <c r="D338" s="9">
        <v>14</v>
      </c>
      <c r="E338" s="10" t="s">
        <v>225</v>
      </c>
      <c r="F338" s="10"/>
      <c r="G338" s="12">
        <f t="shared" si="11"/>
        <v>32381</v>
      </c>
      <c r="H338" s="12">
        <f t="shared" si="10"/>
        <v>15949</v>
      </c>
      <c r="I338" s="13">
        <f>24165*2</f>
        <v>48330</v>
      </c>
      <c r="J338" s="7"/>
    </row>
    <row r="339" spans="1:10" ht="17" hidden="1" x14ac:dyDescent="0.2">
      <c r="A339" s="8" t="s">
        <v>224</v>
      </c>
      <c r="B339" s="8">
        <v>220</v>
      </c>
      <c r="C339" s="8" t="s">
        <v>49</v>
      </c>
      <c r="D339" s="9">
        <v>14</v>
      </c>
      <c r="E339" s="10" t="s">
        <v>226</v>
      </c>
      <c r="F339" s="10"/>
      <c r="G339" s="12">
        <f t="shared" si="11"/>
        <v>2478</v>
      </c>
      <c r="H339" s="12">
        <f t="shared" si="10"/>
        <v>1220</v>
      </c>
      <c r="I339" s="13">
        <f>1849*2</f>
        <v>3698</v>
      </c>
      <c r="J339" s="7"/>
    </row>
    <row r="340" spans="1:10" ht="17" hidden="1" x14ac:dyDescent="0.2">
      <c r="A340" s="8" t="s">
        <v>224</v>
      </c>
      <c r="B340" s="8">
        <v>240</v>
      </c>
      <c r="C340" s="8" t="s">
        <v>49</v>
      </c>
      <c r="D340" s="9">
        <v>14</v>
      </c>
      <c r="E340" s="10" t="s">
        <v>227</v>
      </c>
      <c r="F340" s="10"/>
      <c r="G340" s="12">
        <f t="shared" si="11"/>
        <v>367</v>
      </c>
      <c r="H340" s="12">
        <f t="shared" si="10"/>
        <v>181</v>
      </c>
      <c r="I340" s="13">
        <f>274*2</f>
        <v>548</v>
      </c>
      <c r="J340" s="7"/>
    </row>
    <row r="341" spans="1:10" ht="17" hidden="1" x14ac:dyDescent="0.2">
      <c r="A341" s="8" t="s">
        <v>228</v>
      </c>
      <c r="B341" s="8">
        <v>160</v>
      </c>
      <c r="C341" s="8" t="s">
        <v>49</v>
      </c>
      <c r="D341" s="9">
        <v>14</v>
      </c>
      <c r="E341" s="10" t="s">
        <v>229</v>
      </c>
      <c r="F341" s="10"/>
      <c r="G341" s="12">
        <f t="shared" si="11"/>
        <v>9525</v>
      </c>
      <c r="H341" s="12">
        <f t="shared" si="10"/>
        <v>4691</v>
      </c>
      <c r="I341" s="13">
        <f>7108*2</f>
        <v>14216</v>
      </c>
      <c r="J341" s="7"/>
    </row>
    <row r="342" spans="1:10" ht="34" hidden="1" x14ac:dyDescent="0.2">
      <c r="A342" s="8" t="s">
        <v>228</v>
      </c>
      <c r="B342" s="8">
        <v>220</v>
      </c>
      <c r="C342" s="8" t="s">
        <v>49</v>
      </c>
      <c r="D342" s="9">
        <v>14</v>
      </c>
      <c r="E342" s="10" t="s">
        <v>230</v>
      </c>
      <c r="F342" s="10"/>
      <c r="G342" s="12">
        <f t="shared" si="11"/>
        <v>729</v>
      </c>
      <c r="H342" s="12">
        <f t="shared" si="10"/>
        <v>359</v>
      </c>
      <c r="I342" s="13">
        <f>544*2</f>
        <v>1088</v>
      </c>
      <c r="J342" s="7"/>
    </row>
    <row r="343" spans="1:10" ht="17" hidden="1" x14ac:dyDescent="0.2">
      <c r="A343" s="8" t="s">
        <v>228</v>
      </c>
      <c r="B343" s="8">
        <v>240</v>
      </c>
      <c r="C343" s="8" t="s">
        <v>49</v>
      </c>
      <c r="D343" s="9">
        <v>14</v>
      </c>
      <c r="E343" s="10" t="s">
        <v>231</v>
      </c>
      <c r="F343" s="10"/>
      <c r="G343" s="12">
        <f t="shared" si="11"/>
        <v>109</v>
      </c>
      <c r="H343" s="12">
        <f t="shared" si="10"/>
        <v>53</v>
      </c>
      <c r="I343" s="13">
        <f>81*2</f>
        <v>162</v>
      </c>
      <c r="J343" s="7"/>
    </row>
    <row r="344" spans="1:10" ht="17" hidden="1" x14ac:dyDescent="0.2">
      <c r="A344" s="8">
        <v>7800</v>
      </c>
      <c r="B344" s="8">
        <v>110</v>
      </c>
      <c r="C344" s="8" t="s">
        <v>49</v>
      </c>
      <c r="D344" s="9">
        <v>14</v>
      </c>
      <c r="E344" s="10" t="s">
        <v>232</v>
      </c>
      <c r="F344" s="10"/>
      <c r="G344" s="12">
        <f t="shared" si="11"/>
        <v>1905</v>
      </c>
      <c r="H344" s="12">
        <f t="shared" si="10"/>
        <v>939</v>
      </c>
      <c r="I344" s="13">
        <f>1422*2</f>
        <v>2844</v>
      </c>
      <c r="J344" s="7"/>
    </row>
    <row r="345" spans="1:10" ht="34" hidden="1" x14ac:dyDescent="0.2">
      <c r="A345" s="8">
        <v>7800</v>
      </c>
      <c r="B345" s="69">
        <v>160</v>
      </c>
      <c r="C345" s="8" t="s">
        <v>72</v>
      </c>
      <c r="D345" s="9">
        <v>1</v>
      </c>
      <c r="E345" s="36" t="s">
        <v>426</v>
      </c>
      <c r="F345" s="53"/>
      <c r="G345" s="12">
        <f t="shared" si="11"/>
        <v>412745</v>
      </c>
      <c r="H345" s="12">
        <f t="shared" si="10"/>
        <v>203293</v>
      </c>
      <c r="I345" s="13">
        <v>616038</v>
      </c>
      <c r="J345" s="7"/>
    </row>
    <row r="346" spans="1:10" ht="34" hidden="1" x14ac:dyDescent="0.2">
      <c r="A346" s="20">
        <v>7800</v>
      </c>
      <c r="B346" s="69">
        <v>160</v>
      </c>
      <c r="C346" s="20" t="s">
        <v>72</v>
      </c>
      <c r="D346" s="21">
        <v>1</v>
      </c>
      <c r="E346" s="36" t="s">
        <v>427</v>
      </c>
      <c r="F346" s="2"/>
      <c r="G346" s="12">
        <f t="shared" si="11"/>
        <v>308779</v>
      </c>
      <c r="H346" s="12">
        <f t="shared" si="10"/>
        <v>152085</v>
      </c>
      <c r="I346" s="23">
        <v>460864</v>
      </c>
      <c r="J346" s="7"/>
    </row>
    <row r="347" spans="1:10" ht="68" hidden="1" x14ac:dyDescent="0.2">
      <c r="A347" s="20">
        <v>7800</v>
      </c>
      <c r="B347" s="20">
        <v>160</v>
      </c>
      <c r="C347" s="20" t="s">
        <v>16</v>
      </c>
      <c r="D347" s="21">
        <v>7</v>
      </c>
      <c r="E347" s="22" t="s">
        <v>425</v>
      </c>
      <c r="F347" s="2"/>
      <c r="G347" s="12">
        <f t="shared" si="11"/>
        <v>163706</v>
      </c>
      <c r="H347" s="12">
        <f t="shared" si="10"/>
        <v>80632</v>
      </c>
      <c r="I347" s="23">
        <v>244338</v>
      </c>
      <c r="J347" s="7"/>
    </row>
    <row r="348" spans="1:10" ht="68" hidden="1" x14ac:dyDescent="0.2">
      <c r="A348" s="20">
        <v>7800</v>
      </c>
      <c r="B348" s="20">
        <v>160</v>
      </c>
      <c r="C348" s="20" t="s">
        <v>16</v>
      </c>
      <c r="D348" s="21">
        <v>8</v>
      </c>
      <c r="E348" s="22" t="s">
        <v>77</v>
      </c>
      <c r="F348" s="2"/>
      <c r="G348" s="12">
        <f t="shared" si="11"/>
        <v>46730</v>
      </c>
      <c r="H348" s="12">
        <f t="shared" si="10"/>
        <v>23016</v>
      </c>
      <c r="I348" s="23">
        <v>69746</v>
      </c>
      <c r="J348" s="7"/>
    </row>
    <row r="349" spans="1:10" ht="17" hidden="1" x14ac:dyDescent="0.2">
      <c r="A349" s="8">
        <v>7800</v>
      </c>
      <c r="B349" s="8">
        <v>160</v>
      </c>
      <c r="C349" s="8" t="s">
        <v>49</v>
      </c>
      <c r="D349" s="9">
        <v>14</v>
      </c>
      <c r="E349" s="10" t="s">
        <v>233</v>
      </c>
      <c r="F349" s="10"/>
      <c r="G349" s="12">
        <f t="shared" si="11"/>
        <v>737142</v>
      </c>
      <c r="H349" s="12">
        <f t="shared" si="10"/>
        <v>363070</v>
      </c>
      <c r="I349" s="13">
        <f>550106*2</f>
        <v>1100212</v>
      </c>
      <c r="J349" s="7"/>
    </row>
    <row r="350" spans="1:10" ht="17" hidden="1" x14ac:dyDescent="0.2">
      <c r="A350" s="20">
        <v>7800</v>
      </c>
      <c r="B350" s="69">
        <v>210</v>
      </c>
      <c r="C350" s="20" t="s">
        <v>72</v>
      </c>
      <c r="D350" s="21">
        <v>1</v>
      </c>
      <c r="E350" s="36" t="s">
        <v>78</v>
      </c>
      <c r="F350" s="2"/>
      <c r="G350" s="12">
        <f t="shared" si="11"/>
        <v>76554</v>
      </c>
      <c r="H350" s="12">
        <f t="shared" si="10"/>
        <v>37706</v>
      </c>
      <c r="I350" s="37">
        <v>114260</v>
      </c>
      <c r="J350" s="7"/>
    </row>
    <row r="351" spans="1:10" ht="34" hidden="1" x14ac:dyDescent="0.2">
      <c r="A351" s="20">
        <v>7800</v>
      </c>
      <c r="B351" s="20">
        <v>210</v>
      </c>
      <c r="C351" s="20" t="s">
        <v>16</v>
      </c>
      <c r="D351" s="21">
        <v>7</v>
      </c>
      <c r="E351" s="22" t="s">
        <v>428</v>
      </c>
      <c r="F351" s="2"/>
      <c r="G351" s="12">
        <f t="shared" si="11"/>
        <v>18679</v>
      </c>
      <c r="H351" s="12">
        <f t="shared" si="10"/>
        <v>9200</v>
      </c>
      <c r="I351" s="23">
        <v>27879</v>
      </c>
      <c r="J351" s="7"/>
    </row>
    <row r="352" spans="1:10" ht="34" hidden="1" x14ac:dyDescent="0.2">
      <c r="A352" s="20">
        <v>7800</v>
      </c>
      <c r="B352" s="20">
        <v>210</v>
      </c>
      <c r="C352" s="20" t="s">
        <v>16</v>
      </c>
      <c r="D352" s="21">
        <v>8</v>
      </c>
      <c r="E352" s="22" t="s">
        <v>429</v>
      </c>
      <c r="F352" s="2"/>
      <c r="G352" s="12">
        <f t="shared" si="11"/>
        <v>5333</v>
      </c>
      <c r="H352" s="12">
        <f t="shared" si="10"/>
        <v>2626</v>
      </c>
      <c r="I352" s="23">
        <v>7959</v>
      </c>
      <c r="J352" s="7"/>
    </row>
    <row r="353" spans="1:10" ht="17" hidden="1" x14ac:dyDescent="0.2">
      <c r="A353" s="20">
        <v>7800</v>
      </c>
      <c r="B353" s="69">
        <v>220</v>
      </c>
      <c r="C353" s="20" t="s">
        <v>72</v>
      </c>
      <c r="D353" s="21">
        <v>1</v>
      </c>
      <c r="E353" s="36" t="s">
        <v>81</v>
      </c>
      <c r="F353" s="2"/>
      <c r="G353" s="12">
        <f t="shared" si="11"/>
        <v>44735</v>
      </c>
      <c r="H353" s="12">
        <f t="shared" si="10"/>
        <v>22034</v>
      </c>
      <c r="I353" s="37">
        <v>66769</v>
      </c>
      <c r="J353" s="7"/>
    </row>
    <row r="354" spans="1:10" ht="17" hidden="1" x14ac:dyDescent="0.2">
      <c r="A354" s="20">
        <v>7800</v>
      </c>
      <c r="B354" s="20">
        <v>220</v>
      </c>
      <c r="C354" s="20" t="s">
        <v>16</v>
      </c>
      <c r="D354" s="21">
        <v>7</v>
      </c>
      <c r="E354" s="22" t="s">
        <v>79</v>
      </c>
      <c r="F354" s="2"/>
      <c r="G354" s="12">
        <f t="shared" si="11"/>
        <v>10150</v>
      </c>
      <c r="H354" s="12">
        <f t="shared" si="10"/>
        <v>4999</v>
      </c>
      <c r="I354" s="23">
        <v>15149</v>
      </c>
      <c r="J354" s="7"/>
    </row>
    <row r="355" spans="1:10" ht="34" hidden="1" x14ac:dyDescent="0.2">
      <c r="A355" s="20">
        <v>7800</v>
      </c>
      <c r="B355" s="20">
        <v>220</v>
      </c>
      <c r="C355" s="20" t="s">
        <v>16</v>
      </c>
      <c r="D355" s="21">
        <v>7</v>
      </c>
      <c r="E355" s="22" t="s">
        <v>430</v>
      </c>
      <c r="F355" s="2"/>
      <c r="G355" s="12">
        <f t="shared" si="11"/>
        <v>2374</v>
      </c>
      <c r="H355" s="12">
        <f t="shared" si="10"/>
        <v>1169</v>
      </c>
      <c r="I355" s="23">
        <v>3543</v>
      </c>
      <c r="J355" s="7"/>
    </row>
    <row r="356" spans="1:10" ht="17" hidden="1" x14ac:dyDescent="0.2">
      <c r="A356" s="20">
        <v>7800</v>
      </c>
      <c r="B356" s="20">
        <v>220</v>
      </c>
      <c r="C356" s="20" t="s">
        <v>16</v>
      </c>
      <c r="D356" s="21">
        <v>8</v>
      </c>
      <c r="E356" s="22" t="s">
        <v>80</v>
      </c>
      <c r="F356" s="2"/>
      <c r="G356" s="12">
        <f t="shared" si="11"/>
        <v>2898</v>
      </c>
      <c r="H356" s="12">
        <f t="shared" si="10"/>
        <v>1427</v>
      </c>
      <c r="I356" s="23">
        <v>4325</v>
      </c>
      <c r="J356" s="7"/>
    </row>
    <row r="357" spans="1:10" ht="34" hidden="1" x14ac:dyDescent="0.2">
      <c r="A357" s="20">
        <v>7800</v>
      </c>
      <c r="B357" s="20">
        <v>220</v>
      </c>
      <c r="C357" s="20" t="s">
        <v>16</v>
      </c>
      <c r="D357" s="21">
        <v>8</v>
      </c>
      <c r="E357" s="22" t="s">
        <v>431</v>
      </c>
      <c r="F357" s="2"/>
      <c r="G357" s="12">
        <f t="shared" si="11"/>
        <v>678</v>
      </c>
      <c r="H357" s="12">
        <f t="shared" si="10"/>
        <v>334</v>
      </c>
      <c r="I357" s="23">
        <v>1012</v>
      </c>
      <c r="J357" s="7"/>
    </row>
    <row r="358" spans="1:10" ht="34" hidden="1" x14ac:dyDescent="0.2">
      <c r="A358" s="8">
        <v>7800</v>
      </c>
      <c r="B358" s="8">
        <v>220</v>
      </c>
      <c r="C358" s="8" t="s">
        <v>49</v>
      </c>
      <c r="D358" s="9">
        <v>14</v>
      </c>
      <c r="E358" s="10" t="s">
        <v>264</v>
      </c>
      <c r="F358" s="10"/>
      <c r="G358" s="12">
        <f t="shared" si="11"/>
        <v>56537</v>
      </c>
      <c r="H358" s="12">
        <f t="shared" si="10"/>
        <v>27847</v>
      </c>
      <c r="I358" s="13">
        <f>42192*2</f>
        <v>84384</v>
      </c>
      <c r="J358" s="7"/>
    </row>
    <row r="359" spans="1:10" ht="17" hidden="1" x14ac:dyDescent="0.2">
      <c r="A359" s="20">
        <v>7800</v>
      </c>
      <c r="B359" s="69">
        <v>230</v>
      </c>
      <c r="C359" s="20" t="s">
        <v>72</v>
      </c>
      <c r="D359" s="21">
        <v>1</v>
      </c>
      <c r="E359" s="36" t="s">
        <v>82</v>
      </c>
      <c r="F359" s="2"/>
      <c r="G359" s="12">
        <f t="shared" si="11"/>
        <v>170425</v>
      </c>
      <c r="H359" s="12">
        <f t="shared" si="10"/>
        <v>83941</v>
      </c>
      <c r="I359" s="37">
        <v>254366</v>
      </c>
      <c r="J359" s="7"/>
    </row>
    <row r="360" spans="1:10" ht="17" hidden="1" x14ac:dyDescent="0.2">
      <c r="A360" s="20">
        <v>7800</v>
      </c>
      <c r="B360" s="69">
        <v>231</v>
      </c>
      <c r="C360" s="20" t="s">
        <v>72</v>
      </c>
      <c r="D360" s="21">
        <v>1</v>
      </c>
      <c r="E360" s="36" t="s">
        <v>83</v>
      </c>
      <c r="F360" s="2"/>
      <c r="G360" s="12">
        <f t="shared" si="11"/>
        <v>1877</v>
      </c>
      <c r="H360" s="12">
        <f t="shared" ref="H360:H373" si="12">ROUND(I360*0.33,0)</f>
        <v>924</v>
      </c>
      <c r="I360" s="37">
        <v>2801</v>
      </c>
      <c r="J360" s="7"/>
    </row>
    <row r="361" spans="1:10" ht="17" hidden="1" x14ac:dyDescent="0.2">
      <c r="A361" s="20">
        <v>7800</v>
      </c>
      <c r="B361" s="69">
        <v>232</v>
      </c>
      <c r="C361" s="20" t="s">
        <v>72</v>
      </c>
      <c r="D361" s="21">
        <v>1</v>
      </c>
      <c r="E361" s="36" t="s">
        <v>84</v>
      </c>
      <c r="F361" s="2"/>
      <c r="G361" s="12">
        <f t="shared" si="11"/>
        <v>9453</v>
      </c>
      <c r="H361" s="12">
        <f t="shared" si="12"/>
        <v>4656</v>
      </c>
      <c r="I361" s="37">
        <v>14109</v>
      </c>
      <c r="J361" s="7"/>
    </row>
    <row r="362" spans="1:10" ht="17" hidden="1" x14ac:dyDescent="0.2">
      <c r="A362" s="20">
        <v>7800</v>
      </c>
      <c r="B362" s="69">
        <v>233</v>
      </c>
      <c r="C362" s="20" t="s">
        <v>72</v>
      </c>
      <c r="D362" s="21">
        <v>1</v>
      </c>
      <c r="E362" s="36" t="s">
        <v>85</v>
      </c>
      <c r="F362" s="2"/>
      <c r="G362" s="12">
        <f t="shared" si="11"/>
        <v>10463</v>
      </c>
      <c r="H362" s="12">
        <f t="shared" si="12"/>
        <v>5153</v>
      </c>
      <c r="I362" s="37">
        <v>15616</v>
      </c>
      <c r="J362" s="7"/>
    </row>
    <row r="363" spans="1:10" ht="17" hidden="1" x14ac:dyDescent="0.2">
      <c r="A363" s="8">
        <v>7800</v>
      </c>
      <c r="B363" s="8">
        <v>240</v>
      </c>
      <c r="C363" s="8" t="s">
        <v>49</v>
      </c>
      <c r="D363" s="9">
        <v>14</v>
      </c>
      <c r="E363" s="10" t="s">
        <v>234</v>
      </c>
      <c r="F363" s="10"/>
      <c r="G363" s="12">
        <f t="shared" si="11"/>
        <v>8351</v>
      </c>
      <c r="H363" s="12">
        <f t="shared" si="12"/>
        <v>4113</v>
      </c>
      <c r="I363" s="13">
        <f>6232*2</f>
        <v>12464</v>
      </c>
      <c r="J363" s="7"/>
    </row>
    <row r="364" spans="1:10" ht="68" hidden="1" x14ac:dyDescent="0.2">
      <c r="A364" s="8">
        <v>7800</v>
      </c>
      <c r="B364" s="8">
        <v>310</v>
      </c>
      <c r="C364" s="8" t="s">
        <v>55</v>
      </c>
      <c r="D364" s="9" t="s">
        <v>64</v>
      </c>
      <c r="E364" s="10" t="s">
        <v>86</v>
      </c>
      <c r="F364" s="53"/>
      <c r="G364" s="12">
        <f t="shared" si="11"/>
        <v>11246</v>
      </c>
      <c r="H364" s="12">
        <f t="shared" si="12"/>
        <v>5539</v>
      </c>
      <c r="I364" s="13">
        <v>16785</v>
      </c>
      <c r="J364" s="7"/>
    </row>
    <row r="365" spans="1:10" ht="17" hidden="1" x14ac:dyDescent="0.2">
      <c r="A365" s="20">
        <v>7800</v>
      </c>
      <c r="B365" s="20">
        <v>450</v>
      </c>
      <c r="C365" s="20" t="s">
        <v>16</v>
      </c>
      <c r="D365" s="21">
        <v>9</v>
      </c>
      <c r="E365" s="35" t="s">
        <v>432</v>
      </c>
      <c r="F365" s="45"/>
      <c r="G365" s="12">
        <f t="shared" si="11"/>
        <v>67000</v>
      </c>
      <c r="H365" s="12">
        <f t="shared" si="12"/>
        <v>33000</v>
      </c>
      <c r="I365" s="31">
        <v>100000</v>
      </c>
      <c r="J365" s="7"/>
    </row>
    <row r="366" spans="1:10" ht="17" hidden="1" x14ac:dyDescent="0.2">
      <c r="A366" s="20">
        <v>7800</v>
      </c>
      <c r="B366" s="20">
        <v>460</v>
      </c>
      <c r="C366" s="20" t="s">
        <v>16</v>
      </c>
      <c r="D366" s="21">
        <v>9</v>
      </c>
      <c r="E366" s="22" t="s">
        <v>433</v>
      </c>
      <c r="F366" s="2"/>
      <c r="G366" s="12">
        <f t="shared" si="11"/>
        <v>67000</v>
      </c>
      <c r="H366" s="12">
        <f t="shared" si="12"/>
        <v>33000</v>
      </c>
      <c r="I366" s="23">
        <v>100000</v>
      </c>
      <c r="J366" s="7"/>
    </row>
    <row r="367" spans="1:10" ht="34" hidden="1" x14ac:dyDescent="0.2">
      <c r="A367" s="8">
        <v>7800</v>
      </c>
      <c r="B367" s="8">
        <v>510</v>
      </c>
      <c r="C367" s="8" t="s">
        <v>13</v>
      </c>
      <c r="D367" s="9">
        <v>2</v>
      </c>
      <c r="E367" s="10" t="s">
        <v>87</v>
      </c>
      <c r="F367" s="53"/>
      <c r="G367" s="12">
        <f t="shared" si="11"/>
        <v>134000</v>
      </c>
      <c r="H367" s="12">
        <f t="shared" si="12"/>
        <v>66000</v>
      </c>
      <c r="I367" s="13">
        <v>200000</v>
      </c>
      <c r="J367" s="7"/>
    </row>
    <row r="368" spans="1:10" ht="34" hidden="1" x14ac:dyDescent="0.2">
      <c r="A368" s="8">
        <v>7800</v>
      </c>
      <c r="B368" s="69">
        <v>651</v>
      </c>
      <c r="C368" s="8" t="s">
        <v>72</v>
      </c>
      <c r="D368" s="9">
        <v>2</v>
      </c>
      <c r="E368" s="10" t="s">
        <v>88</v>
      </c>
      <c r="F368" s="53"/>
      <c r="G368" s="12">
        <f t="shared" si="11"/>
        <v>976191</v>
      </c>
      <c r="H368" s="12">
        <f t="shared" si="12"/>
        <v>480810</v>
      </c>
      <c r="I368" s="13">
        <v>1457001</v>
      </c>
      <c r="J368" s="7"/>
    </row>
    <row r="369" spans="1:12" ht="17" hidden="1" x14ac:dyDescent="0.2">
      <c r="A369" s="8" t="s">
        <v>235</v>
      </c>
      <c r="B369" s="8">
        <v>110</v>
      </c>
      <c r="C369" s="8" t="s">
        <v>49</v>
      </c>
      <c r="D369" s="9">
        <v>14</v>
      </c>
      <c r="E369" s="10" t="s">
        <v>236</v>
      </c>
      <c r="F369" s="10"/>
      <c r="G369" s="12">
        <f t="shared" si="11"/>
        <v>7619</v>
      </c>
      <c r="H369" s="12">
        <f t="shared" si="12"/>
        <v>3753</v>
      </c>
      <c r="I369" s="13">
        <f>5686*2</f>
        <v>11372</v>
      </c>
      <c r="J369" s="7"/>
    </row>
    <row r="370" spans="1:12" ht="34" hidden="1" x14ac:dyDescent="0.2">
      <c r="A370" s="20">
        <v>7900</v>
      </c>
      <c r="B370" s="69">
        <v>160</v>
      </c>
      <c r="C370" s="20" t="s">
        <v>47</v>
      </c>
      <c r="D370" s="21">
        <v>5</v>
      </c>
      <c r="E370" s="24" t="s">
        <v>434</v>
      </c>
      <c r="F370" s="2"/>
      <c r="G370" s="12">
        <f t="shared" si="11"/>
        <v>3618</v>
      </c>
      <c r="H370" s="12">
        <f t="shared" si="12"/>
        <v>1782</v>
      </c>
      <c r="I370" s="23">
        <v>5400</v>
      </c>
      <c r="J370" s="7"/>
    </row>
    <row r="371" spans="1:12" ht="17" hidden="1" x14ac:dyDescent="0.2">
      <c r="A371" s="8" t="s">
        <v>235</v>
      </c>
      <c r="B371" s="8">
        <v>160</v>
      </c>
      <c r="C371" s="8" t="s">
        <v>49</v>
      </c>
      <c r="D371" s="9">
        <v>14</v>
      </c>
      <c r="E371" s="10" t="s">
        <v>237</v>
      </c>
      <c r="F371" s="10"/>
      <c r="G371" s="12">
        <f t="shared" si="11"/>
        <v>1119997</v>
      </c>
      <c r="H371" s="12">
        <f t="shared" si="12"/>
        <v>551641</v>
      </c>
      <c r="I371" s="13">
        <f>835819*2</f>
        <v>1671638</v>
      </c>
      <c r="J371" s="7"/>
    </row>
    <row r="372" spans="1:12" ht="17" hidden="1" x14ac:dyDescent="0.2">
      <c r="A372" s="20">
        <v>7900</v>
      </c>
      <c r="B372" s="69">
        <v>210</v>
      </c>
      <c r="C372" s="20" t="s">
        <v>47</v>
      </c>
      <c r="D372" s="21">
        <v>5</v>
      </c>
      <c r="E372" s="22" t="s">
        <v>435</v>
      </c>
      <c r="F372" s="2"/>
      <c r="G372" s="12">
        <f t="shared" si="11"/>
        <v>413</v>
      </c>
      <c r="H372" s="12">
        <f t="shared" si="12"/>
        <v>204</v>
      </c>
      <c r="I372" s="23">
        <v>617</v>
      </c>
    </row>
    <row r="373" spans="1:12" ht="17" hidden="1" x14ac:dyDescent="0.2">
      <c r="A373" s="20">
        <v>7900</v>
      </c>
      <c r="B373" s="69">
        <v>220</v>
      </c>
      <c r="C373" s="20" t="s">
        <v>47</v>
      </c>
      <c r="D373" s="21">
        <v>5</v>
      </c>
      <c r="E373" s="27" t="s">
        <v>436</v>
      </c>
      <c r="F373" s="2"/>
      <c r="G373" s="12">
        <f t="shared" si="11"/>
        <v>224</v>
      </c>
      <c r="H373" s="12">
        <f t="shared" si="12"/>
        <v>111</v>
      </c>
      <c r="I373" s="23">
        <v>335</v>
      </c>
    </row>
    <row r="374" spans="1:12" ht="34" hidden="1" x14ac:dyDescent="0.2">
      <c r="A374" s="20">
        <v>7900</v>
      </c>
      <c r="B374" s="69">
        <v>220</v>
      </c>
      <c r="C374" s="20" t="s">
        <v>47</v>
      </c>
      <c r="D374" s="21">
        <v>5</v>
      </c>
      <c r="E374" s="22" t="s">
        <v>438</v>
      </c>
      <c r="F374" s="2"/>
      <c r="G374" s="12">
        <v>53</v>
      </c>
      <c r="H374" s="12">
        <v>26</v>
      </c>
      <c r="I374" s="23">
        <v>79</v>
      </c>
    </row>
    <row r="375" spans="1:12" ht="34" hidden="1" x14ac:dyDescent="0.2">
      <c r="A375" s="8" t="s">
        <v>235</v>
      </c>
      <c r="B375" s="8">
        <v>220</v>
      </c>
      <c r="C375" s="8" t="s">
        <v>49</v>
      </c>
      <c r="D375" s="9">
        <v>14</v>
      </c>
      <c r="E375" s="10" t="s">
        <v>238</v>
      </c>
      <c r="F375" s="10"/>
      <c r="G375" s="12">
        <f>ROUND(I375*0.67,0)</f>
        <v>86263</v>
      </c>
      <c r="H375" s="12">
        <f>ROUND(I375*0.33,0)</f>
        <v>42488</v>
      </c>
      <c r="I375" s="13">
        <f>64375*2</f>
        <v>128750</v>
      </c>
    </row>
    <row r="376" spans="1:12" ht="17" hidden="1" x14ac:dyDescent="0.2">
      <c r="A376" s="20">
        <v>7900</v>
      </c>
      <c r="B376" s="69">
        <v>240</v>
      </c>
      <c r="C376" s="20" t="s">
        <v>47</v>
      </c>
      <c r="D376" s="21">
        <v>5</v>
      </c>
      <c r="E376" s="22" t="s">
        <v>437</v>
      </c>
      <c r="F376" s="2"/>
      <c r="G376" s="12">
        <v>41</v>
      </c>
      <c r="H376" s="12">
        <v>21</v>
      </c>
      <c r="I376" s="23">
        <v>62</v>
      </c>
    </row>
    <row r="377" spans="1:12" ht="17" hidden="1" x14ac:dyDescent="0.2">
      <c r="A377" s="8" t="s">
        <v>235</v>
      </c>
      <c r="B377" s="8">
        <v>240</v>
      </c>
      <c r="C377" s="8" t="s">
        <v>49</v>
      </c>
      <c r="D377" s="9">
        <v>14</v>
      </c>
      <c r="E377" s="10" t="s">
        <v>239</v>
      </c>
      <c r="F377" s="52"/>
      <c r="G377" s="12">
        <f t="shared" ref="G377:G406" si="13">ROUND(I377*0.67,0)</f>
        <v>12741</v>
      </c>
      <c r="H377" s="12">
        <f t="shared" ref="H377:H406" si="14">ROUND(I377*0.33,0)</f>
        <v>6275</v>
      </c>
      <c r="I377" s="13">
        <f>9508*2</f>
        <v>19016</v>
      </c>
      <c r="L377" s="6"/>
    </row>
    <row r="378" spans="1:12" ht="68" hidden="1" x14ac:dyDescent="0.2">
      <c r="A378" s="8">
        <v>7900</v>
      </c>
      <c r="B378" s="8">
        <v>394</v>
      </c>
      <c r="C378" s="8" t="s">
        <v>72</v>
      </c>
      <c r="D378" s="9" t="s">
        <v>64</v>
      </c>
      <c r="E378" s="38" t="s">
        <v>442</v>
      </c>
      <c r="F378" s="11"/>
      <c r="G378" s="12">
        <f t="shared" si="13"/>
        <v>13065</v>
      </c>
      <c r="H378" s="12">
        <f t="shared" si="14"/>
        <v>6435</v>
      </c>
      <c r="I378" s="13">
        <v>19500</v>
      </c>
      <c r="L378" s="6"/>
    </row>
    <row r="379" spans="1:12" ht="51" hidden="1" x14ac:dyDescent="0.2">
      <c r="A379" s="20">
        <v>7900</v>
      </c>
      <c r="B379" s="20">
        <v>394</v>
      </c>
      <c r="C379" s="20" t="s">
        <v>89</v>
      </c>
      <c r="D379" s="21" t="s">
        <v>90</v>
      </c>
      <c r="E379" s="22" t="s">
        <v>439</v>
      </c>
      <c r="F379" s="5"/>
      <c r="G379" s="12">
        <f t="shared" si="13"/>
        <v>71516</v>
      </c>
      <c r="H379" s="12">
        <f t="shared" si="14"/>
        <v>35224</v>
      </c>
      <c r="I379" s="13">
        <v>106740</v>
      </c>
    </row>
    <row r="380" spans="1:12" ht="119" hidden="1" x14ac:dyDescent="0.2">
      <c r="A380" s="20">
        <v>7900</v>
      </c>
      <c r="B380" s="20">
        <v>510</v>
      </c>
      <c r="C380" s="20" t="s">
        <v>13</v>
      </c>
      <c r="D380" s="21">
        <v>3</v>
      </c>
      <c r="E380" s="22" t="s">
        <v>440</v>
      </c>
      <c r="F380" s="5"/>
      <c r="G380" s="12">
        <f t="shared" si="13"/>
        <v>694131</v>
      </c>
      <c r="H380" s="12">
        <f t="shared" si="14"/>
        <v>341885</v>
      </c>
      <c r="I380" s="13">
        <v>1036016</v>
      </c>
    </row>
    <row r="381" spans="1:12" ht="34" hidden="1" x14ac:dyDescent="0.2">
      <c r="A381" s="8">
        <v>7900</v>
      </c>
      <c r="B381" s="8">
        <v>590</v>
      </c>
      <c r="C381" s="8" t="s">
        <v>13</v>
      </c>
      <c r="D381" s="9">
        <v>4</v>
      </c>
      <c r="E381" s="10" t="s">
        <v>91</v>
      </c>
      <c r="F381" s="11"/>
      <c r="G381" s="12">
        <f t="shared" si="13"/>
        <v>285581</v>
      </c>
      <c r="H381" s="12">
        <f t="shared" si="14"/>
        <v>140659</v>
      </c>
      <c r="I381" s="13">
        <v>426240</v>
      </c>
    </row>
    <row r="382" spans="1:12" ht="85" hidden="1" x14ac:dyDescent="0.2">
      <c r="A382" s="8">
        <v>7900</v>
      </c>
      <c r="B382" s="8">
        <v>641</v>
      </c>
      <c r="C382" s="8" t="s">
        <v>13</v>
      </c>
      <c r="D382" s="9">
        <v>7</v>
      </c>
      <c r="E382" s="10" t="s">
        <v>441</v>
      </c>
      <c r="F382" s="11"/>
      <c r="G382" s="12">
        <f t="shared" si="13"/>
        <v>210448</v>
      </c>
      <c r="H382" s="12">
        <f t="shared" si="14"/>
        <v>103653</v>
      </c>
      <c r="I382" s="13">
        <v>314101</v>
      </c>
    </row>
    <row r="383" spans="1:12" ht="51" hidden="1" x14ac:dyDescent="0.2">
      <c r="A383" s="20">
        <v>7900</v>
      </c>
      <c r="B383" s="20">
        <v>642</v>
      </c>
      <c r="C383" s="20" t="s">
        <v>13</v>
      </c>
      <c r="D383" s="21">
        <v>6</v>
      </c>
      <c r="E383" s="22" t="s">
        <v>92</v>
      </c>
      <c r="F383" s="5"/>
      <c r="G383" s="12">
        <f t="shared" si="13"/>
        <v>92460</v>
      </c>
      <c r="H383" s="12">
        <f t="shared" si="14"/>
        <v>45540</v>
      </c>
      <c r="I383" s="13">
        <v>138000</v>
      </c>
    </row>
    <row r="384" spans="1:12" ht="17" hidden="1" x14ac:dyDescent="0.2">
      <c r="A384" s="8" t="s">
        <v>240</v>
      </c>
      <c r="B384" s="8">
        <v>110</v>
      </c>
      <c r="C384" s="8" t="s">
        <v>49</v>
      </c>
      <c r="D384" s="9">
        <v>14</v>
      </c>
      <c r="E384" s="10" t="s">
        <v>241</v>
      </c>
      <c r="F384" s="52"/>
      <c r="G384" s="12">
        <f t="shared" si="13"/>
        <v>1905</v>
      </c>
      <c r="H384" s="12">
        <f t="shared" si="14"/>
        <v>939</v>
      </c>
      <c r="I384" s="13">
        <f>1422*2</f>
        <v>2844</v>
      </c>
    </row>
    <row r="385" spans="1:55" ht="17" hidden="1" x14ac:dyDescent="0.2">
      <c r="A385" s="8" t="s">
        <v>240</v>
      </c>
      <c r="B385" s="8">
        <v>160</v>
      </c>
      <c r="C385" s="8" t="s">
        <v>49</v>
      </c>
      <c r="D385" s="9">
        <v>14</v>
      </c>
      <c r="E385" s="10" t="s">
        <v>242</v>
      </c>
      <c r="F385" s="52"/>
      <c r="G385" s="12">
        <f t="shared" si="13"/>
        <v>222857</v>
      </c>
      <c r="H385" s="12">
        <f t="shared" si="14"/>
        <v>109765</v>
      </c>
      <c r="I385" s="13">
        <f>166311*2</f>
        <v>332622</v>
      </c>
    </row>
    <row r="386" spans="1:55" ht="34" hidden="1" x14ac:dyDescent="0.2">
      <c r="A386" s="8" t="s">
        <v>240</v>
      </c>
      <c r="B386" s="8">
        <v>220</v>
      </c>
      <c r="C386" s="8" t="s">
        <v>49</v>
      </c>
      <c r="D386" s="9">
        <v>14</v>
      </c>
      <c r="E386" s="10" t="s">
        <v>243</v>
      </c>
      <c r="F386" s="52"/>
      <c r="G386" s="12">
        <f t="shared" si="13"/>
        <v>17195</v>
      </c>
      <c r="H386" s="12">
        <f t="shared" si="14"/>
        <v>8469</v>
      </c>
      <c r="I386" s="13">
        <f>12832*2</f>
        <v>25664</v>
      </c>
    </row>
    <row r="387" spans="1:55" ht="17" hidden="1" x14ac:dyDescent="0.2">
      <c r="A387" s="8" t="s">
        <v>240</v>
      </c>
      <c r="B387" s="8">
        <v>240</v>
      </c>
      <c r="C387" s="8" t="s">
        <v>49</v>
      </c>
      <c r="D387" s="9">
        <v>14</v>
      </c>
      <c r="E387" s="10" t="s">
        <v>244</v>
      </c>
      <c r="F387" s="52"/>
      <c r="G387" s="12">
        <f t="shared" si="13"/>
        <v>2541</v>
      </c>
      <c r="H387" s="12">
        <f t="shared" si="14"/>
        <v>1251</v>
      </c>
      <c r="I387" s="13">
        <f>1896*2</f>
        <v>3792</v>
      </c>
    </row>
    <row r="388" spans="1:55" ht="17" hidden="1" x14ac:dyDescent="0.2">
      <c r="A388" s="8" t="s">
        <v>245</v>
      </c>
      <c r="B388" s="8">
        <v>110</v>
      </c>
      <c r="C388" s="8" t="s">
        <v>49</v>
      </c>
      <c r="D388" s="9">
        <v>14</v>
      </c>
      <c r="E388" s="10" t="s">
        <v>246</v>
      </c>
      <c r="F388" s="52"/>
      <c r="G388" s="12">
        <f t="shared" si="13"/>
        <v>3810</v>
      </c>
      <c r="H388" s="12">
        <f t="shared" si="14"/>
        <v>1876</v>
      </c>
      <c r="I388" s="13">
        <f>2843*2</f>
        <v>5686</v>
      </c>
    </row>
    <row r="389" spans="1:55" ht="17" hidden="1" x14ac:dyDescent="0.2">
      <c r="A389" s="8" t="s">
        <v>245</v>
      </c>
      <c r="B389" s="8">
        <v>130</v>
      </c>
      <c r="C389" s="8" t="s">
        <v>49</v>
      </c>
      <c r="D389" s="9">
        <v>14</v>
      </c>
      <c r="E389" s="10" t="s">
        <v>247</v>
      </c>
      <c r="F389" s="52"/>
      <c r="G389" s="12">
        <f t="shared" si="13"/>
        <v>1905</v>
      </c>
      <c r="H389" s="12">
        <f t="shared" si="14"/>
        <v>939</v>
      </c>
      <c r="I389" s="13">
        <f>1422*2</f>
        <v>2844</v>
      </c>
    </row>
    <row r="390" spans="1:55" ht="34" hidden="1" x14ac:dyDescent="0.2">
      <c r="A390" s="8" t="s">
        <v>245</v>
      </c>
      <c r="B390" s="8">
        <v>160</v>
      </c>
      <c r="C390" s="8" t="s">
        <v>49</v>
      </c>
      <c r="D390" s="9">
        <v>14</v>
      </c>
      <c r="E390" s="10" t="s">
        <v>248</v>
      </c>
      <c r="F390" s="52"/>
      <c r="G390" s="12">
        <f t="shared" si="13"/>
        <v>40000</v>
      </c>
      <c r="H390" s="12">
        <f t="shared" si="14"/>
        <v>19702</v>
      </c>
      <c r="I390" s="13">
        <f>29851*2</f>
        <v>59702</v>
      </c>
    </row>
    <row r="391" spans="1:55" ht="34" hidden="1" x14ac:dyDescent="0.2">
      <c r="A391" s="8" t="s">
        <v>245</v>
      </c>
      <c r="B391" s="8">
        <v>220</v>
      </c>
      <c r="C391" s="8" t="s">
        <v>49</v>
      </c>
      <c r="D391" s="9">
        <v>14</v>
      </c>
      <c r="E391" s="10" t="s">
        <v>249</v>
      </c>
      <c r="F391" s="52"/>
      <c r="G391" s="12">
        <f t="shared" si="13"/>
        <v>3497</v>
      </c>
      <c r="H391" s="12">
        <f t="shared" si="14"/>
        <v>1723</v>
      </c>
      <c r="I391" s="13">
        <f>2610*2</f>
        <v>5220</v>
      </c>
    </row>
    <row r="392" spans="1:55" ht="17" hidden="1" x14ac:dyDescent="0.2">
      <c r="A392" s="8" t="s">
        <v>245</v>
      </c>
      <c r="B392" s="8">
        <v>240</v>
      </c>
      <c r="C392" s="8" t="s">
        <v>49</v>
      </c>
      <c r="D392" s="9">
        <v>14</v>
      </c>
      <c r="E392" s="10" t="s">
        <v>250</v>
      </c>
      <c r="F392" s="52"/>
      <c r="G392" s="12">
        <f t="shared" si="13"/>
        <v>517</v>
      </c>
      <c r="H392" s="12">
        <f t="shared" si="14"/>
        <v>255</v>
      </c>
      <c r="I392" s="13">
        <f>386*2</f>
        <v>772</v>
      </c>
    </row>
    <row r="393" spans="1:55" ht="102" hidden="1" x14ac:dyDescent="0.2">
      <c r="A393" s="8">
        <v>9100</v>
      </c>
      <c r="B393" s="8">
        <v>110</v>
      </c>
      <c r="C393" s="8" t="s">
        <v>49</v>
      </c>
      <c r="D393" s="9">
        <v>13</v>
      </c>
      <c r="E393" s="10" t="s">
        <v>443</v>
      </c>
      <c r="F393" s="11">
        <v>1</v>
      </c>
      <c r="G393" s="12">
        <f t="shared" si="13"/>
        <v>139930</v>
      </c>
      <c r="H393" s="12">
        <f t="shared" si="14"/>
        <v>68921</v>
      </c>
      <c r="I393" s="13">
        <v>208851</v>
      </c>
    </row>
    <row r="394" spans="1:55" s="6" customFormat="1" ht="17" hidden="1" x14ac:dyDescent="0.2">
      <c r="A394" s="8" t="s">
        <v>251</v>
      </c>
      <c r="B394" s="8">
        <v>110</v>
      </c>
      <c r="C394" s="8" t="s">
        <v>49</v>
      </c>
      <c r="D394" s="9">
        <v>14</v>
      </c>
      <c r="E394" s="10" t="s">
        <v>252</v>
      </c>
      <c r="F394" s="52"/>
      <c r="G394" s="12">
        <f t="shared" si="13"/>
        <v>1905</v>
      </c>
      <c r="H394" s="12">
        <f t="shared" si="14"/>
        <v>939</v>
      </c>
      <c r="I394" s="13">
        <f>1422*2</f>
        <v>2844</v>
      </c>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row>
    <row r="395" spans="1:55" s="6" customFormat="1" ht="17" hidden="1" x14ac:dyDescent="0.2">
      <c r="A395" s="8" t="s">
        <v>251</v>
      </c>
      <c r="B395" s="8">
        <v>130</v>
      </c>
      <c r="C395" s="8" t="s">
        <v>49</v>
      </c>
      <c r="D395" s="9">
        <v>14</v>
      </c>
      <c r="E395" s="10" t="s">
        <v>253</v>
      </c>
      <c r="F395" s="52"/>
      <c r="G395" s="12">
        <f t="shared" si="13"/>
        <v>1905</v>
      </c>
      <c r="H395" s="12">
        <f t="shared" si="14"/>
        <v>939</v>
      </c>
      <c r="I395" s="13">
        <f>1422*2</f>
        <v>2844</v>
      </c>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row>
    <row r="396" spans="1:55" s="6" customFormat="1" ht="17" hidden="1" x14ac:dyDescent="0.2">
      <c r="A396" s="8" t="s">
        <v>251</v>
      </c>
      <c r="B396" s="8">
        <v>160</v>
      </c>
      <c r="C396" s="8" t="s">
        <v>49</v>
      </c>
      <c r="D396" s="9">
        <v>14</v>
      </c>
      <c r="E396" s="10" t="s">
        <v>254</v>
      </c>
      <c r="F396" s="52"/>
      <c r="G396" s="12">
        <f t="shared" si="13"/>
        <v>63335</v>
      </c>
      <c r="H396" s="12">
        <f t="shared" si="14"/>
        <v>31195</v>
      </c>
      <c r="I396" s="13">
        <f>47265*2</f>
        <v>94530</v>
      </c>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row>
    <row r="397" spans="1:55" s="6" customFormat="1" ht="34" hidden="1" x14ac:dyDescent="0.2">
      <c r="A397" s="8">
        <v>9100</v>
      </c>
      <c r="B397" s="8">
        <v>210</v>
      </c>
      <c r="C397" s="8" t="s">
        <v>49</v>
      </c>
      <c r="D397" s="9">
        <v>13</v>
      </c>
      <c r="E397" s="10" t="s">
        <v>444</v>
      </c>
      <c r="F397" s="11"/>
      <c r="G397" s="12">
        <f t="shared" si="13"/>
        <v>14847</v>
      </c>
      <c r="H397" s="12">
        <f t="shared" si="14"/>
        <v>7313</v>
      </c>
      <c r="I397" s="13">
        <v>22160</v>
      </c>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row>
    <row r="398" spans="1:55" s="6" customFormat="1" ht="17" hidden="1" x14ac:dyDescent="0.2">
      <c r="A398" s="8">
        <v>9100</v>
      </c>
      <c r="B398" s="8">
        <v>220</v>
      </c>
      <c r="C398" s="8" t="s">
        <v>49</v>
      </c>
      <c r="D398" s="9">
        <v>13</v>
      </c>
      <c r="E398" s="10" t="s">
        <v>445</v>
      </c>
      <c r="F398" s="11"/>
      <c r="G398" s="12">
        <f t="shared" si="13"/>
        <v>8676</v>
      </c>
      <c r="H398" s="12">
        <f t="shared" si="14"/>
        <v>4273</v>
      </c>
      <c r="I398" s="13">
        <v>12949</v>
      </c>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row>
    <row r="399" spans="1:55" s="6" customFormat="1" ht="34" hidden="1" x14ac:dyDescent="0.2">
      <c r="A399" s="8">
        <v>9100</v>
      </c>
      <c r="B399" s="8">
        <v>220</v>
      </c>
      <c r="C399" s="8" t="s">
        <v>49</v>
      </c>
      <c r="D399" s="9">
        <v>13</v>
      </c>
      <c r="E399" s="10" t="s">
        <v>446</v>
      </c>
      <c r="F399" s="11"/>
      <c r="G399" s="12">
        <f t="shared" si="13"/>
        <v>2029</v>
      </c>
      <c r="H399" s="12">
        <f t="shared" si="14"/>
        <v>1000</v>
      </c>
      <c r="I399" s="13">
        <v>3029</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row>
    <row r="400" spans="1:55" s="6" customFormat="1" ht="34" hidden="1" x14ac:dyDescent="0.2">
      <c r="A400" s="8" t="s">
        <v>251</v>
      </c>
      <c r="B400" s="8">
        <v>220</v>
      </c>
      <c r="C400" s="8" t="s">
        <v>49</v>
      </c>
      <c r="D400" s="9">
        <v>14</v>
      </c>
      <c r="E400" s="10" t="s">
        <v>255</v>
      </c>
      <c r="F400" s="52"/>
      <c r="G400" s="12">
        <f t="shared" si="13"/>
        <v>5151</v>
      </c>
      <c r="H400" s="12">
        <f t="shared" si="14"/>
        <v>2537</v>
      </c>
      <c r="I400" s="13">
        <f>3844*2</f>
        <v>7688</v>
      </c>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row>
    <row r="401" spans="1:55" s="6" customFormat="1" ht="34" hidden="1" x14ac:dyDescent="0.2">
      <c r="A401" s="8">
        <v>9100</v>
      </c>
      <c r="B401" s="8">
        <v>231</v>
      </c>
      <c r="C401" s="8" t="s">
        <v>49</v>
      </c>
      <c r="D401" s="9">
        <v>13</v>
      </c>
      <c r="E401" s="10" t="s">
        <v>447</v>
      </c>
      <c r="F401" s="11"/>
      <c r="G401" s="12">
        <f t="shared" si="13"/>
        <v>33052</v>
      </c>
      <c r="H401" s="12">
        <f t="shared" si="14"/>
        <v>16279</v>
      </c>
      <c r="I401" s="13">
        <v>49331</v>
      </c>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row>
    <row r="402" spans="1:55" s="6" customFormat="1" ht="34" hidden="1" x14ac:dyDescent="0.2">
      <c r="A402" s="8">
        <v>9100</v>
      </c>
      <c r="B402" s="8">
        <v>232</v>
      </c>
      <c r="C402" s="8" t="s">
        <v>49</v>
      </c>
      <c r="D402" s="9">
        <v>13</v>
      </c>
      <c r="E402" s="10" t="s">
        <v>448</v>
      </c>
      <c r="F402" s="11"/>
      <c r="G402" s="12">
        <f t="shared" si="13"/>
        <v>364</v>
      </c>
      <c r="H402" s="12">
        <f t="shared" si="14"/>
        <v>180</v>
      </c>
      <c r="I402" s="13">
        <v>544</v>
      </c>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row>
    <row r="403" spans="1:55" s="6" customFormat="1" ht="17" hidden="1" x14ac:dyDescent="0.2">
      <c r="A403" s="8" t="s">
        <v>251</v>
      </c>
      <c r="B403" s="8">
        <v>240</v>
      </c>
      <c r="C403" s="8" t="s">
        <v>49</v>
      </c>
      <c r="D403" s="9">
        <v>14</v>
      </c>
      <c r="E403" s="10" t="s">
        <v>256</v>
      </c>
      <c r="F403" s="52"/>
      <c r="G403" s="12">
        <f t="shared" si="13"/>
        <v>760</v>
      </c>
      <c r="H403" s="12">
        <f t="shared" si="14"/>
        <v>374</v>
      </c>
      <c r="I403" s="13">
        <f>567*2</f>
        <v>1134</v>
      </c>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row>
    <row r="404" spans="1:55" s="6" customFormat="1" ht="34" hidden="1" x14ac:dyDescent="0.2">
      <c r="A404" s="8">
        <v>9100</v>
      </c>
      <c r="B404" s="8">
        <v>310</v>
      </c>
      <c r="C404" s="8" t="s">
        <v>49</v>
      </c>
      <c r="D404" s="9">
        <v>13</v>
      </c>
      <c r="E404" s="10" t="s">
        <v>94</v>
      </c>
      <c r="F404" s="11"/>
      <c r="G404" s="12">
        <f t="shared" si="13"/>
        <v>16750</v>
      </c>
      <c r="H404" s="12">
        <f t="shared" si="14"/>
        <v>8250</v>
      </c>
      <c r="I404" s="13">
        <v>25000</v>
      </c>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row>
    <row r="405" spans="1:55" s="6" customFormat="1" ht="17" hidden="1" x14ac:dyDescent="0.2">
      <c r="A405" s="8">
        <v>9100</v>
      </c>
      <c r="B405" s="8">
        <v>369</v>
      </c>
      <c r="C405" s="8" t="s">
        <v>49</v>
      </c>
      <c r="D405" s="9">
        <v>13</v>
      </c>
      <c r="E405" s="10" t="s">
        <v>450</v>
      </c>
      <c r="F405" s="11"/>
      <c r="G405" s="12">
        <f t="shared" si="13"/>
        <v>3350</v>
      </c>
      <c r="H405" s="12">
        <f t="shared" si="14"/>
        <v>1650</v>
      </c>
      <c r="I405" s="13">
        <v>5000</v>
      </c>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row>
    <row r="406" spans="1:55" s="6" customFormat="1" ht="68" hidden="1" x14ac:dyDescent="0.2">
      <c r="A406" s="20">
        <v>5900</v>
      </c>
      <c r="B406" s="20">
        <v>394</v>
      </c>
      <c r="C406" s="20" t="s">
        <v>488</v>
      </c>
      <c r="D406" s="21" t="s">
        <v>93</v>
      </c>
      <c r="E406" s="22" t="s">
        <v>449</v>
      </c>
      <c r="F406" s="5"/>
      <c r="G406" s="12">
        <f t="shared" si="13"/>
        <v>25416</v>
      </c>
      <c r="H406" s="12">
        <f t="shared" si="14"/>
        <v>12518</v>
      </c>
      <c r="I406" s="13">
        <v>37934</v>
      </c>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row>
    <row r="407" spans="1:55" s="6" customFormat="1" hidden="1" x14ac:dyDescent="0.2">
      <c r="A407" s="58"/>
      <c r="B407" s="70"/>
      <c r="C407" s="59"/>
      <c r="D407" s="59"/>
      <c r="E407" s="60"/>
      <c r="F407" s="61" t="s">
        <v>260</v>
      </c>
      <c r="G407" s="62">
        <f>SUM(G2:G406)</f>
        <v>85173831</v>
      </c>
      <c r="H407" s="62">
        <f>SUM(H2:H406)</f>
        <v>41951305</v>
      </c>
      <c r="I407" s="63">
        <f>SUM(G407:H407)</f>
        <v>127125136</v>
      </c>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row>
    <row r="408" spans="1:55" s="6" customFormat="1" x14ac:dyDescent="0.2">
      <c r="A408" s="7"/>
      <c r="B408" s="71"/>
      <c r="C408" s="7"/>
      <c r="D408" s="7"/>
      <c r="E408" s="64"/>
      <c r="F408" s="7"/>
      <c r="G408" s="7"/>
      <c r="H408" s="7"/>
      <c r="I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row>
    <row r="409" spans="1:55" s="6" customFormat="1" x14ac:dyDescent="0.2">
      <c r="A409" s="44" t="s">
        <v>261</v>
      </c>
      <c r="B409" s="72" t="s">
        <v>262</v>
      </c>
      <c r="C409" s="44"/>
      <c r="D409" s="44"/>
      <c r="E409" s="64"/>
      <c r="F409" s="44"/>
      <c r="G409" s="44"/>
      <c r="H409" s="44"/>
      <c r="I409" s="44"/>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row>
    <row r="410" spans="1:55" s="6" customFormat="1" x14ac:dyDescent="0.2">
      <c r="A410" s="44" t="s">
        <v>263</v>
      </c>
      <c r="B410" s="72"/>
      <c r="C410" s="44"/>
      <c r="D410" s="44"/>
      <c r="E410" s="65"/>
      <c r="F410" s="44"/>
      <c r="G410" s="44"/>
      <c r="H410" s="44"/>
      <c r="I410" s="44"/>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row>
    <row r="413" spans="1:55" s="6" customFormat="1" x14ac:dyDescent="0.2">
      <c r="A413" s="66"/>
      <c r="B413" s="73"/>
      <c r="C413" s="66"/>
      <c r="D413" s="66"/>
      <c r="E413" s="67"/>
      <c r="F413" s="44"/>
      <c r="G413" s="44"/>
      <c r="H413" s="44"/>
      <c r="I413" s="44"/>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row>
  </sheetData>
  <autoFilter ref="A1:BC407" xr:uid="{00000000-0009-0000-0000-000000000000}">
    <filterColumn colId="0">
      <filters>
        <filter val="5100"/>
      </filters>
    </filterColumn>
    <filterColumn colId="1">
      <filters>
        <filter val="120"/>
        <filter val="150"/>
      </filters>
    </filterColumn>
  </autoFilter>
  <sortState xmlns:xlrd2="http://schemas.microsoft.com/office/spreadsheetml/2017/richdata2" ref="A2:I413">
    <sortCondition ref="A2:A413"/>
    <sortCondition ref="B2:B413"/>
    <sortCondition ref="D2:D413"/>
  </sortState>
  <pageMargins left="0.23" right="0.23" top="0.32" bottom="0.25" header="0" footer="0"/>
  <pageSetup paperSize="5" fitToWidth="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415"/>
  <sheetViews>
    <sheetView zoomScaleNormal="100" workbookViewId="0">
      <pane ySplit="1" topLeftCell="A269" activePane="bottomLeft" state="frozen"/>
      <selection pane="bottomLeft" activeCell="E269" sqref="E269"/>
    </sheetView>
  </sheetViews>
  <sheetFormatPr baseColWidth="10" defaultColWidth="9.1640625" defaultRowHeight="16" x14ac:dyDescent="0.2"/>
  <cols>
    <col min="1" max="1" width="9.5" style="7" customWidth="1"/>
    <col min="2" max="2" width="7.1640625" style="71" bestFit="1" customWidth="1"/>
    <col min="3" max="3" width="11" style="7" customWidth="1"/>
    <col min="4" max="4" width="11.33203125" style="7" customWidth="1"/>
    <col min="5" max="5" width="63.33203125" style="64" customWidth="1"/>
    <col min="6" max="6" width="14.33203125" style="7" customWidth="1"/>
    <col min="7" max="7" width="17" style="7" bestFit="1" customWidth="1"/>
    <col min="8" max="8" width="16.83203125" style="7" bestFit="1" customWidth="1"/>
    <col min="9" max="9" width="20.5" style="7" customWidth="1"/>
    <col min="10" max="10" width="16.5" style="6" bestFit="1" customWidth="1"/>
    <col min="11" max="11" width="9.1640625" style="7"/>
    <col min="12" max="12" width="18.33203125" style="7" bestFit="1" customWidth="1"/>
    <col min="13" max="16384" width="9.1640625" style="7"/>
  </cols>
  <sheetData>
    <row r="1" spans="1:10" ht="51" x14ac:dyDescent="0.2">
      <c r="A1" s="2" t="s">
        <v>0</v>
      </c>
      <c r="B1" s="68" t="s">
        <v>1</v>
      </c>
      <c r="C1" s="3" t="s">
        <v>2</v>
      </c>
      <c r="D1" s="4" t="s">
        <v>3</v>
      </c>
      <c r="E1" s="3" t="s">
        <v>4</v>
      </c>
      <c r="F1" s="5" t="s">
        <v>5</v>
      </c>
      <c r="G1" s="3" t="s">
        <v>6</v>
      </c>
      <c r="H1" s="3" t="s">
        <v>7</v>
      </c>
      <c r="I1" s="2" t="s">
        <v>8</v>
      </c>
    </row>
    <row r="2" spans="1:10" s="15" customFormat="1" ht="51" x14ac:dyDescent="0.2">
      <c r="A2" s="81">
        <v>5100</v>
      </c>
      <c r="B2" s="81">
        <v>120</v>
      </c>
      <c r="C2" s="81" t="s">
        <v>31</v>
      </c>
      <c r="D2" s="82">
        <v>4</v>
      </c>
      <c r="E2" s="83" t="s">
        <v>455</v>
      </c>
      <c r="F2" s="84"/>
      <c r="G2" s="85">
        <f t="shared" ref="G2:G65" si="0">ROUND(I2*0.67,0)</f>
        <v>0</v>
      </c>
      <c r="H2" s="85">
        <f t="shared" ref="H2:H39" si="1">ROUND(I2*0.33,0)</f>
        <v>0</v>
      </c>
      <c r="I2" s="86"/>
      <c r="J2" s="14"/>
    </row>
    <row r="3" spans="1:10" ht="17" x14ac:dyDescent="0.2">
      <c r="A3" s="8" t="s">
        <v>96</v>
      </c>
      <c r="B3" s="8">
        <v>120</v>
      </c>
      <c r="C3" s="8" t="s">
        <v>49</v>
      </c>
      <c r="D3" s="9">
        <v>14</v>
      </c>
      <c r="E3" s="10" t="s">
        <v>97</v>
      </c>
      <c r="F3" s="52"/>
      <c r="G3" s="12">
        <f t="shared" si="0"/>
        <v>123809</v>
      </c>
      <c r="H3" s="12">
        <f t="shared" si="1"/>
        <v>60981</v>
      </c>
      <c r="I3" s="13">
        <f>92395*2</f>
        <v>184790</v>
      </c>
    </row>
    <row r="4" spans="1:10" s="15" customFormat="1" ht="51" x14ac:dyDescent="0.2">
      <c r="A4" s="99">
        <v>5100</v>
      </c>
      <c r="B4" s="99">
        <v>120</v>
      </c>
      <c r="C4" s="99" t="s">
        <v>49</v>
      </c>
      <c r="D4" s="100">
        <v>16</v>
      </c>
      <c r="E4" s="106" t="s">
        <v>495</v>
      </c>
      <c r="F4" s="102"/>
      <c r="G4" s="103">
        <f t="shared" si="0"/>
        <v>1048191</v>
      </c>
      <c r="H4" s="103">
        <f t="shared" si="1"/>
        <v>516273</v>
      </c>
      <c r="I4" s="104">
        <f>782232*2</f>
        <v>1564464</v>
      </c>
      <c r="J4" s="14"/>
    </row>
    <row r="5" spans="1:10" s="15" customFormat="1" ht="34" x14ac:dyDescent="0.2">
      <c r="A5" s="99">
        <v>5100</v>
      </c>
      <c r="B5" s="99">
        <v>150</v>
      </c>
      <c r="C5" s="99" t="s">
        <v>49</v>
      </c>
      <c r="D5" s="100">
        <v>15</v>
      </c>
      <c r="E5" s="101" t="s">
        <v>496</v>
      </c>
      <c r="F5" s="102"/>
      <c r="G5" s="103">
        <f t="shared" si="0"/>
        <v>799459</v>
      </c>
      <c r="H5" s="103">
        <f t="shared" si="1"/>
        <v>393764</v>
      </c>
      <c r="I5" s="104">
        <f>1193223</f>
        <v>1193223</v>
      </c>
      <c r="J5" s="14"/>
    </row>
    <row r="6" spans="1:10" s="15" customFormat="1" ht="17" x14ac:dyDescent="0.2">
      <c r="A6" s="8" t="s">
        <v>96</v>
      </c>
      <c r="B6" s="8">
        <v>150</v>
      </c>
      <c r="C6" s="8" t="s">
        <v>49</v>
      </c>
      <c r="D6" s="9">
        <v>14</v>
      </c>
      <c r="E6" s="10" t="s">
        <v>99</v>
      </c>
      <c r="F6" s="52"/>
      <c r="G6" s="12">
        <f t="shared" si="0"/>
        <v>835237</v>
      </c>
      <c r="H6" s="12">
        <f t="shared" si="1"/>
        <v>411385</v>
      </c>
      <c r="I6" s="13">
        <f>623311*2</f>
        <v>1246622</v>
      </c>
      <c r="J6" s="14"/>
    </row>
    <row r="7" spans="1:10" s="15" customFormat="1" ht="17" x14ac:dyDescent="0.2">
      <c r="A7" s="81">
        <v>5100</v>
      </c>
      <c r="B7" s="81">
        <v>210</v>
      </c>
      <c r="C7" s="81" t="s">
        <v>29</v>
      </c>
      <c r="D7" s="82">
        <v>4</v>
      </c>
      <c r="E7" s="87" t="s">
        <v>457</v>
      </c>
      <c r="F7" s="84"/>
      <c r="G7" s="85">
        <f t="shared" si="0"/>
        <v>0</v>
      </c>
      <c r="H7" s="85">
        <f t="shared" si="1"/>
        <v>0</v>
      </c>
      <c r="I7" s="86"/>
      <c r="J7" s="14"/>
    </row>
    <row r="8" spans="1:10" s="15" customFormat="1" ht="17" x14ac:dyDescent="0.2">
      <c r="A8" s="81">
        <v>5100</v>
      </c>
      <c r="B8" s="81">
        <v>220</v>
      </c>
      <c r="C8" s="81" t="s">
        <v>29</v>
      </c>
      <c r="D8" s="82">
        <v>4</v>
      </c>
      <c r="E8" s="87" t="s">
        <v>458</v>
      </c>
      <c r="F8" s="84"/>
      <c r="G8" s="85">
        <f t="shared" si="0"/>
        <v>0</v>
      </c>
      <c r="H8" s="85">
        <f t="shared" si="1"/>
        <v>0</v>
      </c>
      <c r="I8" s="86"/>
      <c r="J8" s="14"/>
    </row>
    <row r="9" spans="1:10" s="15" customFormat="1" ht="17" x14ac:dyDescent="0.2">
      <c r="A9" s="81">
        <v>5100</v>
      </c>
      <c r="B9" s="81">
        <v>220</v>
      </c>
      <c r="C9" s="81" t="s">
        <v>29</v>
      </c>
      <c r="D9" s="82">
        <v>4</v>
      </c>
      <c r="E9" s="87" t="s">
        <v>459</v>
      </c>
      <c r="F9" s="84"/>
      <c r="G9" s="85">
        <f t="shared" si="0"/>
        <v>0</v>
      </c>
      <c r="H9" s="85">
        <f t="shared" si="1"/>
        <v>0</v>
      </c>
      <c r="I9" s="86"/>
      <c r="J9" s="14"/>
    </row>
    <row r="10" spans="1:10" s="15" customFormat="1" ht="34" x14ac:dyDescent="0.2">
      <c r="A10" s="8" t="s">
        <v>96</v>
      </c>
      <c r="B10" s="8">
        <v>220</v>
      </c>
      <c r="C10" s="8" t="s">
        <v>49</v>
      </c>
      <c r="D10" s="9">
        <v>14</v>
      </c>
      <c r="E10" s="10" t="s">
        <v>451</v>
      </c>
      <c r="F10" s="52"/>
      <c r="G10" s="12">
        <f t="shared" si="0"/>
        <v>127068</v>
      </c>
      <c r="H10" s="12">
        <f t="shared" si="1"/>
        <v>62586</v>
      </c>
      <c r="I10" s="13">
        <f>56577*2+62000+14500</f>
        <v>189654</v>
      </c>
      <c r="J10" s="14"/>
    </row>
    <row r="11" spans="1:10" s="15" customFormat="1" ht="34" x14ac:dyDescent="0.2">
      <c r="A11" s="8">
        <v>5100</v>
      </c>
      <c r="B11" s="8">
        <v>231</v>
      </c>
      <c r="C11" s="8">
        <v>1</v>
      </c>
      <c r="D11" s="9">
        <v>1</v>
      </c>
      <c r="E11" s="10" t="s">
        <v>277</v>
      </c>
      <c r="F11" s="11"/>
      <c r="G11" s="12">
        <f t="shared" si="0"/>
        <v>335889</v>
      </c>
      <c r="H11" s="12">
        <f t="shared" si="1"/>
        <v>165438</v>
      </c>
      <c r="I11" s="13">
        <v>501327</v>
      </c>
      <c r="J11" s="14"/>
    </row>
    <row r="12" spans="1:10" s="15" customFormat="1" ht="34" x14ac:dyDescent="0.2">
      <c r="A12" s="8">
        <v>5100</v>
      </c>
      <c r="B12" s="8">
        <v>231</v>
      </c>
      <c r="C12" s="8">
        <v>1</v>
      </c>
      <c r="D12" s="9">
        <v>2</v>
      </c>
      <c r="E12" s="10" t="s">
        <v>278</v>
      </c>
      <c r="F12" s="11"/>
      <c r="G12" s="12">
        <f t="shared" si="0"/>
        <v>476489</v>
      </c>
      <c r="H12" s="12">
        <f t="shared" si="1"/>
        <v>234689</v>
      </c>
      <c r="I12" s="13">
        <v>711178</v>
      </c>
      <c r="J12" s="14"/>
    </row>
    <row r="13" spans="1:10" s="15" customFormat="1" ht="34" x14ac:dyDescent="0.2">
      <c r="A13" s="8">
        <v>5100</v>
      </c>
      <c r="B13" s="8">
        <v>231</v>
      </c>
      <c r="C13" s="8">
        <v>1</v>
      </c>
      <c r="D13" s="9">
        <v>3</v>
      </c>
      <c r="E13" s="10" t="s">
        <v>279</v>
      </c>
      <c r="F13" s="11"/>
      <c r="G13" s="12">
        <f t="shared" si="0"/>
        <v>41646</v>
      </c>
      <c r="H13" s="12">
        <f t="shared" si="1"/>
        <v>20512</v>
      </c>
      <c r="I13" s="13">
        <v>62158</v>
      </c>
      <c r="J13" s="14"/>
    </row>
    <row r="14" spans="1:10" s="15" customFormat="1" ht="17" x14ac:dyDescent="0.2">
      <c r="A14" s="81">
        <v>5100</v>
      </c>
      <c r="B14" s="81">
        <v>231</v>
      </c>
      <c r="C14" s="81" t="s">
        <v>29</v>
      </c>
      <c r="D14" s="82">
        <v>4</v>
      </c>
      <c r="E14" s="87" t="s">
        <v>460</v>
      </c>
      <c r="F14" s="84"/>
      <c r="G14" s="85">
        <f t="shared" si="0"/>
        <v>0</v>
      </c>
      <c r="H14" s="85">
        <f t="shared" si="1"/>
        <v>0</v>
      </c>
      <c r="I14" s="86"/>
      <c r="J14" s="14"/>
    </row>
    <row r="15" spans="1:10" s="15" customFormat="1" ht="34" x14ac:dyDescent="0.2">
      <c r="A15" s="8">
        <v>5100</v>
      </c>
      <c r="B15" s="8">
        <v>232</v>
      </c>
      <c r="C15" s="8">
        <v>1</v>
      </c>
      <c r="D15" s="9">
        <v>1</v>
      </c>
      <c r="E15" s="10" t="s">
        <v>280</v>
      </c>
      <c r="F15" s="11"/>
      <c r="G15" s="12">
        <f t="shared" si="0"/>
        <v>3698</v>
      </c>
      <c r="H15" s="12">
        <f t="shared" si="1"/>
        <v>1821</v>
      </c>
      <c r="I15" s="13">
        <v>5519</v>
      </c>
      <c r="J15" s="14"/>
    </row>
    <row r="16" spans="1:10" s="15" customFormat="1" ht="34" x14ac:dyDescent="0.2">
      <c r="A16" s="8">
        <v>5100</v>
      </c>
      <c r="B16" s="8">
        <v>232</v>
      </c>
      <c r="C16" s="8">
        <v>1</v>
      </c>
      <c r="D16" s="9">
        <v>2</v>
      </c>
      <c r="E16" s="10" t="s">
        <v>281</v>
      </c>
      <c r="F16" s="11"/>
      <c r="G16" s="12">
        <f t="shared" si="0"/>
        <v>5246</v>
      </c>
      <c r="H16" s="12">
        <f t="shared" si="1"/>
        <v>2584</v>
      </c>
      <c r="I16" s="13">
        <v>7830</v>
      </c>
      <c r="J16" s="14"/>
    </row>
    <row r="17" spans="1:10" s="15" customFormat="1" ht="34" x14ac:dyDescent="0.2">
      <c r="A17" s="8">
        <v>5100</v>
      </c>
      <c r="B17" s="8">
        <v>232</v>
      </c>
      <c r="C17" s="8">
        <v>1</v>
      </c>
      <c r="D17" s="9">
        <v>3</v>
      </c>
      <c r="E17" s="10" t="s">
        <v>282</v>
      </c>
      <c r="F17" s="11"/>
      <c r="G17" s="12">
        <f t="shared" si="0"/>
        <v>1475</v>
      </c>
      <c r="H17" s="12">
        <f t="shared" si="1"/>
        <v>726</v>
      </c>
      <c r="I17" s="13">
        <v>2201</v>
      </c>
      <c r="J17" s="14"/>
    </row>
    <row r="18" spans="1:10" s="15" customFormat="1" ht="17" x14ac:dyDescent="0.2">
      <c r="A18" s="81">
        <v>5100</v>
      </c>
      <c r="B18" s="81">
        <v>232</v>
      </c>
      <c r="C18" s="81" t="s">
        <v>29</v>
      </c>
      <c r="D18" s="82">
        <v>4</v>
      </c>
      <c r="E18" s="87" t="s">
        <v>493</v>
      </c>
      <c r="F18" s="84"/>
      <c r="G18" s="85">
        <f t="shared" si="0"/>
        <v>0</v>
      </c>
      <c r="H18" s="85">
        <f t="shared" si="1"/>
        <v>0</v>
      </c>
      <c r="I18" s="86"/>
      <c r="J18" s="14"/>
    </row>
    <row r="19" spans="1:10" s="15" customFormat="1" ht="34" x14ac:dyDescent="0.2">
      <c r="A19" s="8">
        <v>5100</v>
      </c>
      <c r="B19" s="8">
        <v>240</v>
      </c>
      <c r="C19" s="8">
        <v>1</v>
      </c>
      <c r="D19" s="9">
        <v>1</v>
      </c>
      <c r="E19" s="10" t="s">
        <v>283</v>
      </c>
      <c r="F19" s="11"/>
      <c r="G19" s="12">
        <f t="shared" si="0"/>
        <v>18629</v>
      </c>
      <c r="H19" s="12">
        <f t="shared" si="1"/>
        <v>9176</v>
      </c>
      <c r="I19" s="13">
        <v>27805</v>
      </c>
      <c r="J19" s="14"/>
    </row>
    <row r="20" spans="1:10" s="15" customFormat="1" ht="51" x14ac:dyDescent="0.2">
      <c r="A20" s="8">
        <v>5100</v>
      </c>
      <c r="B20" s="8">
        <v>240</v>
      </c>
      <c r="C20" s="8">
        <v>1</v>
      </c>
      <c r="D20" s="9">
        <v>2</v>
      </c>
      <c r="E20" s="10" t="s">
        <v>284</v>
      </c>
      <c r="F20" s="11"/>
      <c r="G20" s="12">
        <f t="shared" si="0"/>
        <v>26427</v>
      </c>
      <c r="H20" s="12">
        <f t="shared" si="1"/>
        <v>13016</v>
      </c>
      <c r="I20" s="13">
        <v>39443</v>
      </c>
      <c r="J20" s="14"/>
    </row>
    <row r="21" spans="1:10" s="15" customFormat="1" ht="34" x14ac:dyDescent="0.2">
      <c r="A21" s="8">
        <v>5100</v>
      </c>
      <c r="B21" s="8">
        <v>240</v>
      </c>
      <c r="C21" s="8">
        <v>1</v>
      </c>
      <c r="D21" s="9">
        <v>3</v>
      </c>
      <c r="E21" s="10" t="s">
        <v>285</v>
      </c>
      <c r="F21" s="11"/>
      <c r="G21" s="12">
        <f t="shared" si="0"/>
        <v>2310</v>
      </c>
      <c r="H21" s="12">
        <f t="shared" si="1"/>
        <v>1138</v>
      </c>
      <c r="I21" s="13">
        <v>3448</v>
      </c>
      <c r="J21" s="14"/>
    </row>
    <row r="22" spans="1:10" ht="17" x14ac:dyDescent="0.2">
      <c r="A22" s="81">
        <v>5100</v>
      </c>
      <c r="B22" s="81">
        <v>240</v>
      </c>
      <c r="C22" s="81" t="s">
        <v>29</v>
      </c>
      <c r="D22" s="82">
        <v>4</v>
      </c>
      <c r="E22" s="87" t="s">
        <v>462</v>
      </c>
      <c r="F22" s="84"/>
      <c r="G22" s="85">
        <f t="shared" si="0"/>
        <v>0</v>
      </c>
      <c r="H22" s="85">
        <f t="shared" si="1"/>
        <v>0</v>
      </c>
      <c r="I22" s="86"/>
    </row>
    <row r="23" spans="1:10" s="15" customFormat="1" ht="51" x14ac:dyDescent="0.2">
      <c r="A23" s="8" t="s">
        <v>96</v>
      </c>
      <c r="B23" s="8">
        <v>240</v>
      </c>
      <c r="C23" s="8" t="s">
        <v>49</v>
      </c>
      <c r="D23" s="9">
        <v>14</v>
      </c>
      <c r="E23" s="10" t="s">
        <v>452</v>
      </c>
      <c r="F23" s="52"/>
      <c r="G23" s="12">
        <f t="shared" si="0"/>
        <v>19417</v>
      </c>
      <c r="H23" s="12">
        <f t="shared" si="1"/>
        <v>9563</v>
      </c>
      <c r="I23" s="13">
        <f>8840*2+11300</f>
        <v>28980</v>
      </c>
      <c r="J23" s="14"/>
    </row>
    <row r="24" spans="1:10" s="109" customFormat="1" ht="34" x14ac:dyDescent="0.2">
      <c r="A24" s="99">
        <v>5100</v>
      </c>
      <c r="B24" s="99">
        <v>330</v>
      </c>
      <c r="C24" s="99" t="s">
        <v>49</v>
      </c>
      <c r="D24" s="100">
        <v>16</v>
      </c>
      <c r="E24" s="101" t="s">
        <v>497</v>
      </c>
      <c r="F24" s="107"/>
      <c r="G24" s="103">
        <f t="shared" si="0"/>
        <v>522600</v>
      </c>
      <c r="H24" s="103">
        <f t="shared" si="1"/>
        <v>257400</v>
      </c>
      <c r="I24" s="104">
        <v>780000</v>
      </c>
      <c r="J24" s="108"/>
    </row>
    <row r="25" spans="1:10" s="15" customFormat="1" ht="51" x14ac:dyDescent="0.2">
      <c r="A25" s="8">
        <v>5100</v>
      </c>
      <c r="B25" s="8">
        <v>369</v>
      </c>
      <c r="C25" s="8" t="s">
        <v>9</v>
      </c>
      <c r="D25" s="9">
        <v>2</v>
      </c>
      <c r="E25" s="10" t="s">
        <v>482</v>
      </c>
      <c r="F25" s="11"/>
      <c r="G25" s="12">
        <f t="shared" si="0"/>
        <v>989328</v>
      </c>
      <c r="H25" s="12">
        <f t="shared" si="1"/>
        <v>487281</v>
      </c>
      <c r="I25" s="13">
        <f>1286000+190609</f>
        <v>1476609</v>
      </c>
      <c r="J25" s="14"/>
    </row>
    <row r="26" spans="1:10" ht="34" x14ac:dyDescent="0.2">
      <c r="A26" s="8">
        <v>5100</v>
      </c>
      <c r="B26" s="8">
        <v>369</v>
      </c>
      <c r="C26" s="8">
        <v>1</v>
      </c>
      <c r="D26" s="9">
        <v>5</v>
      </c>
      <c r="E26" s="10" t="s">
        <v>286</v>
      </c>
      <c r="F26" s="11"/>
      <c r="G26" s="12">
        <f t="shared" si="0"/>
        <v>167500</v>
      </c>
      <c r="H26" s="12">
        <f t="shared" si="1"/>
        <v>82500</v>
      </c>
      <c r="I26" s="13">
        <v>250000</v>
      </c>
    </row>
    <row r="27" spans="1:10" ht="68" x14ac:dyDescent="0.2">
      <c r="A27" s="8">
        <v>5100</v>
      </c>
      <c r="B27" s="8">
        <v>369</v>
      </c>
      <c r="C27" s="8">
        <v>1</v>
      </c>
      <c r="D27" s="9">
        <v>12</v>
      </c>
      <c r="E27" s="10" t="s">
        <v>290</v>
      </c>
      <c r="F27" s="11"/>
      <c r="G27" s="12">
        <f t="shared" si="0"/>
        <v>301500</v>
      </c>
      <c r="H27" s="12">
        <f t="shared" si="1"/>
        <v>148500</v>
      </c>
      <c r="I27" s="13">
        <v>450000</v>
      </c>
    </row>
    <row r="28" spans="1:10" ht="102" x14ac:dyDescent="0.2">
      <c r="A28" s="9">
        <v>5100</v>
      </c>
      <c r="B28" s="8">
        <v>394</v>
      </c>
      <c r="C28" s="8">
        <v>1</v>
      </c>
      <c r="D28" s="16" t="s">
        <v>12</v>
      </c>
      <c r="E28" s="17" t="s">
        <v>289</v>
      </c>
      <c r="F28" s="11"/>
      <c r="G28" s="12">
        <f t="shared" si="0"/>
        <v>43350</v>
      </c>
      <c r="H28" s="12">
        <f t="shared" si="1"/>
        <v>21351</v>
      </c>
      <c r="I28" s="13">
        <v>64701</v>
      </c>
    </row>
    <row r="29" spans="1:10" ht="51" x14ac:dyDescent="0.2">
      <c r="A29" s="8">
        <v>5100</v>
      </c>
      <c r="B29" s="8">
        <v>394</v>
      </c>
      <c r="C29" s="8">
        <v>1</v>
      </c>
      <c r="D29" s="9" t="s">
        <v>10</v>
      </c>
      <c r="E29" s="10" t="s">
        <v>287</v>
      </c>
      <c r="F29" s="11"/>
      <c r="G29" s="12">
        <f t="shared" si="0"/>
        <v>36662</v>
      </c>
      <c r="H29" s="12">
        <f t="shared" si="1"/>
        <v>18058</v>
      </c>
      <c r="I29" s="13">
        <v>54720</v>
      </c>
    </row>
    <row r="30" spans="1:10" ht="85" x14ac:dyDescent="0.2">
      <c r="A30" s="9">
        <v>5100</v>
      </c>
      <c r="B30" s="8">
        <v>394</v>
      </c>
      <c r="C30" s="8">
        <v>1</v>
      </c>
      <c r="D30" s="16" t="s">
        <v>494</v>
      </c>
      <c r="E30" s="10" t="s">
        <v>288</v>
      </c>
      <c r="F30" s="11"/>
      <c r="G30" s="12">
        <f t="shared" si="0"/>
        <v>129782</v>
      </c>
      <c r="H30" s="12">
        <f t="shared" si="1"/>
        <v>63923</v>
      </c>
      <c r="I30" s="13">
        <v>193705</v>
      </c>
    </row>
    <row r="31" spans="1:10" ht="34" x14ac:dyDescent="0.2">
      <c r="A31" s="8">
        <v>5100</v>
      </c>
      <c r="B31" s="8">
        <v>510</v>
      </c>
      <c r="C31" s="8" t="s">
        <v>13</v>
      </c>
      <c r="D31" s="9">
        <v>1</v>
      </c>
      <c r="E31" s="10" t="s">
        <v>14</v>
      </c>
      <c r="F31" s="11"/>
      <c r="G31" s="12">
        <f t="shared" si="0"/>
        <v>457253</v>
      </c>
      <c r="H31" s="12">
        <f t="shared" si="1"/>
        <v>225214</v>
      </c>
      <c r="I31" s="13">
        <v>682467</v>
      </c>
    </row>
    <row r="32" spans="1:10" ht="17" x14ac:dyDescent="0.2">
      <c r="A32" s="8">
        <v>5100</v>
      </c>
      <c r="B32" s="8">
        <v>590</v>
      </c>
      <c r="C32" s="8">
        <v>1</v>
      </c>
      <c r="D32" s="9">
        <v>5</v>
      </c>
      <c r="E32" s="10" t="s">
        <v>291</v>
      </c>
      <c r="F32" s="11"/>
      <c r="G32" s="12">
        <f t="shared" si="0"/>
        <v>166750</v>
      </c>
      <c r="H32" s="12">
        <f t="shared" si="1"/>
        <v>82130</v>
      </c>
      <c r="I32" s="13">
        <v>248880</v>
      </c>
    </row>
    <row r="33" spans="1:10" s="15" customFormat="1" ht="51" x14ac:dyDescent="0.2">
      <c r="A33" s="9">
        <v>5100</v>
      </c>
      <c r="B33" s="8">
        <v>590</v>
      </c>
      <c r="C33" s="8">
        <v>1</v>
      </c>
      <c r="D33" s="9">
        <v>12</v>
      </c>
      <c r="E33" s="10" t="s">
        <v>292</v>
      </c>
      <c r="F33" s="11"/>
      <c r="G33" s="12">
        <f t="shared" si="0"/>
        <v>301500</v>
      </c>
      <c r="H33" s="12">
        <f t="shared" si="1"/>
        <v>148500</v>
      </c>
      <c r="I33" s="13">
        <v>450000</v>
      </c>
      <c r="J33" s="14"/>
    </row>
    <row r="34" spans="1:10" s="15" customFormat="1" ht="68" x14ac:dyDescent="0.2">
      <c r="A34" s="9">
        <v>5100</v>
      </c>
      <c r="B34" s="8">
        <v>643</v>
      </c>
      <c r="C34" s="8" t="s">
        <v>9</v>
      </c>
      <c r="D34" s="9">
        <v>6</v>
      </c>
      <c r="E34" s="19" t="s">
        <v>293</v>
      </c>
      <c r="F34" s="18"/>
      <c r="G34" s="12">
        <f t="shared" si="0"/>
        <v>2534333</v>
      </c>
      <c r="H34" s="12">
        <f t="shared" si="1"/>
        <v>1248253</v>
      </c>
      <c r="I34" s="13">
        <v>3782586</v>
      </c>
      <c r="J34" s="14"/>
    </row>
    <row r="35" spans="1:10" s="15" customFormat="1" ht="34" x14ac:dyDescent="0.2">
      <c r="A35" s="8">
        <v>5100</v>
      </c>
      <c r="B35" s="8">
        <v>644</v>
      </c>
      <c r="C35" s="8" t="s">
        <v>9</v>
      </c>
      <c r="D35" s="9">
        <v>1</v>
      </c>
      <c r="E35" s="10" t="s">
        <v>484</v>
      </c>
      <c r="F35" s="18"/>
      <c r="G35" s="12">
        <f t="shared" si="0"/>
        <v>473185</v>
      </c>
      <c r="H35" s="12">
        <f t="shared" si="1"/>
        <v>233061</v>
      </c>
      <c r="I35" s="13">
        <f>596246+110000</f>
        <v>706246</v>
      </c>
      <c r="J35" s="14"/>
    </row>
    <row r="36" spans="1:10" s="15" customFormat="1" ht="68" x14ac:dyDescent="0.2">
      <c r="A36" s="8">
        <v>5100</v>
      </c>
      <c r="B36" s="8">
        <v>649</v>
      </c>
      <c r="C36" s="8" t="s">
        <v>9</v>
      </c>
      <c r="D36" s="9">
        <v>3</v>
      </c>
      <c r="E36" s="10" t="s">
        <v>15</v>
      </c>
      <c r="F36" s="11"/>
      <c r="G36" s="12">
        <f t="shared" si="0"/>
        <v>398715</v>
      </c>
      <c r="H36" s="12">
        <f t="shared" si="1"/>
        <v>196382</v>
      </c>
      <c r="I36" s="13">
        <v>595097</v>
      </c>
      <c r="J36" s="14"/>
    </row>
    <row r="37" spans="1:10" s="15" customFormat="1" ht="17" x14ac:dyDescent="0.2">
      <c r="A37" s="8" t="s">
        <v>96</v>
      </c>
      <c r="B37" s="8">
        <v>751</v>
      </c>
      <c r="C37" s="8" t="s">
        <v>49</v>
      </c>
      <c r="D37" s="9">
        <v>14</v>
      </c>
      <c r="E37" s="10" t="s">
        <v>98</v>
      </c>
      <c r="F37" s="52"/>
      <c r="G37" s="12">
        <f t="shared" si="0"/>
        <v>89357</v>
      </c>
      <c r="H37" s="12">
        <f t="shared" si="1"/>
        <v>44011</v>
      </c>
      <c r="I37" s="13">
        <f>66684*2</f>
        <v>133368</v>
      </c>
      <c r="J37" s="14"/>
    </row>
    <row r="38" spans="1:10" s="15" customFormat="1" ht="153" x14ac:dyDescent="0.2">
      <c r="A38" s="8">
        <v>5100</v>
      </c>
      <c r="B38" s="8">
        <v>120</v>
      </c>
      <c r="C38" s="8">
        <v>1</v>
      </c>
      <c r="D38" s="9">
        <v>2</v>
      </c>
      <c r="E38" s="10" t="s">
        <v>265</v>
      </c>
      <c r="F38" s="11">
        <v>5</v>
      </c>
      <c r="G38" s="12">
        <f t="shared" si="0"/>
        <v>2017311</v>
      </c>
      <c r="H38" s="12">
        <f t="shared" si="1"/>
        <v>993601</v>
      </c>
      <c r="I38" s="13">
        <v>3010912</v>
      </c>
      <c r="J38" s="14"/>
    </row>
    <row r="39" spans="1:10" s="15" customFormat="1" ht="68" x14ac:dyDescent="0.2">
      <c r="A39" s="8">
        <v>5100</v>
      </c>
      <c r="B39" s="8">
        <v>140</v>
      </c>
      <c r="C39" s="8">
        <v>1</v>
      </c>
      <c r="D39" s="9">
        <v>1</v>
      </c>
      <c r="E39" s="10" t="s">
        <v>266</v>
      </c>
      <c r="F39" s="11">
        <v>48</v>
      </c>
      <c r="G39" s="12">
        <f t="shared" si="0"/>
        <v>1422052</v>
      </c>
      <c r="H39" s="12">
        <f t="shared" si="1"/>
        <v>700414</v>
      </c>
      <c r="I39" s="13">
        <v>2122466</v>
      </c>
      <c r="J39" s="14"/>
    </row>
    <row r="40" spans="1:10" ht="51" x14ac:dyDescent="0.2">
      <c r="A40" s="8">
        <v>5100</v>
      </c>
      <c r="B40" s="8">
        <v>150</v>
      </c>
      <c r="C40" s="8">
        <v>1</v>
      </c>
      <c r="D40" s="9">
        <v>3</v>
      </c>
      <c r="E40" s="10" t="s">
        <v>267</v>
      </c>
      <c r="F40" s="11">
        <v>7</v>
      </c>
      <c r="G40" s="12">
        <f t="shared" si="0"/>
        <v>176316</v>
      </c>
      <c r="H40" s="12">
        <v>86842</v>
      </c>
      <c r="I40" s="13">
        <v>263158</v>
      </c>
    </row>
    <row r="41" spans="1:10" ht="17" x14ac:dyDescent="0.2">
      <c r="A41" s="8">
        <v>5100</v>
      </c>
      <c r="B41" s="8">
        <v>210</v>
      </c>
      <c r="C41" s="8">
        <v>1</v>
      </c>
      <c r="D41" s="9">
        <v>1</v>
      </c>
      <c r="E41" s="10" t="s">
        <v>268</v>
      </c>
      <c r="F41" s="11"/>
      <c r="G41" s="12">
        <f t="shared" si="0"/>
        <v>617883</v>
      </c>
      <c r="H41" s="12">
        <v>304331</v>
      </c>
      <c r="I41" s="13">
        <v>922214</v>
      </c>
    </row>
    <row r="42" spans="1:10" ht="34" x14ac:dyDescent="0.2">
      <c r="A42" s="8">
        <v>5100</v>
      </c>
      <c r="B42" s="8">
        <v>210</v>
      </c>
      <c r="C42" s="8">
        <v>1</v>
      </c>
      <c r="D42" s="9">
        <v>2</v>
      </c>
      <c r="E42" s="10" t="s">
        <v>269</v>
      </c>
      <c r="F42" s="11"/>
      <c r="G42" s="12">
        <f t="shared" si="0"/>
        <v>214038</v>
      </c>
      <c r="H42" s="12">
        <f t="shared" ref="H42:H105" si="2">ROUND(I42*0.33,0)</f>
        <v>105421</v>
      </c>
      <c r="I42" s="13">
        <v>319459</v>
      </c>
    </row>
    <row r="43" spans="1:10" ht="17" x14ac:dyDescent="0.2">
      <c r="A43" s="8">
        <v>5100</v>
      </c>
      <c r="B43" s="8">
        <v>210</v>
      </c>
      <c r="C43" s="8">
        <v>1</v>
      </c>
      <c r="D43" s="9">
        <v>3</v>
      </c>
      <c r="E43" s="10" t="s">
        <v>270</v>
      </c>
      <c r="F43" s="11"/>
      <c r="G43" s="12">
        <f t="shared" si="0"/>
        <v>18708</v>
      </c>
      <c r="H43" s="12">
        <f t="shared" si="2"/>
        <v>9214</v>
      </c>
      <c r="I43" s="13">
        <v>27922</v>
      </c>
    </row>
    <row r="44" spans="1:10" ht="17" x14ac:dyDescent="0.2">
      <c r="A44" s="8">
        <v>5100</v>
      </c>
      <c r="B44" s="8">
        <v>220</v>
      </c>
      <c r="C44" s="8">
        <v>1</v>
      </c>
      <c r="D44" s="9">
        <v>1</v>
      </c>
      <c r="E44" s="10" t="s">
        <v>271</v>
      </c>
      <c r="F44" s="11"/>
      <c r="G44" s="12">
        <f t="shared" si="0"/>
        <v>88167</v>
      </c>
      <c r="H44" s="12">
        <f t="shared" si="2"/>
        <v>43426</v>
      </c>
      <c r="I44" s="13">
        <v>131593</v>
      </c>
    </row>
    <row r="45" spans="1:10" ht="34" x14ac:dyDescent="0.2">
      <c r="A45" s="8">
        <v>5100</v>
      </c>
      <c r="B45" s="8">
        <v>220</v>
      </c>
      <c r="C45" s="8">
        <v>1</v>
      </c>
      <c r="D45" s="9">
        <v>1</v>
      </c>
      <c r="E45" s="10" t="s">
        <v>272</v>
      </c>
      <c r="F45" s="11"/>
      <c r="G45" s="12">
        <f t="shared" si="0"/>
        <v>20620</v>
      </c>
      <c r="H45" s="12">
        <f t="shared" si="2"/>
        <v>10156</v>
      </c>
      <c r="I45" s="13">
        <v>30776</v>
      </c>
    </row>
    <row r="46" spans="1:10" ht="34" x14ac:dyDescent="0.2">
      <c r="A46" s="8">
        <v>5100</v>
      </c>
      <c r="B46" s="8">
        <v>220</v>
      </c>
      <c r="C46" s="8">
        <v>1</v>
      </c>
      <c r="D46" s="9">
        <v>2</v>
      </c>
      <c r="E46" s="10" t="s">
        <v>273</v>
      </c>
      <c r="F46" s="11"/>
      <c r="G46" s="12">
        <f t="shared" si="0"/>
        <v>125074</v>
      </c>
      <c r="H46" s="12">
        <f t="shared" si="2"/>
        <v>61604</v>
      </c>
      <c r="I46" s="13">
        <v>186678</v>
      </c>
    </row>
    <row r="47" spans="1:10" ht="34" x14ac:dyDescent="0.2">
      <c r="A47" s="8">
        <v>5100</v>
      </c>
      <c r="B47" s="8">
        <v>220</v>
      </c>
      <c r="C47" s="8">
        <v>1</v>
      </c>
      <c r="D47" s="9">
        <v>2</v>
      </c>
      <c r="E47" s="10" t="s">
        <v>274</v>
      </c>
      <c r="F47" s="11"/>
      <c r="G47" s="12">
        <f t="shared" si="0"/>
        <v>29252</v>
      </c>
      <c r="H47" s="12">
        <f t="shared" si="2"/>
        <v>14407</v>
      </c>
      <c r="I47" s="13">
        <v>43659</v>
      </c>
    </row>
    <row r="48" spans="1:10" ht="34" x14ac:dyDescent="0.2">
      <c r="A48" s="8">
        <v>5100</v>
      </c>
      <c r="B48" s="8">
        <v>220</v>
      </c>
      <c r="C48" s="8">
        <v>1</v>
      </c>
      <c r="D48" s="9">
        <v>3</v>
      </c>
      <c r="E48" s="10" t="s">
        <v>275</v>
      </c>
      <c r="F48" s="11"/>
      <c r="G48" s="12">
        <f t="shared" si="0"/>
        <v>10932</v>
      </c>
      <c r="H48" s="12">
        <f t="shared" si="2"/>
        <v>5384</v>
      </c>
      <c r="I48" s="13">
        <v>16316</v>
      </c>
    </row>
    <row r="49" spans="1:9" ht="34" x14ac:dyDescent="0.2">
      <c r="A49" s="8">
        <v>5100</v>
      </c>
      <c r="B49" s="8">
        <v>220</v>
      </c>
      <c r="C49" s="8">
        <v>1</v>
      </c>
      <c r="D49" s="9">
        <v>3</v>
      </c>
      <c r="E49" s="10" t="s">
        <v>276</v>
      </c>
      <c r="F49" s="11"/>
      <c r="G49" s="12">
        <f t="shared" si="0"/>
        <v>2557</v>
      </c>
      <c r="H49" s="12">
        <f t="shared" si="2"/>
        <v>1259</v>
      </c>
      <c r="I49" s="13">
        <v>3816</v>
      </c>
    </row>
    <row r="50" spans="1:9" s="6" customFormat="1" ht="51" x14ac:dyDescent="0.2">
      <c r="A50" s="20">
        <v>5200</v>
      </c>
      <c r="B50" s="20">
        <v>120</v>
      </c>
      <c r="C50" s="20" t="s">
        <v>16</v>
      </c>
      <c r="D50" s="21">
        <v>2</v>
      </c>
      <c r="E50" s="22" t="s">
        <v>295</v>
      </c>
      <c r="F50" s="5"/>
      <c r="G50" s="12">
        <f t="shared" si="0"/>
        <v>235803</v>
      </c>
      <c r="H50" s="12">
        <f t="shared" si="2"/>
        <v>116142</v>
      </c>
      <c r="I50" s="23">
        <v>351945</v>
      </c>
    </row>
    <row r="51" spans="1:9" s="6" customFormat="1" ht="68" x14ac:dyDescent="0.2">
      <c r="A51" s="20">
        <v>5200</v>
      </c>
      <c r="B51" s="20">
        <v>130</v>
      </c>
      <c r="C51" s="20">
        <v>1</v>
      </c>
      <c r="D51" s="21">
        <v>4</v>
      </c>
      <c r="E51" s="22" t="s">
        <v>296</v>
      </c>
      <c r="F51" s="5">
        <v>4</v>
      </c>
      <c r="G51" s="12">
        <f t="shared" si="0"/>
        <v>351369</v>
      </c>
      <c r="H51" s="12">
        <f t="shared" si="2"/>
        <v>173063</v>
      </c>
      <c r="I51" s="23">
        <v>524432</v>
      </c>
    </row>
    <row r="52" spans="1:9" s="6" customFormat="1" ht="51" x14ac:dyDescent="0.2">
      <c r="A52" s="20">
        <v>5200</v>
      </c>
      <c r="B52" s="20">
        <v>150</v>
      </c>
      <c r="C52" s="20" t="s">
        <v>16</v>
      </c>
      <c r="D52" s="21">
        <v>2</v>
      </c>
      <c r="E52" s="22" t="s">
        <v>297</v>
      </c>
      <c r="F52" s="5"/>
      <c r="G52" s="12">
        <f t="shared" si="0"/>
        <v>122704</v>
      </c>
      <c r="H52" s="12">
        <f t="shared" si="2"/>
        <v>60437</v>
      </c>
      <c r="I52" s="23">
        <v>183141</v>
      </c>
    </row>
    <row r="53" spans="1:9" s="6" customFormat="1" ht="17" x14ac:dyDescent="0.2">
      <c r="A53" s="8" t="s">
        <v>100</v>
      </c>
      <c r="B53" s="8">
        <v>150</v>
      </c>
      <c r="C53" s="8" t="s">
        <v>49</v>
      </c>
      <c r="D53" s="9">
        <v>14</v>
      </c>
      <c r="E53" s="10" t="s">
        <v>101</v>
      </c>
      <c r="F53" s="52"/>
      <c r="G53" s="12">
        <f t="shared" si="0"/>
        <v>561940</v>
      </c>
      <c r="H53" s="12">
        <f t="shared" si="2"/>
        <v>276776</v>
      </c>
      <c r="I53" s="13">
        <f>419358*2</f>
        <v>838716</v>
      </c>
    </row>
    <row r="54" spans="1:9" s="6" customFormat="1" ht="17" x14ac:dyDescent="0.2">
      <c r="A54" s="8" t="s">
        <v>100</v>
      </c>
      <c r="B54" s="8">
        <v>160</v>
      </c>
      <c r="C54" s="8" t="s">
        <v>49</v>
      </c>
      <c r="D54" s="9">
        <v>14</v>
      </c>
      <c r="E54" s="10" t="s">
        <v>102</v>
      </c>
      <c r="F54" s="52"/>
      <c r="G54" s="12">
        <f t="shared" si="0"/>
        <v>1905</v>
      </c>
      <c r="H54" s="12">
        <f t="shared" si="2"/>
        <v>939</v>
      </c>
      <c r="I54" s="13">
        <f>1422*2</f>
        <v>2844</v>
      </c>
    </row>
    <row r="55" spans="1:9" s="6" customFormat="1" ht="17" x14ac:dyDescent="0.2">
      <c r="A55" s="20">
        <v>5200</v>
      </c>
      <c r="B55" s="20">
        <v>210</v>
      </c>
      <c r="C55" s="20" t="s">
        <v>16</v>
      </c>
      <c r="D55" s="21">
        <v>2</v>
      </c>
      <c r="E55" s="22" t="s">
        <v>299</v>
      </c>
      <c r="F55" s="5"/>
      <c r="G55" s="12">
        <f t="shared" si="0"/>
        <v>40906</v>
      </c>
      <c r="H55" s="12">
        <f t="shared" si="2"/>
        <v>20148</v>
      </c>
      <c r="I55" s="23">
        <v>61054</v>
      </c>
    </row>
    <row r="56" spans="1:9" s="6" customFormat="1" ht="17" x14ac:dyDescent="0.2">
      <c r="A56" s="20">
        <v>5200</v>
      </c>
      <c r="B56" s="20">
        <v>210</v>
      </c>
      <c r="C56" s="20">
        <v>1</v>
      </c>
      <c r="D56" s="21">
        <v>4</v>
      </c>
      <c r="E56" s="22" t="s">
        <v>298</v>
      </c>
      <c r="F56" s="5"/>
      <c r="G56" s="12">
        <f t="shared" si="0"/>
        <v>37281</v>
      </c>
      <c r="H56" s="12">
        <f t="shared" si="2"/>
        <v>18362</v>
      </c>
      <c r="I56" s="23">
        <v>55643</v>
      </c>
    </row>
    <row r="57" spans="1:9" s="6" customFormat="1" ht="17" x14ac:dyDescent="0.2">
      <c r="A57" s="20">
        <v>5200</v>
      </c>
      <c r="B57" s="20">
        <v>220</v>
      </c>
      <c r="C57" s="20" t="s">
        <v>16</v>
      </c>
      <c r="D57" s="21">
        <v>2</v>
      </c>
      <c r="E57" s="22" t="s">
        <v>301</v>
      </c>
      <c r="F57" s="5"/>
      <c r="G57" s="12">
        <f t="shared" si="0"/>
        <v>22228</v>
      </c>
      <c r="H57" s="12">
        <f t="shared" si="2"/>
        <v>10948</v>
      </c>
      <c r="I57" s="23">
        <v>33176</v>
      </c>
    </row>
    <row r="58" spans="1:9" s="6" customFormat="1" ht="17" x14ac:dyDescent="0.2">
      <c r="A58" s="20">
        <v>5200</v>
      </c>
      <c r="B58" s="20">
        <v>220</v>
      </c>
      <c r="C58" s="20" t="s">
        <v>16</v>
      </c>
      <c r="D58" s="21">
        <v>2</v>
      </c>
      <c r="E58" s="22" t="s">
        <v>302</v>
      </c>
      <c r="F58" s="5"/>
      <c r="G58" s="12">
        <f t="shared" si="0"/>
        <v>5199</v>
      </c>
      <c r="H58" s="12">
        <f t="shared" si="2"/>
        <v>2560</v>
      </c>
      <c r="I58" s="23">
        <v>7759</v>
      </c>
    </row>
    <row r="59" spans="1:9" s="6" customFormat="1" ht="17" x14ac:dyDescent="0.2">
      <c r="A59" s="20">
        <v>5200</v>
      </c>
      <c r="B59" s="20">
        <v>220</v>
      </c>
      <c r="C59" s="20">
        <v>1</v>
      </c>
      <c r="D59" s="21">
        <v>4</v>
      </c>
      <c r="E59" s="22" t="s">
        <v>17</v>
      </c>
      <c r="F59" s="5"/>
      <c r="G59" s="12">
        <f t="shared" si="0"/>
        <v>21785</v>
      </c>
      <c r="H59" s="12">
        <f t="shared" si="2"/>
        <v>10730</v>
      </c>
      <c r="I59" s="23">
        <v>32515</v>
      </c>
    </row>
    <row r="60" spans="1:9" s="6" customFormat="1" ht="34" x14ac:dyDescent="0.2">
      <c r="A60" s="20">
        <v>5200</v>
      </c>
      <c r="B60" s="20">
        <v>220</v>
      </c>
      <c r="C60" s="20">
        <v>1</v>
      </c>
      <c r="D60" s="21">
        <v>4</v>
      </c>
      <c r="E60" s="22" t="s">
        <v>300</v>
      </c>
      <c r="F60" s="5"/>
      <c r="G60" s="12">
        <f t="shared" si="0"/>
        <v>5095</v>
      </c>
      <c r="H60" s="12">
        <f t="shared" si="2"/>
        <v>2510</v>
      </c>
      <c r="I60" s="23">
        <v>7605</v>
      </c>
    </row>
    <row r="61" spans="1:9" s="6" customFormat="1" ht="34" x14ac:dyDescent="0.2">
      <c r="A61" s="8" t="s">
        <v>100</v>
      </c>
      <c r="B61" s="8">
        <v>220</v>
      </c>
      <c r="C61" s="8" t="s">
        <v>49</v>
      </c>
      <c r="D61" s="9">
        <v>14</v>
      </c>
      <c r="E61" s="10" t="s">
        <v>453</v>
      </c>
      <c r="F61" s="11"/>
      <c r="G61" s="12">
        <f t="shared" si="0"/>
        <v>43014</v>
      </c>
      <c r="H61" s="12">
        <f t="shared" si="2"/>
        <v>21186</v>
      </c>
      <c r="I61" s="13">
        <f>32100*2</f>
        <v>64200</v>
      </c>
    </row>
    <row r="62" spans="1:9" s="6" customFormat="1" ht="34" x14ac:dyDescent="0.2">
      <c r="A62" s="21">
        <v>5200</v>
      </c>
      <c r="B62" s="20">
        <v>231</v>
      </c>
      <c r="C62" s="20">
        <v>1</v>
      </c>
      <c r="D62" s="21">
        <v>4</v>
      </c>
      <c r="E62" s="22" t="s">
        <v>303</v>
      </c>
      <c r="F62" s="5"/>
      <c r="G62" s="12">
        <f t="shared" si="0"/>
        <v>82994</v>
      </c>
      <c r="H62" s="12">
        <f t="shared" si="2"/>
        <v>40877</v>
      </c>
      <c r="I62" s="23">
        <v>123871</v>
      </c>
    </row>
    <row r="63" spans="1:9" s="6" customFormat="1" ht="34" x14ac:dyDescent="0.2">
      <c r="A63" s="21">
        <v>5200</v>
      </c>
      <c r="B63" s="20">
        <v>232</v>
      </c>
      <c r="C63" s="20">
        <v>1</v>
      </c>
      <c r="D63" s="21">
        <v>4</v>
      </c>
      <c r="E63" s="22" t="s">
        <v>304</v>
      </c>
      <c r="F63" s="5"/>
      <c r="G63" s="12">
        <f t="shared" si="0"/>
        <v>914</v>
      </c>
      <c r="H63" s="12">
        <f t="shared" si="2"/>
        <v>450</v>
      </c>
      <c r="I63" s="23">
        <v>1364</v>
      </c>
    </row>
    <row r="64" spans="1:9" ht="34" x14ac:dyDescent="0.2">
      <c r="A64" s="21">
        <v>5200</v>
      </c>
      <c r="B64" s="20">
        <v>240</v>
      </c>
      <c r="C64" s="20" t="s">
        <v>16</v>
      </c>
      <c r="D64" s="21">
        <v>2</v>
      </c>
      <c r="E64" s="22" t="s">
        <v>306</v>
      </c>
      <c r="F64" s="5"/>
      <c r="G64" s="12">
        <f t="shared" si="0"/>
        <v>4051</v>
      </c>
      <c r="H64" s="12">
        <f t="shared" si="2"/>
        <v>1996</v>
      </c>
      <c r="I64" s="23">
        <v>6047</v>
      </c>
    </row>
    <row r="65" spans="1:10" ht="34" x14ac:dyDescent="0.2">
      <c r="A65" s="21">
        <v>5200</v>
      </c>
      <c r="B65" s="20">
        <v>240</v>
      </c>
      <c r="C65" s="20">
        <v>1</v>
      </c>
      <c r="D65" s="21">
        <v>4</v>
      </c>
      <c r="E65" s="22" t="s">
        <v>305</v>
      </c>
      <c r="F65" s="5"/>
      <c r="G65" s="12">
        <f t="shared" si="0"/>
        <v>4604</v>
      </c>
      <c r="H65" s="12">
        <f t="shared" si="2"/>
        <v>2267</v>
      </c>
      <c r="I65" s="23">
        <v>6871</v>
      </c>
    </row>
    <row r="66" spans="1:10" s="15" customFormat="1" ht="34" x14ac:dyDescent="0.2">
      <c r="A66" s="51" t="s">
        <v>100</v>
      </c>
      <c r="B66" s="8">
        <v>240</v>
      </c>
      <c r="C66" s="8" t="s">
        <v>49</v>
      </c>
      <c r="D66" s="9">
        <v>14</v>
      </c>
      <c r="E66" s="10" t="s">
        <v>454</v>
      </c>
      <c r="F66" s="11"/>
      <c r="G66" s="12">
        <f t="shared" ref="G66:G129" si="3">ROUND(I66*0.67,0)</f>
        <v>3186</v>
      </c>
      <c r="H66" s="12">
        <f t="shared" si="2"/>
        <v>1569</v>
      </c>
      <c r="I66" s="13">
        <v>4755</v>
      </c>
      <c r="J66" s="14"/>
    </row>
    <row r="67" spans="1:10" s="15" customFormat="1" ht="102" x14ac:dyDescent="0.2">
      <c r="A67" s="26">
        <v>5200</v>
      </c>
      <c r="B67" s="20">
        <v>310</v>
      </c>
      <c r="C67" s="20" t="s">
        <v>16</v>
      </c>
      <c r="D67" s="21">
        <v>1</v>
      </c>
      <c r="E67" s="22" t="s">
        <v>307</v>
      </c>
      <c r="F67" s="5"/>
      <c r="G67" s="12">
        <f t="shared" si="3"/>
        <v>19296</v>
      </c>
      <c r="H67" s="12">
        <f t="shared" si="2"/>
        <v>9504</v>
      </c>
      <c r="I67" s="23">
        <v>28800</v>
      </c>
      <c r="J67" s="14"/>
    </row>
    <row r="68" spans="1:10" ht="34" x14ac:dyDescent="0.2">
      <c r="A68" s="20">
        <v>5200</v>
      </c>
      <c r="B68" s="20">
        <v>369</v>
      </c>
      <c r="C68" s="20" t="s">
        <v>16</v>
      </c>
      <c r="D68" s="21">
        <v>3</v>
      </c>
      <c r="E68" s="24" t="s">
        <v>308</v>
      </c>
      <c r="F68" s="5"/>
      <c r="G68" s="12">
        <f t="shared" si="3"/>
        <v>14070</v>
      </c>
      <c r="H68" s="12">
        <f t="shared" si="2"/>
        <v>6930</v>
      </c>
      <c r="I68" s="23">
        <v>21000</v>
      </c>
    </row>
    <row r="69" spans="1:10" ht="17" x14ac:dyDescent="0.2">
      <c r="A69" s="20">
        <v>5200</v>
      </c>
      <c r="B69" s="20">
        <v>510</v>
      </c>
      <c r="C69" s="20" t="s">
        <v>16</v>
      </c>
      <c r="D69" s="21">
        <v>3</v>
      </c>
      <c r="E69" s="24" t="s">
        <v>309</v>
      </c>
      <c r="F69" s="5"/>
      <c r="G69" s="12">
        <f t="shared" si="3"/>
        <v>14070</v>
      </c>
      <c r="H69" s="12">
        <f t="shared" si="2"/>
        <v>6930</v>
      </c>
      <c r="I69" s="23">
        <v>21000</v>
      </c>
    </row>
    <row r="70" spans="1:10" ht="51" x14ac:dyDescent="0.2">
      <c r="A70" s="21">
        <v>5200</v>
      </c>
      <c r="B70" s="20">
        <v>510</v>
      </c>
      <c r="C70" s="20" t="s">
        <v>18</v>
      </c>
      <c r="D70" s="21">
        <v>5</v>
      </c>
      <c r="E70" s="25" t="s">
        <v>19</v>
      </c>
      <c r="F70" s="5"/>
      <c r="G70" s="12">
        <f t="shared" si="3"/>
        <v>33500</v>
      </c>
      <c r="H70" s="12">
        <f t="shared" si="2"/>
        <v>16500</v>
      </c>
      <c r="I70" s="23">
        <v>50000</v>
      </c>
    </row>
    <row r="71" spans="1:10" ht="34" x14ac:dyDescent="0.2">
      <c r="A71" s="20">
        <v>5200</v>
      </c>
      <c r="B71" s="20">
        <v>590</v>
      </c>
      <c r="C71" s="20" t="s">
        <v>16</v>
      </c>
      <c r="D71" s="21">
        <v>3</v>
      </c>
      <c r="E71" s="24" t="s">
        <v>310</v>
      </c>
      <c r="F71" s="5"/>
      <c r="G71" s="12">
        <f t="shared" si="3"/>
        <v>14070</v>
      </c>
      <c r="H71" s="12">
        <f t="shared" si="2"/>
        <v>6930</v>
      </c>
      <c r="I71" s="23">
        <v>21000</v>
      </c>
    </row>
    <row r="72" spans="1:10" ht="34" x14ac:dyDescent="0.2">
      <c r="A72" s="8">
        <v>5300</v>
      </c>
      <c r="B72" s="8">
        <v>120</v>
      </c>
      <c r="C72" s="8" t="s">
        <v>29</v>
      </c>
      <c r="D72" s="9">
        <v>5</v>
      </c>
      <c r="E72" s="1" t="s">
        <v>257</v>
      </c>
      <c r="F72" s="11"/>
      <c r="G72" s="12">
        <f t="shared" si="3"/>
        <v>644312</v>
      </c>
      <c r="H72" s="12">
        <f t="shared" si="2"/>
        <v>317347</v>
      </c>
      <c r="I72" s="13">
        <v>961659</v>
      </c>
    </row>
    <row r="73" spans="1:10" ht="17" x14ac:dyDescent="0.2">
      <c r="A73" s="8" t="s">
        <v>103</v>
      </c>
      <c r="B73" s="8">
        <v>120</v>
      </c>
      <c r="C73" s="8" t="s">
        <v>49</v>
      </c>
      <c r="D73" s="9">
        <v>14</v>
      </c>
      <c r="E73" s="10" t="s">
        <v>104</v>
      </c>
      <c r="F73" s="52"/>
      <c r="G73" s="12">
        <f t="shared" si="3"/>
        <v>162860</v>
      </c>
      <c r="H73" s="12">
        <f t="shared" si="2"/>
        <v>80214</v>
      </c>
      <c r="I73" s="13">
        <f>121537*2</f>
        <v>243074</v>
      </c>
    </row>
    <row r="74" spans="1:10" ht="17" x14ac:dyDescent="0.2">
      <c r="A74" s="8" t="s">
        <v>103</v>
      </c>
      <c r="B74" s="8">
        <v>160</v>
      </c>
      <c r="C74" s="8" t="s">
        <v>49</v>
      </c>
      <c r="D74" s="9">
        <v>14</v>
      </c>
      <c r="E74" s="10" t="s">
        <v>105</v>
      </c>
      <c r="F74" s="52"/>
      <c r="G74" s="12">
        <f t="shared" si="3"/>
        <v>21905</v>
      </c>
      <c r="H74" s="12">
        <f t="shared" si="2"/>
        <v>10789</v>
      </c>
      <c r="I74" s="13">
        <f>16347*2</f>
        <v>32694</v>
      </c>
    </row>
    <row r="75" spans="1:10" ht="17" x14ac:dyDescent="0.2">
      <c r="A75" s="9">
        <v>5300</v>
      </c>
      <c r="B75" s="8">
        <v>210</v>
      </c>
      <c r="C75" s="8" t="s">
        <v>29</v>
      </c>
      <c r="D75" s="9">
        <v>5</v>
      </c>
      <c r="E75" s="10" t="s">
        <v>463</v>
      </c>
      <c r="F75" s="11"/>
      <c r="G75" s="12">
        <f t="shared" si="3"/>
        <v>67156</v>
      </c>
      <c r="H75" s="12">
        <f t="shared" si="2"/>
        <v>33077</v>
      </c>
      <c r="I75" s="13">
        <v>100233</v>
      </c>
    </row>
    <row r="76" spans="1:10" ht="17" x14ac:dyDescent="0.2">
      <c r="A76" s="9">
        <v>5300</v>
      </c>
      <c r="B76" s="8">
        <v>220</v>
      </c>
      <c r="C76" s="8" t="s">
        <v>29</v>
      </c>
      <c r="D76" s="9">
        <v>5</v>
      </c>
      <c r="E76" s="10" t="s">
        <v>464</v>
      </c>
      <c r="F76" s="11"/>
      <c r="G76" s="12">
        <f t="shared" si="3"/>
        <v>38482</v>
      </c>
      <c r="H76" s="12">
        <f t="shared" si="2"/>
        <v>18954</v>
      </c>
      <c r="I76" s="13">
        <v>57436</v>
      </c>
    </row>
    <row r="77" spans="1:10" s="6" customFormat="1" ht="17" x14ac:dyDescent="0.2">
      <c r="A77" s="8">
        <v>5300</v>
      </c>
      <c r="B77" s="8">
        <v>220</v>
      </c>
      <c r="C77" s="8" t="s">
        <v>29</v>
      </c>
      <c r="D77" s="9">
        <v>5</v>
      </c>
      <c r="E77" s="10" t="s">
        <v>465</v>
      </c>
      <c r="F77" s="11"/>
      <c r="G77" s="12">
        <f t="shared" si="3"/>
        <v>9001</v>
      </c>
      <c r="H77" s="12">
        <f t="shared" si="2"/>
        <v>4434</v>
      </c>
      <c r="I77" s="13">
        <v>13435</v>
      </c>
    </row>
    <row r="78" spans="1:10" s="6" customFormat="1" ht="17" x14ac:dyDescent="0.2">
      <c r="A78" s="8" t="s">
        <v>103</v>
      </c>
      <c r="B78" s="8">
        <v>220</v>
      </c>
      <c r="C78" s="8" t="s">
        <v>49</v>
      </c>
      <c r="D78" s="9">
        <v>14</v>
      </c>
      <c r="E78" s="10" t="s">
        <v>106</v>
      </c>
      <c r="F78" s="52"/>
      <c r="G78" s="12">
        <f t="shared" si="3"/>
        <v>14137</v>
      </c>
      <c r="H78" s="12">
        <f t="shared" si="2"/>
        <v>6963</v>
      </c>
      <c r="I78" s="13">
        <f>10550*2</f>
        <v>21100</v>
      </c>
    </row>
    <row r="79" spans="1:10" s="6" customFormat="1" ht="17" x14ac:dyDescent="0.2">
      <c r="A79" s="9">
        <v>5300</v>
      </c>
      <c r="B79" s="8">
        <v>231</v>
      </c>
      <c r="C79" s="8" t="s">
        <v>29</v>
      </c>
      <c r="D79" s="9">
        <v>5</v>
      </c>
      <c r="E79" s="10" t="s">
        <v>466</v>
      </c>
      <c r="F79" s="11"/>
      <c r="G79" s="12">
        <f t="shared" si="3"/>
        <v>75355</v>
      </c>
      <c r="H79" s="12">
        <f t="shared" si="2"/>
        <v>37115</v>
      </c>
      <c r="I79" s="13">
        <v>112470</v>
      </c>
    </row>
    <row r="80" spans="1:10" s="6" customFormat="1" ht="17" x14ac:dyDescent="0.2">
      <c r="A80" s="8">
        <v>5300</v>
      </c>
      <c r="B80" s="8">
        <v>232</v>
      </c>
      <c r="C80" s="8" t="s">
        <v>29</v>
      </c>
      <c r="D80" s="9">
        <v>5</v>
      </c>
      <c r="E80" s="10" t="s">
        <v>467</v>
      </c>
      <c r="F80" s="11"/>
      <c r="G80" s="12">
        <f t="shared" si="3"/>
        <v>1613</v>
      </c>
      <c r="H80" s="12">
        <f t="shared" si="2"/>
        <v>794</v>
      </c>
      <c r="I80" s="13">
        <v>2407</v>
      </c>
    </row>
    <row r="81" spans="1:9" s="6" customFormat="1" ht="17" x14ac:dyDescent="0.2">
      <c r="A81" s="8">
        <v>5300</v>
      </c>
      <c r="B81" s="8">
        <v>240</v>
      </c>
      <c r="C81" s="8" t="s">
        <v>29</v>
      </c>
      <c r="D81" s="9">
        <v>5</v>
      </c>
      <c r="E81" s="10" t="s">
        <v>468</v>
      </c>
      <c r="F81" s="11"/>
      <c r="G81" s="12">
        <f t="shared" si="3"/>
        <v>4718</v>
      </c>
      <c r="H81" s="12">
        <f t="shared" si="2"/>
        <v>2324</v>
      </c>
      <c r="I81" s="13">
        <v>7042</v>
      </c>
    </row>
    <row r="82" spans="1:9" s="6" customFormat="1" ht="17" x14ac:dyDescent="0.2">
      <c r="A82" s="8" t="s">
        <v>103</v>
      </c>
      <c r="B82" s="8">
        <v>240</v>
      </c>
      <c r="C82" s="8" t="s">
        <v>49</v>
      </c>
      <c r="D82" s="9">
        <v>14</v>
      </c>
      <c r="E82" s="10" t="s">
        <v>107</v>
      </c>
      <c r="F82" s="52"/>
      <c r="G82" s="12">
        <f t="shared" si="3"/>
        <v>2088</v>
      </c>
      <c r="H82" s="12">
        <f t="shared" si="2"/>
        <v>1028</v>
      </c>
      <c r="I82" s="13">
        <f>1558*2</f>
        <v>3116</v>
      </c>
    </row>
    <row r="83" spans="1:9" s="6" customFormat="1" ht="34" x14ac:dyDescent="0.2">
      <c r="A83" s="20">
        <v>5300</v>
      </c>
      <c r="B83" s="20">
        <v>369</v>
      </c>
      <c r="C83" s="20" t="s">
        <v>20</v>
      </c>
      <c r="D83" s="21">
        <v>1</v>
      </c>
      <c r="E83" s="22" t="s">
        <v>311</v>
      </c>
      <c r="F83" s="5"/>
      <c r="G83" s="12">
        <f t="shared" si="3"/>
        <v>286961</v>
      </c>
      <c r="H83" s="12">
        <f t="shared" si="2"/>
        <v>141339</v>
      </c>
      <c r="I83" s="23">
        <v>428300</v>
      </c>
    </row>
    <row r="84" spans="1:9" s="6" customFormat="1" ht="17" x14ac:dyDescent="0.2">
      <c r="A84" s="8" t="s">
        <v>108</v>
      </c>
      <c r="B84" s="8">
        <v>120</v>
      </c>
      <c r="C84" s="8" t="s">
        <v>49</v>
      </c>
      <c r="D84" s="9">
        <v>14</v>
      </c>
      <c r="E84" s="10" t="s">
        <v>109</v>
      </c>
      <c r="F84" s="52"/>
      <c r="G84" s="12">
        <f t="shared" si="3"/>
        <v>9525</v>
      </c>
      <c r="H84" s="12">
        <f t="shared" si="2"/>
        <v>4691</v>
      </c>
      <c r="I84" s="13">
        <f>7108*2</f>
        <v>14216</v>
      </c>
    </row>
    <row r="85" spans="1:9" s="6" customFormat="1" ht="17" x14ac:dyDescent="0.2">
      <c r="A85" s="8" t="s">
        <v>108</v>
      </c>
      <c r="B85" s="8">
        <v>150</v>
      </c>
      <c r="C85" s="8" t="s">
        <v>49</v>
      </c>
      <c r="D85" s="9">
        <v>14</v>
      </c>
      <c r="E85" s="10" t="s">
        <v>110</v>
      </c>
      <c r="F85" s="52"/>
      <c r="G85" s="12">
        <f t="shared" si="3"/>
        <v>7619</v>
      </c>
      <c r="H85" s="12">
        <f t="shared" si="2"/>
        <v>3753</v>
      </c>
      <c r="I85" s="13">
        <f>5686*2</f>
        <v>11372</v>
      </c>
    </row>
    <row r="86" spans="1:9" s="6" customFormat="1" ht="17" x14ac:dyDescent="0.2">
      <c r="A86" s="8" t="s">
        <v>108</v>
      </c>
      <c r="B86" s="8">
        <v>220</v>
      </c>
      <c r="C86" s="8" t="s">
        <v>49</v>
      </c>
      <c r="D86" s="9">
        <v>14</v>
      </c>
      <c r="E86" s="10" t="s">
        <v>111</v>
      </c>
      <c r="F86" s="52"/>
      <c r="G86" s="12">
        <f t="shared" si="3"/>
        <v>1682</v>
      </c>
      <c r="H86" s="12">
        <f t="shared" si="2"/>
        <v>829</v>
      </c>
      <c r="I86" s="13">
        <f>9*279</f>
        <v>2511</v>
      </c>
    </row>
    <row r="87" spans="1:9" s="6" customFormat="1" ht="17" x14ac:dyDescent="0.2">
      <c r="A87" s="8" t="s">
        <v>108</v>
      </c>
      <c r="B87" s="8">
        <v>240</v>
      </c>
      <c r="C87" s="8" t="s">
        <v>49</v>
      </c>
      <c r="D87" s="9">
        <v>14</v>
      </c>
      <c r="E87" s="10" t="s">
        <v>112</v>
      </c>
      <c r="F87" s="52"/>
      <c r="G87" s="12">
        <f t="shared" si="3"/>
        <v>194</v>
      </c>
      <c r="H87" s="12">
        <f t="shared" si="2"/>
        <v>96</v>
      </c>
      <c r="I87" s="13">
        <f>145*2</f>
        <v>290</v>
      </c>
    </row>
    <row r="88" spans="1:9" s="6" customFormat="1" ht="34" x14ac:dyDescent="0.2">
      <c r="A88" s="20">
        <v>5500</v>
      </c>
      <c r="B88" s="20">
        <v>120</v>
      </c>
      <c r="C88" s="20">
        <v>1</v>
      </c>
      <c r="D88" s="21">
        <v>7</v>
      </c>
      <c r="E88" s="22" t="s">
        <v>21</v>
      </c>
      <c r="F88" s="5">
        <v>7</v>
      </c>
      <c r="G88" s="12">
        <f t="shared" si="3"/>
        <v>441287</v>
      </c>
      <c r="H88" s="12">
        <f t="shared" si="2"/>
        <v>217350</v>
      </c>
      <c r="I88" s="23">
        <v>658637</v>
      </c>
    </row>
    <row r="89" spans="1:9" s="6" customFormat="1" ht="17" x14ac:dyDescent="0.2">
      <c r="A89" s="8" t="s">
        <v>113</v>
      </c>
      <c r="B89" s="8">
        <v>130</v>
      </c>
      <c r="C89" s="8" t="s">
        <v>49</v>
      </c>
      <c r="D89" s="9">
        <v>14</v>
      </c>
      <c r="E89" s="10" t="s">
        <v>114</v>
      </c>
      <c r="F89" s="52"/>
      <c r="G89" s="12">
        <f t="shared" si="3"/>
        <v>3810</v>
      </c>
      <c r="H89" s="12">
        <f t="shared" si="2"/>
        <v>1876</v>
      </c>
      <c r="I89" s="13">
        <f>2843*2</f>
        <v>5686</v>
      </c>
    </row>
    <row r="90" spans="1:9" s="6" customFormat="1" ht="51" x14ac:dyDescent="0.2">
      <c r="A90" s="8">
        <v>5500</v>
      </c>
      <c r="B90" s="8">
        <v>150</v>
      </c>
      <c r="C90" s="8">
        <v>1</v>
      </c>
      <c r="D90" s="9">
        <v>8</v>
      </c>
      <c r="E90" s="10" t="s">
        <v>312</v>
      </c>
      <c r="F90" s="11">
        <v>7</v>
      </c>
      <c r="G90" s="12">
        <f t="shared" si="3"/>
        <v>177765</v>
      </c>
      <c r="H90" s="12">
        <f t="shared" si="2"/>
        <v>87556</v>
      </c>
      <c r="I90" s="13">
        <v>265321</v>
      </c>
    </row>
    <row r="91" spans="1:9" s="6" customFormat="1" ht="17" x14ac:dyDescent="0.2">
      <c r="A91" s="8" t="s">
        <v>113</v>
      </c>
      <c r="B91" s="8">
        <v>150</v>
      </c>
      <c r="C91" s="8" t="s">
        <v>49</v>
      </c>
      <c r="D91" s="9">
        <v>14</v>
      </c>
      <c r="E91" s="10" t="s">
        <v>115</v>
      </c>
      <c r="F91" s="11"/>
      <c r="G91" s="12">
        <f t="shared" si="3"/>
        <v>7619</v>
      </c>
      <c r="H91" s="12">
        <f t="shared" si="2"/>
        <v>3753</v>
      </c>
      <c r="I91" s="13">
        <f>5686*2</f>
        <v>11372</v>
      </c>
    </row>
    <row r="92" spans="1:9" s="6" customFormat="1" ht="17" x14ac:dyDescent="0.2">
      <c r="A92" s="8" t="s">
        <v>113</v>
      </c>
      <c r="B92" s="8">
        <v>160</v>
      </c>
      <c r="C92" s="8" t="s">
        <v>49</v>
      </c>
      <c r="D92" s="9">
        <v>14</v>
      </c>
      <c r="E92" s="10" t="s">
        <v>116</v>
      </c>
      <c r="F92" s="11"/>
      <c r="G92" s="12">
        <f t="shared" si="3"/>
        <v>9525</v>
      </c>
      <c r="H92" s="12">
        <f t="shared" si="2"/>
        <v>4691</v>
      </c>
      <c r="I92" s="13">
        <f>7108*2</f>
        <v>14216</v>
      </c>
    </row>
    <row r="93" spans="1:9" s="6" customFormat="1" ht="17" x14ac:dyDescent="0.2">
      <c r="A93" s="20">
        <v>5500</v>
      </c>
      <c r="B93" s="20">
        <v>210</v>
      </c>
      <c r="C93" s="20">
        <v>1</v>
      </c>
      <c r="D93" s="21">
        <v>7</v>
      </c>
      <c r="E93" s="22" t="s">
        <v>313</v>
      </c>
      <c r="F93" s="5"/>
      <c r="G93" s="12">
        <f t="shared" si="3"/>
        <v>46821</v>
      </c>
      <c r="H93" s="12">
        <f t="shared" si="2"/>
        <v>23061</v>
      </c>
      <c r="I93" s="23">
        <v>69882</v>
      </c>
    </row>
    <row r="94" spans="1:9" s="6" customFormat="1" ht="17" x14ac:dyDescent="0.2">
      <c r="A94" s="8">
        <v>5500</v>
      </c>
      <c r="B94" s="8">
        <v>210</v>
      </c>
      <c r="C94" s="8">
        <v>1</v>
      </c>
      <c r="D94" s="9">
        <v>8</v>
      </c>
      <c r="E94" s="10" t="s">
        <v>314</v>
      </c>
      <c r="F94" s="11"/>
      <c r="G94" s="12">
        <f t="shared" si="3"/>
        <v>18861</v>
      </c>
      <c r="H94" s="12">
        <f t="shared" si="2"/>
        <v>9290</v>
      </c>
      <c r="I94" s="13">
        <v>28151</v>
      </c>
    </row>
    <row r="95" spans="1:9" s="6" customFormat="1" ht="17" x14ac:dyDescent="0.2">
      <c r="A95" s="20">
        <v>5500</v>
      </c>
      <c r="B95" s="20">
        <v>220</v>
      </c>
      <c r="C95" s="20">
        <v>1</v>
      </c>
      <c r="D95" s="21">
        <v>7</v>
      </c>
      <c r="E95" s="22" t="s">
        <v>22</v>
      </c>
      <c r="F95" s="5"/>
      <c r="G95" s="12">
        <f t="shared" si="3"/>
        <v>27360</v>
      </c>
      <c r="H95" s="12">
        <f t="shared" si="2"/>
        <v>13476</v>
      </c>
      <c r="I95" s="23">
        <v>40836</v>
      </c>
    </row>
    <row r="96" spans="1:9" s="6" customFormat="1" ht="34" x14ac:dyDescent="0.2">
      <c r="A96" s="20">
        <v>5500</v>
      </c>
      <c r="B96" s="20">
        <v>220</v>
      </c>
      <c r="C96" s="20">
        <v>1</v>
      </c>
      <c r="D96" s="21">
        <v>7</v>
      </c>
      <c r="E96" s="22" t="s">
        <v>315</v>
      </c>
      <c r="F96" s="5"/>
      <c r="G96" s="12">
        <f t="shared" si="3"/>
        <v>6399</v>
      </c>
      <c r="H96" s="12">
        <f t="shared" si="2"/>
        <v>3152</v>
      </c>
      <c r="I96" s="23">
        <v>9551</v>
      </c>
    </row>
    <row r="97" spans="1:9" s="6" customFormat="1" ht="17" x14ac:dyDescent="0.2">
      <c r="A97" s="8">
        <v>5500</v>
      </c>
      <c r="B97" s="8">
        <v>220</v>
      </c>
      <c r="C97" s="8">
        <v>1</v>
      </c>
      <c r="D97" s="9">
        <v>8</v>
      </c>
      <c r="E97" s="10" t="s">
        <v>23</v>
      </c>
      <c r="F97" s="11"/>
      <c r="G97" s="12">
        <f t="shared" si="3"/>
        <v>11022</v>
      </c>
      <c r="H97" s="12">
        <f t="shared" si="2"/>
        <v>5429</v>
      </c>
      <c r="I97" s="13">
        <v>16450</v>
      </c>
    </row>
    <row r="98" spans="1:9" s="6" customFormat="1" ht="34" x14ac:dyDescent="0.2">
      <c r="A98" s="8">
        <v>5500</v>
      </c>
      <c r="B98" s="8">
        <v>220</v>
      </c>
      <c r="C98" s="8">
        <v>1</v>
      </c>
      <c r="D98" s="9">
        <v>8</v>
      </c>
      <c r="E98" s="10" t="s">
        <v>316</v>
      </c>
      <c r="F98" s="11"/>
      <c r="G98" s="12">
        <f t="shared" si="3"/>
        <v>2578</v>
      </c>
      <c r="H98" s="12">
        <f t="shared" si="2"/>
        <v>1270</v>
      </c>
      <c r="I98" s="13">
        <v>3848</v>
      </c>
    </row>
    <row r="99" spans="1:9" s="6" customFormat="1" ht="17" x14ac:dyDescent="0.2">
      <c r="A99" s="9" t="s">
        <v>113</v>
      </c>
      <c r="B99" s="8">
        <v>220</v>
      </c>
      <c r="C99" s="9" t="s">
        <v>49</v>
      </c>
      <c r="D99" s="9">
        <v>14</v>
      </c>
      <c r="E99" s="10" t="s">
        <v>117</v>
      </c>
      <c r="F99" s="52"/>
      <c r="G99" s="12">
        <f t="shared" si="3"/>
        <v>1604</v>
      </c>
      <c r="H99" s="12">
        <f t="shared" si="2"/>
        <v>790</v>
      </c>
      <c r="I99" s="13">
        <f>1197*2</f>
        <v>2394</v>
      </c>
    </row>
    <row r="100" spans="1:9" s="6" customFormat="1" ht="34" x14ac:dyDescent="0.2">
      <c r="A100" s="21">
        <v>5500</v>
      </c>
      <c r="B100" s="20">
        <v>231</v>
      </c>
      <c r="C100" s="21">
        <v>1</v>
      </c>
      <c r="D100" s="21">
        <v>7</v>
      </c>
      <c r="E100" s="22" t="s">
        <v>317</v>
      </c>
      <c r="F100" s="5"/>
      <c r="G100" s="12">
        <f t="shared" si="3"/>
        <v>104233</v>
      </c>
      <c r="H100" s="12">
        <f t="shared" si="2"/>
        <v>51338</v>
      </c>
      <c r="I100" s="23">
        <v>155571</v>
      </c>
    </row>
    <row r="101" spans="1:9" s="6" customFormat="1" ht="34" x14ac:dyDescent="0.2">
      <c r="A101" s="9">
        <v>5500</v>
      </c>
      <c r="B101" s="8">
        <v>231</v>
      </c>
      <c r="C101" s="9">
        <v>1</v>
      </c>
      <c r="D101" s="9">
        <v>8</v>
      </c>
      <c r="E101" s="10" t="s">
        <v>318</v>
      </c>
      <c r="F101" s="11"/>
      <c r="G101" s="12">
        <f t="shared" si="3"/>
        <v>41988</v>
      </c>
      <c r="H101" s="12">
        <f t="shared" si="2"/>
        <v>20681</v>
      </c>
      <c r="I101" s="13">
        <v>62669</v>
      </c>
    </row>
    <row r="102" spans="1:9" s="6" customFormat="1" ht="17" x14ac:dyDescent="0.2">
      <c r="A102" s="21">
        <v>5500</v>
      </c>
      <c r="B102" s="20">
        <v>232</v>
      </c>
      <c r="C102" s="21">
        <v>1</v>
      </c>
      <c r="D102" s="21">
        <v>7</v>
      </c>
      <c r="E102" s="22" t="s">
        <v>319</v>
      </c>
      <c r="F102" s="5"/>
      <c r="G102" s="12">
        <f t="shared" si="3"/>
        <v>1148</v>
      </c>
      <c r="H102" s="12">
        <f t="shared" si="2"/>
        <v>565</v>
      </c>
      <c r="I102" s="23">
        <v>1713</v>
      </c>
    </row>
    <row r="103" spans="1:9" s="6" customFormat="1" ht="34" x14ac:dyDescent="0.2">
      <c r="A103" s="9">
        <v>5500</v>
      </c>
      <c r="B103" s="8">
        <v>232</v>
      </c>
      <c r="C103" s="9">
        <v>1</v>
      </c>
      <c r="D103" s="9">
        <v>8</v>
      </c>
      <c r="E103" s="10" t="s">
        <v>320</v>
      </c>
      <c r="F103" s="11"/>
      <c r="G103" s="12">
        <f t="shared" si="3"/>
        <v>462</v>
      </c>
      <c r="H103" s="12">
        <f t="shared" si="2"/>
        <v>228</v>
      </c>
      <c r="I103" s="13">
        <v>690</v>
      </c>
    </row>
    <row r="104" spans="1:9" s="6" customFormat="1" ht="34" x14ac:dyDescent="0.2">
      <c r="A104" s="21">
        <v>5500</v>
      </c>
      <c r="B104" s="20">
        <v>240</v>
      </c>
      <c r="C104" s="21">
        <v>1</v>
      </c>
      <c r="D104" s="21">
        <v>7</v>
      </c>
      <c r="E104" s="22" t="s">
        <v>321</v>
      </c>
      <c r="F104" s="5"/>
      <c r="G104" s="12">
        <f t="shared" si="3"/>
        <v>5781</v>
      </c>
      <c r="H104" s="12">
        <f t="shared" si="2"/>
        <v>2848</v>
      </c>
      <c r="I104" s="23">
        <v>8629</v>
      </c>
    </row>
    <row r="105" spans="1:9" s="6" customFormat="1" ht="34" x14ac:dyDescent="0.2">
      <c r="A105" s="9">
        <v>5500</v>
      </c>
      <c r="B105" s="8">
        <v>240</v>
      </c>
      <c r="C105" s="9">
        <v>1</v>
      </c>
      <c r="D105" s="9">
        <v>8</v>
      </c>
      <c r="E105" s="10" t="s">
        <v>322</v>
      </c>
      <c r="F105" s="11"/>
      <c r="G105" s="12">
        <f t="shared" si="3"/>
        <v>2329</v>
      </c>
      <c r="H105" s="12">
        <f t="shared" si="2"/>
        <v>1147</v>
      </c>
      <c r="I105" s="13">
        <v>3476</v>
      </c>
    </row>
    <row r="106" spans="1:9" s="6" customFormat="1" ht="17" x14ac:dyDescent="0.2">
      <c r="A106" s="9" t="s">
        <v>113</v>
      </c>
      <c r="B106" s="8">
        <v>240</v>
      </c>
      <c r="C106" s="9" t="s">
        <v>49</v>
      </c>
      <c r="D106" s="9">
        <v>14</v>
      </c>
      <c r="E106" s="10" t="s">
        <v>118</v>
      </c>
      <c r="F106" s="52"/>
      <c r="G106" s="12">
        <f t="shared" si="3"/>
        <v>237</v>
      </c>
      <c r="H106" s="12">
        <f t="shared" ref="H106:H169" si="4">ROUND(I106*0.33,0)</f>
        <v>117</v>
      </c>
      <c r="I106" s="13">
        <f>177*2</f>
        <v>354</v>
      </c>
    </row>
    <row r="107" spans="1:9" s="6" customFormat="1" ht="17" x14ac:dyDescent="0.2">
      <c r="A107" s="9">
        <v>5500</v>
      </c>
      <c r="B107" s="8">
        <v>590</v>
      </c>
      <c r="C107" s="9">
        <v>1</v>
      </c>
      <c r="D107" s="9">
        <v>9</v>
      </c>
      <c r="E107" s="10" t="s">
        <v>323</v>
      </c>
      <c r="F107" s="11"/>
      <c r="G107" s="12">
        <f t="shared" si="3"/>
        <v>116078</v>
      </c>
      <c r="H107" s="12">
        <f t="shared" si="4"/>
        <v>57173</v>
      </c>
      <c r="I107" s="13">
        <v>173250</v>
      </c>
    </row>
    <row r="108" spans="1:9" s="6" customFormat="1" ht="51" x14ac:dyDescent="0.2">
      <c r="A108" s="20">
        <v>5900</v>
      </c>
      <c r="B108" s="20">
        <v>120</v>
      </c>
      <c r="C108" s="20" t="s">
        <v>16</v>
      </c>
      <c r="D108" s="21">
        <v>4</v>
      </c>
      <c r="E108" s="22" t="s">
        <v>324</v>
      </c>
      <c r="F108" s="5"/>
      <c r="G108" s="12">
        <f t="shared" si="3"/>
        <v>2260683</v>
      </c>
      <c r="H108" s="12">
        <f t="shared" si="4"/>
        <v>1113470</v>
      </c>
      <c r="I108" s="13">
        <v>3374153</v>
      </c>
    </row>
    <row r="109" spans="1:9" s="6" customFormat="1" ht="17" x14ac:dyDescent="0.2">
      <c r="A109" s="8" t="s">
        <v>119</v>
      </c>
      <c r="B109" s="8">
        <v>120</v>
      </c>
      <c r="C109" s="8" t="s">
        <v>49</v>
      </c>
      <c r="D109" s="9">
        <v>14</v>
      </c>
      <c r="E109" s="10" t="s">
        <v>120</v>
      </c>
      <c r="F109" s="52"/>
      <c r="G109" s="12">
        <f t="shared" si="3"/>
        <v>5715</v>
      </c>
      <c r="H109" s="12">
        <f t="shared" si="4"/>
        <v>2815</v>
      </c>
      <c r="I109" s="13">
        <f>4265*2</f>
        <v>8530</v>
      </c>
    </row>
    <row r="110" spans="1:9" s="6" customFormat="1" ht="51" x14ac:dyDescent="0.2">
      <c r="A110" s="20">
        <v>5900</v>
      </c>
      <c r="B110" s="20">
        <v>150</v>
      </c>
      <c r="C110" s="20" t="s">
        <v>16</v>
      </c>
      <c r="D110" s="21">
        <v>4</v>
      </c>
      <c r="E110" s="22" t="s">
        <v>325</v>
      </c>
      <c r="F110" s="5"/>
      <c r="G110" s="12">
        <f t="shared" si="3"/>
        <v>409015</v>
      </c>
      <c r="H110" s="12">
        <f t="shared" si="4"/>
        <v>201455</v>
      </c>
      <c r="I110" s="13">
        <v>610470</v>
      </c>
    </row>
    <row r="111" spans="1:9" s="6" customFormat="1" ht="17" x14ac:dyDescent="0.2">
      <c r="A111" s="8" t="s">
        <v>119</v>
      </c>
      <c r="B111" s="8">
        <v>150</v>
      </c>
      <c r="C111" s="8" t="s">
        <v>49</v>
      </c>
      <c r="D111" s="9">
        <v>14</v>
      </c>
      <c r="E111" s="10" t="s">
        <v>121</v>
      </c>
      <c r="F111" s="52"/>
      <c r="G111" s="12">
        <f t="shared" si="3"/>
        <v>1905</v>
      </c>
      <c r="H111" s="12">
        <f t="shared" si="4"/>
        <v>939</v>
      </c>
      <c r="I111" s="13">
        <f>1422*2</f>
        <v>2844</v>
      </c>
    </row>
    <row r="112" spans="1:9" s="6" customFormat="1" ht="17" x14ac:dyDescent="0.2">
      <c r="A112" s="8" t="s">
        <v>119</v>
      </c>
      <c r="B112" s="8">
        <v>160</v>
      </c>
      <c r="C112" s="8" t="s">
        <v>49</v>
      </c>
      <c r="D112" s="9">
        <v>14</v>
      </c>
      <c r="E112" s="10" t="s">
        <v>122</v>
      </c>
      <c r="F112" s="52"/>
      <c r="G112" s="12">
        <f t="shared" si="3"/>
        <v>13334</v>
      </c>
      <c r="H112" s="12">
        <f t="shared" si="4"/>
        <v>6568</v>
      </c>
      <c r="I112" s="13">
        <f>9951*2</f>
        <v>19902</v>
      </c>
    </row>
    <row r="113" spans="1:11" s="6" customFormat="1" ht="17" x14ac:dyDescent="0.2">
      <c r="A113" s="20">
        <v>5900</v>
      </c>
      <c r="B113" s="20">
        <v>210</v>
      </c>
      <c r="C113" s="20" t="s">
        <v>16</v>
      </c>
      <c r="D113" s="21">
        <v>4</v>
      </c>
      <c r="E113" s="22" t="s">
        <v>326</v>
      </c>
      <c r="F113" s="5"/>
      <c r="G113" s="12">
        <f t="shared" si="3"/>
        <v>304613</v>
      </c>
      <c r="H113" s="12">
        <f t="shared" si="4"/>
        <v>150034</v>
      </c>
      <c r="I113" s="13">
        <v>454647</v>
      </c>
    </row>
    <row r="114" spans="1:11" s="6" customFormat="1" ht="17" x14ac:dyDescent="0.2">
      <c r="A114" s="20">
        <v>5900</v>
      </c>
      <c r="B114" s="20">
        <v>220</v>
      </c>
      <c r="C114" s="20" t="s">
        <v>16</v>
      </c>
      <c r="D114" s="21">
        <v>4</v>
      </c>
      <c r="E114" s="27" t="s">
        <v>327</v>
      </c>
      <c r="F114" s="5"/>
      <c r="G114" s="12">
        <f t="shared" si="3"/>
        <v>165521</v>
      </c>
      <c r="H114" s="12">
        <f t="shared" si="4"/>
        <v>81526</v>
      </c>
      <c r="I114" s="13">
        <v>247047</v>
      </c>
    </row>
    <row r="115" spans="1:11" s="6" customFormat="1" ht="17" x14ac:dyDescent="0.2">
      <c r="A115" s="21">
        <v>5900</v>
      </c>
      <c r="B115" s="20">
        <v>220</v>
      </c>
      <c r="C115" s="20" t="s">
        <v>16</v>
      </c>
      <c r="D115" s="21">
        <v>4</v>
      </c>
      <c r="E115" s="22" t="s">
        <v>328</v>
      </c>
      <c r="F115" s="5"/>
      <c r="G115" s="12">
        <f t="shared" si="3"/>
        <v>38711</v>
      </c>
      <c r="H115" s="12">
        <f t="shared" si="4"/>
        <v>19067</v>
      </c>
      <c r="I115" s="49">
        <v>57778</v>
      </c>
    </row>
    <row r="116" spans="1:11" s="6" customFormat="1" ht="17" x14ac:dyDescent="0.2">
      <c r="A116" s="9" t="s">
        <v>119</v>
      </c>
      <c r="B116" s="8">
        <v>220</v>
      </c>
      <c r="C116" s="8" t="s">
        <v>49</v>
      </c>
      <c r="D116" s="9">
        <v>14</v>
      </c>
      <c r="E116" s="10" t="s">
        <v>123</v>
      </c>
      <c r="F116" s="11"/>
      <c r="G116" s="12">
        <f t="shared" si="3"/>
        <v>1604</v>
      </c>
      <c r="H116" s="12">
        <f t="shared" si="4"/>
        <v>790</v>
      </c>
      <c r="I116" s="49">
        <f>1197*2</f>
        <v>2394</v>
      </c>
    </row>
    <row r="117" spans="1:11" s="6" customFormat="1" ht="34" x14ac:dyDescent="0.2">
      <c r="A117" s="20">
        <v>5900</v>
      </c>
      <c r="B117" s="20">
        <v>240</v>
      </c>
      <c r="C117" s="20" t="s">
        <v>16</v>
      </c>
      <c r="D117" s="21">
        <v>4</v>
      </c>
      <c r="E117" s="22" t="s">
        <v>490</v>
      </c>
      <c r="F117" s="5"/>
      <c r="G117" s="12">
        <f t="shared" si="3"/>
        <v>30168</v>
      </c>
      <c r="H117" s="12">
        <f t="shared" si="4"/>
        <v>14859</v>
      </c>
      <c r="I117" s="13">
        <v>45027</v>
      </c>
    </row>
    <row r="118" spans="1:11" s="6" customFormat="1" ht="17" x14ac:dyDescent="0.2">
      <c r="A118" s="8" t="s">
        <v>119</v>
      </c>
      <c r="B118" s="8">
        <v>240</v>
      </c>
      <c r="C118" s="8" t="s">
        <v>49</v>
      </c>
      <c r="D118" s="9">
        <v>14</v>
      </c>
      <c r="E118" s="10" t="s">
        <v>124</v>
      </c>
      <c r="F118" s="11"/>
      <c r="G118" s="12">
        <f t="shared" si="3"/>
        <v>237</v>
      </c>
      <c r="H118" s="12">
        <f t="shared" si="4"/>
        <v>117</v>
      </c>
      <c r="I118" s="13">
        <f>177*2</f>
        <v>354</v>
      </c>
    </row>
    <row r="119" spans="1:11" s="6" customFormat="1" ht="68" x14ac:dyDescent="0.2">
      <c r="A119" s="20">
        <v>5900</v>
      </c>
      <c r="B119" s="20">
        <v>310</v>
      </c>
      <c r="C119" s="20" t="s">
        <v>16</v>
      </c>
      <c r="D119" s="21">
        <v>4</v>
      </c>
      <c r="E119" s="24" t="s">
        <v>330</v>
      </c>
      <c r="F119" s="5"/>
      <c r="G119" s="12">
        <f t="shared" si="3"/>
        <v>26800</v>
      </c>
      <c r="H119" s="12">
        <f t="shared" si="4"/>
        <v>13200</v>
      </c>
      <c r="I119" s="28">
        <v>40000</v>
      </c>
    </row>
    <row r="120" spans="1:11" s="6" customFormat="1" ht="34" x14ac:dyDescent="0.2">
      <c r="A120" s="20">
        <v>5900</v>
      </c>
      <c r="B120" s="20">
        <v>369</v>
      </c>
      <c r="C120" s="20" t="s">
        <v>16</v>
      </c>
      <c r="D120" s="21">
        <v>6</v>
      </c>
      <c r="E120" s="24" t="s">
        <v>331</v>
      </c>
      <c r="F120" s="5"/>
      <c r="G120" s="12">
        <f t="shared" si="3"/>
        <v>84915</v>
      </c>
      <c r="H120" s="12">
        <f t="shared" si="4"/>
        <v>41824</v>
      </c>
      <c r="I120" s="23">
        <v>126739</v>
      </c>
    </row>
    <row r="121" spans="1:11" s="6" customFormat="1" ht="102" x14ac:dyDescent="0.2">
      <c r="A121" s="8">
        <v>5900</v>
      </c>
      <c r="B121" s="8">
        <v>394</v>
      </c>
      <c r="C121" s="8" t="s">
        <v>16</v>
      </c>
      <c r="D121" s="9" t="s">
        <v>25</v>
      </c>
      <c r="E121" s="10" t="s">
        <v>333</v>
      </c>
      <c r="F121" s="11"/>
      <c r="G121" s="12">
        <f t="shared" si="3"/>
        <v>20840</v>
      </c>
      <c r="H121" s="12">
        <f t="shared" si="4"/>
        <v>10264</v>
      </c>
      <c r="I121" s="13">
        <v>31104</v>
      </c>
    </row>
    <row r="122" spans="1:11" s="6" customFormat="1" ht="51" x14ac:dyDescent="0.2">
      <c r="A122" s="8">
        <v>5900</v>
      </c>
      <c r="B122" s="8">
        <v>394</v>
      </c>
      <c r="C122" s="8">
        <v>1</v>
      </c>
      <c r="D122" s="9" t="s">
        <v>24</v>
      </c>
      <c r="E122" s="10" t="s">
        <v>332</v>
      </c>
      <c r="F122" s="11"/>
      <c r="G122" s="12">
        <f t="shared" si="3"/>
        <v>22576</v>
      </c>
      <c r="H122" s="12">
        <f t="shared" si="4"/>
        <v>11120</v>
      </c>
      <c r="I122" s="13">
        <v>33696</v>
      </c>
    </row>
    <row r="123" spans="1:11" s="6" customFormat="1" ht="119" x14ac:dyDescent="0.2">
      <c r="A123" s="8">
        <v>5900</v>
      </c>
      <c r="B123" s="8">
        <v>394</v>
      </c>
      <c r="C123" s="8">
        <v>1</v>
      </c>
      <c r="D123" s="9" t="s">
        <v>28</v>
      </c>
      <c r="E123" s="17" t="s">
        <v>335</v>
      </c>
      <c r="F123" s="11"/>
      <c r="G123" s="12">
        <f t="shared" si="3"/>
        <v>65121</v>
      </c>
      <c r="H123" s="12">
        <f t="shared" si="4"/>
        <v>32074</v>
      </c>
      <c r="I123" s="13">
        <v>97195</v>
      </c>
    </row>
    <row r="124" spans="1:11" s="6" customFormat="1" ht="85" x14ac:dyDescent="0.2">
      <c r="A124" s="8">
        <v>5900</v>
      </c>
      <c r="B124" s="8">
        <v>394</v>
      </c>
      <c r="C124" s="8" t="s">
        <v>26</v>
      </c>
      <c r="D124" s="29" t="s">
        <v>27</v>
      </c>
      <c r="E124" s="17" t="s">
        <v>334</v>
      </c>
      <c r="F124" s="11"/>
      <c r="G124" s="12">
        <f t="shared" si="3"/>
        <v>53467</v>
      </c>
      <c r="H124" s="12">
        <f t="shared" si="4"/>
        <v>26335</v>
      </c>
      <c r="I124" s="13">
        <v>79802</v>
      </c>
    </row>
    <row r="125" spans="1:11" ht="34" x14ac:dyDescent="0.2">
      <c r="A125" s="20">
        <v>5900</v>
      </c>
      <c r="B125" s="20">
        <v>510</v>
      </c>
      <c r="C125" s="20" t="s">
        <v>16</v>
      </c>
      <c r="D125" s="21">
        <v>6</v>
      </c>
      <c r="E125" s="22" t="s">
        <v>336</v>
      </c>
      <c r="F125" s="5"/>
      <c r="G125" s="12">
        <f t="shared" si="3"/>
        <v>146010</v>
      </c>
      <c r="H125" s="12">
        <f t="shared" si="4"/>
        <v>71916</v>
      </c>
      <c r="I125" s="23">
        <v>217926</v>
      </c>
    </row>
    <row r="126" spans="1:11" s="15" customFormat="1" ht="34" x14ac:dyDescent="0.2">
      <c r="A126" s="20">
        <v>5900</v>
      </c>
      <c r="B126" s="20">
        <v>590</v>
      </c>
      <c r="C126" s="20" t="s">
        <v>16</v>
      </c>
      <c r="D126" s="21">
        <v>6</v>
      </c>
      <c r="E126" s="22" t="s">
        <v>337</v>
      </c>
      <c r="F126" s="5"/>
      <c r="G126" s="12">
        <f t="shared" si="3"/>
        <v>267774</v>
      </c>
      <c r="H126" s="12">
        <f t="shared" si="4"/>
        <v>131888</v>
      </c>
      <c r="I126" s="23">
        <v>399662</v>
      </c>
      <c r="J126" s="14"/>
    </row>
    <row r="127" spans="1:11" ht="17" x14ac:dyDescent="0.2">
      <c r="A127" s="8" t="s">
        <v>125</v>
      </c>
      <c r="B127" s="8">
        <v>110</v>
      </c>
      <c r="C127" s="8" t="s">
        <v>49</v>
      </c>
      <c r="D127" s="9">
        <v>14</v>
      </c>
      <c r="E127" s="10" t="s">
        <v>126</v>
      </c>
      <c r="F127" s="52"/>
      <c r="G127" s="12">
        <f t="shared" si="3"/>
        <v>17144</v>
      </c>
      <c r="H127" s="12">
        <f t="shared" si="4"/>
        <v>8444</v>
      </c>
      <c r="I127" s="13">
        <f>12794*2</f>
        <v>25588</v>
      </c>
      <c r="J127" s="14"/>
      <c r="K127" s="15"/>
    </row>
    <row r="128" spans="1:11" ht="17" x14ac:dyDescent="0.2">
      <c r="A128" s="8" t="s">
        <v>125</v>
      </c>
      <c r="B128" s="8">
        <v>130</v>
      </c>
      <c r="C128" s="8" t="s">
        <v>49</v>
      </c>
      <c r="D128" s="9">
        <v>14</v>
      </c>
      <c r="E128" s="10" t="s">
        <v>127</v>
      </c>
      <c r="F128" s="52"/>
      <c r="G128" s="12">
        <f t="shared" si="3"/>
        <v>326212</v>
      </c>
      <c r="H128" s="12">
        <f t="shared" si="4"/>
        <v>160672</v>
      </c>
      <c r="I128" s="13">
        <f>243442*2</f>
        <v>486884</v>
      </c>
      <c r="J128" s="14"/>
      <c r="K128" s="15"/>
    </row>
    <row r="129" spans="1:11" ht="17" x14ac:dyDescent="0.2">
      <c r="A129" s="8" t="s">
        <v>125</v>
      </c>
      <c r="B129" s="8">
        <v>150</v>
      </c>
      <c r="C129" s="8" t="s">
        <v>49</v>
      </c>
      <c r="D129" s="9">
        <v>14</v>
      </c>
      <c r="E129" s="10" t="s">
        <v>128</v>
      </c>
      <c r="F129" s="52"/>
      <c r="G129" s="12">
        <f t="shared" si="3"/>
        <v>24762</v>
      </c>
      <c r="H129" s="12">
        <f t="shared" si="4"/>
        <v>12196</v>
      </c>
      <c r="I129" s="13">
        <f>18479*2</f>
        <v>36958</v>
      </c>
      <c r="J129" s="14"/>
      <c r="K129" s="15"/>
    </row>
    <row r="130" spans="1:11" ht="17" x14ac:dyDescent="0.2">
      <c r="A130" s="8" t="s">
        <v>125</v>
      </c>
      <c r="B130" s="8">
        <v>160</v>
      </c>
      <c r="C130" s="8" t="s">
        <v>49</v>
      </c>
      <c r="D130" s="9">
        <v>14</v>
      </c>
      <c r="E130" s="10" t="s">
        <v>129</v>
      </c>
      <c r="F130" s="52"/>
      <c r="G130" s="12">
        <f t="shared" ref="G130:G193" si="5">ROUND(I130*0.67,0)</f>
        <v>284762</v>
      </c>
      <c r="H130" s="12">
        <f t="shared" si="4"/>
        <v>140256</v>
      </c>
      <c r="I130" s="13">
        <f>212509*2</f>
        <v>425018</v>
      </c>
      <c r="J130" s="14"/>
      <c r="K130" s="15"/>
    </row>
    <row r="131" spans="1:11" ht="34" x14ac:dyDescent="0.2">
      <c r="A131" s="8" t="s">
        <v>125</v>
      </c>
      <c r="B131" s="8">
        <v>220</v>
      </c>
      <c r="C131" s="8" t="s">
        <v>49</v>
      </c>
      <c r="D131" s="9">
        <v>14</v>
      </c>
      <c r="E131" s="10" t="s">
        <v>130</v>
      </c>
      <c r="F131" s="11"/>
      <c r="G131" s="12">
        <f t="shared" si="5"/>
        <v>49944</v>
      </c>
      <c r="H131" s="12">
        <f t="shared" si="4"/>
        <v>24600</v>
      </c>
      <c r="I131" s="13">
        <f>37272*2</f>
        <v>74544</v>
      </c>
      <c r="J131" s="14"/>
      <c r="K131" s="15"/>
    </row>
    <row r="132" spans="1:11" ht="17" x14ac:dyDescent="0.2">
      <c r="A132" s="8" t="s">
        <v>125</v>
      </c>
      <c r="B132" s="8">
        <v>240</v>
      </c>
      <c r="C132" s="8" t="s">
        <v>49</v>
      </c>
      <c r="D132" s="9">
        <v>14</v>
      </c>
      <c r="E132" s="10" t="s">
        <v>131</v>
      </c>
      <c r="F132" s="11"/>
      <c r="G132" s="12">
        <f t="shared" si="5"/>
        <v>7377</v>
      </c>
      <c r="H132" s="12">
        <f t="shared" si="4"/>
        <v>3633</v>
      </c>
      <c r="I132" s="13">
        <f>5505*2</f>
        <v>11010</v>
      </c>
      <c r="J132" s="14"/>
      <c r="K132" s="15"/>
    </row>
    <row r="133" spans="1:11" ht="34" x14ac:dyDescent="0.2">
      <c r="A133" s="20">
        <v>6100</v>
      </c>
      <c r="B133" s="20">
        <v>394</v>
      </c>
      <c r="C133" s="20" t="s">
        <v>29</v>
      </c>
      <c r="D133" s="21" t="s">
        <v>30</v>
      </c>
      <c r="E133" s="22" t="s">
        <v>338</v>
      </c>
      <c r="F133" s="5"/>
      <c r="G133" s="12">
        <f t="shared" si="5"/>
        <v>95907</v>
      </c>
      <c r="H133" s="12">
        <f t="shared" si="4"/>
        <v>47238</v>
      </c>
      <c r="I133" s="13">
        <v>143145</v>
      </c>
      <c r="J133" s="14"/>
      <c r="K133" s="15"/>
    </row>
    <row r="134" spans="1:11" ht="17" x14ac:dyDescent="0.2">
      <c r="A134" s="8" t="s">
        <v>132</v>
      </c>
      <c r="B134" s="8">
        <v>130</v>
      </c>
      <c r="C134" s="8" t="s">
        <v>49</v>
      </c>
      <c r="D134" s="9">
        <v>14</v>
      </c>
      <c r="E134" s="10" t="s">
        <v>133</v>
      </c>
      <c r="F134" s="52"/>
      <c r="G134" s="12">
        <f t="shared" si="5"/>
        <v>38096</v>
      </c>
      <c r="H134" s="12">
        <f t="shared" si="4"/>
        <v>18764</v>
      </c>
      <c r="I134" s="13">
        <f>28430*2</f>
        <v>56860</v>
      </c>
      <c r="J134" s="14"/>
      <c r="K134" s="15"/>
    </row>
    <row r="135" spans="1:11" ht="17" x14ac:dyDescent="0.2">
      <c r="A135" s="8" t="s">
        <v>132</v>
      </c>
      <c r="B135" s="8">
        <v>150</v>
      </c>
      <c r="C135" s="8" t="s">
        <v>49</v>
      </c>
      <c r="D135" s="9">
        <v>14</v>
      </c>
      <c r="E135" s="10" t="s">
        <v>134</v>
      </c>
      <c r="F135" s="52"/>
      <c r="G135" s="12">
        <f t="shared" si="5"/>
        <v>32381</v>
      </c>
      <c r="H135" s="12">
        <f t="shared" si="4"/>
        <v>15949</v>
      </c>
      <c r="I135" s="13">
        <f>24165*2</f>
        <v>48330</v>
      </c>
      <c r="J135" s="14"/>
      <c r="K135" s="15"/>
    </row>
    <row r="136" spans="1:11" ht="17" x14ac:dyDescent="0.2">
      <c r="A136" s="8" t="s">
        <v>132</v>
      </c>
      <c r="B136" s="8">
        <v>160</v>
      </c>
      <c r="C136" s="8" t="s">
        <v>49</v>
      </c>
      <c r="D136" s="9">
        <v>14</v>
      </c>
      <c r="E136" s="10" t="s">
        <v>135</v>
      </c>
      <c r="F136" s="52"/>
      <c r="G136" s="12">
        <f t="shared" si="5"/>
        <v>1905</v>
      </c>
      <c r="H136" s="12">
        <f t="shared" si="4"/>
        <v>939</v>
      </c>
      <c r="I136" s="13">
        <f>1422*2</f>
        <v>2844</v>
      </c>
      <c r="J136" s="14"/>
      <c r="K136" s="15"/>
    </row>
    <row r="137" spans="1:11" ht="34" x14ac:dyDescent="0.2">
      <c r="A137" s="8" t="s">
        <v>132</v>
      </c>
      <c r="B137" s="8">
        <v>220</v>
      </c>
      <c r="C137" s="8" t="s">
        <v>49</v>
      </c>
      <c r="D137" s="9">
        <v>14</v>
      </c>
      <c r="E137" s="10" t="s">
        <v>136</v>
      </c>
      <c r="F137" s="11"/>
      <c r="G137" s="12">
        <f t="shared" si="5"/>
        <v>5538</v>
      </c>
      <c r="H137" s="12">
        <f t="shared" si="4"/>
        <v>2728</v>
      </c>
      <c r="I137" s="13">
        <f>4133*2</f>
        <v>8266</v>
      </c>
      <c r="J137" s="14"/>
      <c r="K137" s="15"/>
    </row>
    <row r="138" spans="1:11" ht="17" x14ac:dyDescent="0.2">
      <c r="A138" s="8" t="s">
        <v>132</v>
      </c>
      <c r="B138" s="8">
        <v>240</v>
      </c>
      <c r="C138" s="8" t="s">
        <v>49</v>
      </c>
      <c r="D138" s="9">
        <v>14</v>
      </c>
      <c r="E138" s="10" t="s">
        <v>137</v>
      </c>
      <c r="F138" s="11"/>
      <c r="G138" s="12">
        <f t="shared" si="5"/>
        <v>819</v>
      </c>
      <c r="H138" s="12">
        <f t="shared" si="4"/>
        <v>403</v>
      </c>
      <c r="I138" s="13">
        <f>611*2</f>
        <v>1222</v>
      </c>
      <c r="J138" s="14"/>
      <c r="K138" s="15"/>
    </row>
    <row r="139" spans="1:11" ht="85" x14ac:dyDescent="0.2">
      <c r="A139" s="20">
        <v>6120</v>
      </c>
      <c r="B139" s="20">
        <v>130</v>
      </c>
      <c r="C139" s="20" t="s">
        <v>29</v>
      </c>
      <c r="D139" s="21">
        <v>2</v>
      </c>
      <c r="E139" s="22" t="s">
        <v>339</v>
      </c>
      <c r="F139" s="5"/>
      <c r="G139" s="12">
        <f t="shared" si="5"/>
        <v>539549</v>
      </c>
      <c r="H139" s="12">
        <f t="shared" si="4"/>
        <v>265748</v>
      </c>
      <c r="I139" s="13">
        <v>805297</v>
      </c>
      <c r="J139" s="14"/>
      <c r="K139" s="15"/>
    </row>
    <row r="140" spans="1:11" ht="85" x14ac:dyDescent="0.2">
      <c r="A140" s="20">
        <v>6120</v>
      </c>
      <c r="B140" s="20">
        <v>130</v>
      </c>
      <c r="C140" s="20" t="s">
        <v>31</v>
      </c>
      <c r="D140" s="21">
        <v>3</v>
      </c>
      <c r="E140" s="22" t="s">
        <v>32</v>
      </c>
      <c r="F140" s="5"/>
      <c r="G140" s="12">
        <f t="shared" si="5"/>
        <v>227043</v>
      </c>
      <c r="H140" s="12">
        <f t="shared" si="4"/>
        <v>111827</v>
      </c>
      <c r="I140" s="13">
        <v>338870</v>
      </c>
      <c r="J140" s="14"/>
      <c r="K140" s="15"/>
    </row>
    <row r="141" spans="1:11" ht="17" x14ac:dyDescent="0.2">
      <c r="A141" s="20">
        <v>6120</v>
      </c>
      <c r="B141" s="20">
        <v>210</v>
      </c>
      <c r="C141" s="20" t="s">
        <v>31</v>
      </c>
      <c r="D141" s="21" t="s">
        <v>33</v>
      </c>
      <c r="E141" s="22" t="s">
        <v>340</v>
      </c>
      <c r="F141" s="5"/>
      <c r="G141" s="12">
        <f t="shared" si="5"/>
        <v>87469</v>
      </c>
      <c r="H141" s="12">
        <f t="shared" si="4"/>
        <v>43082</v>
      </c>
      <c r="I141" s="13">
        <v>130551</v>
      </c>
      <c r="J141" s="14"/>
      <c r="K141" s="15"/>
    </row>
    <row r="142" spans="1:11" ht="17" x14ac:dyDescent="0.2">
      <c r="A142" s="20">
        <v>6120</v>
      </c>
      <c r="B142" s="20">
        <v>220</v>
      </c>
      <c r="C142" s="20" t="s">
        <v>31</v>
      </c>
      <c r="D142" s="21" t="s">
        <v>33</v>
      </c>
      <c r="E142" s="22" t="s">
        <v>341</v>
      </c>
      <c r="F142" s="5"/>
      <c r="G142" s="12">
        <f t="shared" si="5"/>
        <v>47529</v>
      </c>
      <c r="H142" s="12">
        <f t="shared" si="4"/>
        <v>23410</v>
      </c>
      <c r="I142" s="13">
        <v>70939</v>
      </c>
      <c r="J142" s="14"/>
      <c r="K142" s="15"/>
    </row>
    <row r="143" spans="1:11" ht="34" x14ac:dyDescent="0.2">
      <c r="A143" s="20">
        <v>6120</v>
      </c>
      <c r="B143" s="20">
        <v>220</v>
      </c>
      <c r="C143" s="20" t="s">
        <v>31</v>
      </c>
      <c r="D143" s="21" t="s">
        <v>33</v>
      </c>
      <c r="E143" s="22" t="s">
        <v>344</v>
      </c>
      <c r="F143" s="5"/>
      <c r="G143" s="12">
        <f t="shared" si="5"/>
        <v>11116</v>
      </c>
      <c r="H143" s="12">
        <f t="shared" si="4"/>
        <v>5475</v>
      </c>
      <c r="I143" s="13">
        <v>16591</v>
      </c>
      <c r="J143" s="14"/>
      <c r="K143" s="15"/>
    </row>
    <row r="144" spans="1:11" ht="17" x14ac:dyDescent="0.2">
      <c r="A144" s="20">
        <v>6120</v>
      </c>
      <c r="B144" s="20">
        <v>231</v>
      </c>
      <c r="C144" s="20" t="s">
        <v>31</v>
      </c>
      <c r="D144" s="21" t="s">
        <v>33</v>
      </c>
      <c r="E144" s="22" t="s">
        <v>342</v>
      </c>
      <c r="F144" s="5"/>
      <c r="G144" s="12">
        <f t="shared" si="5"/>
        <v>38802</v>
      </c>
      <c r="H144" s="12">
        <f t="shared" si="4"/>
        <v>19111</v>
      </c>
      <c r="I144" s="13">
        <v>57913</v>
      </c>
      <c r="J144" s="14"/>
      <c r="K144" s="15"/>
    </row>
    <row r="145" spans="1:55" ht="17" x14ac:dyDescent="0.2">
      <c r="A145" s="20">
        <v>6120</v>
      </c>
      <c r="B145" s="20">
        <v>232</v>
      </c>
      <c r="C145" s="20" t="s">
        <v>31</v>
      </c>
      <c r="D145" s="21" t="s">
        <v>33</v>
      </c>
      <c r="E145" s="22" t="s">
        <v>343</v>
      </c>
      <c r="F145" s="5"/>
      <c r="G145" s="12">
        <f t="shared" si="5"/>
        <v>592</v>
      </c>
      <c r="H145" s="12">
        <f t="shared" si="4"/>
        <v>292</v>
      </c>
      <c r="I145" s="13">
        <v>884</v>
      </c>
      <c r="J145" s="14"/>
      <c r="K145" s="15"/>
    </row>
    <row r="146" spans="1:55" ht="34" x14ac:dyDescent="0.2">
      <c r="A146" s="20">
        <v>6120</v>
      </c>
      <c r="B146" s="20">
        <v>240</v>
      </c>
      <c r="C146" s="20" t="s">
        <v>31</v>
      </c>
      <c r="D146" s="21" t="s">
        <v>33</v>
      </c>
      <c r="E146" s="22" t="s">
        <v>345</v>
      </c>
      <c r="F146" s="5"/>
      <c r="G146" s="12">
        <f t="shared" si="5"/>
        <v>9389</v>
      </c>
      <c r="H146" s="12">
        <f t="shared" si="4"/>
        <v>4625</v>
      </c>
      <c r="I146" s="13">
        <v>14014</v>
      </c>
      <c r="J146" s="14"/>
      <c r="K146" s="15"/>
    </row>
    <row r="147" spans="1:55" ht="34" x14ac:dyDescent="0.2">
      <c r="A147" s="20">
        <v>6120</v>
      </c>
      <c r="B147" s="20">
        <v>394</v>
      </c>
      <c r="C147" s="20" t="s">
        <v>31</v>
      </c>
      <c r="D147" s="21" t="s">
        <v>487</v>
      </c>
      <c r="E147" s="22" t="s">
        <v>346</v>
      </c>
      <c r="F147" s="5"/>
      <c r="G147" s="12">
        <f t="shared" si="5"/>
        <v>72245</v>
      </c>
      <c r="H147" s="12">
        <f t="shared" si="4"/>
        <v>35583</v>
      </c>
      <c r="I147" s="13">
        <v>107828</v>
      </c>
      <c r="J147" s="14"/>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row>
    <row r="148" spans="1:55" ht="51" x14ac:dyDescent="0.2">
      <c r="A148" s="20">
        <v>6130</v>
      </c>
      <c r="B148" s="20">
        <v>130</v>
      </c>
      <c r="C148" s="20" t="s">
        <v>34</v>
      </c>
      <c r="D148" s="21">
        <v>1</v>
      </c>
      <c r="E148" s="22" t="s">
        <v>347</v>
      </c>
      <c r="F148" s="5"/>
      <c r="G148" s="12">
        <f t="shared" si="5"/>
        <v>15973</v>
      </c>
      <c r="H148" s="12">
        <f t="shared" si="4"/>
        <v>7867</v>
      </c>
      <c r="I148" s="23">
        <v>23840</v>
      </c>
      <c r="J148" s="14"/>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row>
    <row r="149" spans="1:55" s="34" customFormat="1" ht="17" x14ac:dyDescent="0.2">
      <c r="A149" s="8" t="s">
        <v>138</v>
      </c>
      <c r="B149" s="8">
        <v>130</v>
      </c>
      <c r="C149" s="8" t="s">
        <v>49</v>
      </c>
      <c r="D149" s="9">
        <v>14</v>
      </c>
      <c r="E149" s="10" t="s">
        <v>139</v>
      </c>
      <c r="F149" s="52"/>
      <c r="G149" s="12">
        <f t="shared" si="5"/>
        <v>11429</v>
      </c>
      <c r="H149" s="12">
        <f t="shared" si="4"/>
        <v>5629</v>
      </c>
      <c r="I149" s="13">
        <f>8529*2</f>
        <v>17058</v>
      </c>
      <c r="J149" s="14"/>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row>
    <row r="150" spans="1:55" ht="17" x14ac:dyDescent="0.2">
      <c r="A150" s="8" t="s">
        <v>138</v>
      </c>
      <c r="B150" s="8">
        <v>150</v>
      </c>
      <c r="C150" s="8" t="s">
        <v>49</v>
      </c>
      <c r="D150" s="9">
        <v>14</v>
      </c>
      <c r="E150" s="10" t="s">
        <v>140</v>
      </c>
      <c r="F150" s="52"/>
      <c r="G150" s="12">
        <f t="shared" si="5"/>
        <v>72381</v>
      </c>
      <c r="H150" s="12">
        <f t="shared" si="4"/>
        <v>35651</v>
      </c>
      <c r="I150" s="13">
        <f>54016*2</f>
        <v>108032</v>
      </c>
      <c r="J150" s="14"/>
      <c r="K150" s="15"/>
    </row>
    <row r="151" spans="1:55" ht="34" x14ac:dyDescent="0.2">
      <c r="A151" s="20">
        <v>6130</v>
      </c>
      <c r="B151" s="20">
        <v>160</v>
      </c>
      <c r="C151" s="20" t="s">
        <v>34</v>
      </c>
      <c r="D151" s="21">
        <v>2</v>
      </c>
      <c r="E151" s="22" t="s">
        <v>348</v>
      </c>
      <c r="F151" s="5"/>
      <c r="G151" s="12">
        <f t="shared" si="5"/>
        <v>196624</v>
      </c>
      <c r="H151" s="12">
        <f t="shared" si="4"/>
        <v>96844</v>
      </c>
      <c r="I151" s="23">
        <v>293468</v>
      </c>
      <c r="J151" s="14"/>
      <c r="K151" s="15"/>
    </row>
    <row r="152" spans="1:55" ht="34" x14ac:dyDescent="0.2">
      <c r="A152" s="20">
        <v>6130</v>
      </c>
      <c r="B152" s="20">
        <v>160</v>
      </c>
      <c r="C152" s="20" t="s">
        <v>35</v>
      </c>
      <c r="D152" s="21">
        <v>9</v>
      </c>
      <c r="E152" s="22" t="s">
        <v>36</v>
      </c>
      <c r="F152" s="5"/>
      <c r="G152" s="12">
        <f t="shared" si="5"/>
        <v>65655</v>
      </c>
      <c r="H152" s="12">
        <f t="shared" si="4"/>
        <v>32337</v>
      </c>
      <c r="I152" s="23">
        <v>97992</v>
      </c>
      <c r="J152" s="14"/>
      <c r="K152" s="15"/>
    </row>
    <row r="153" spans="1:55" ht="17" x14ac:dyDescent="0.2">
      <c r="A153" s="20">
        <v>6130</v>
      </c>
      <c r="B153" s="20">
        <v>210</v>
      </c>
      <c r="C153" s="20" t="s">
        <v>34</v>
      </c>
      <c r="D153" s="21">
        <v>1</v>
      </c>
      <c r="E153" s="24" t="s">
        <v>349</v>
      </c>
      <c r="F153" s="5"/>
      <c r="G153" s="12">
        <f t="shared" si="5"/>
        <v>1823</v>
      </c>
      <c r="H153" s="12">
        <f t="shared" si="4"/>
        <v>898</v>
      </c>
      <c r="I153" s="23">
        <v>2721</v>
      </c>
      <c r="J153" s="14"/>
      <c r="K153" s="15"/>
    </row>
    <row r="154" spans="1:55" ht="34" x14ac:dyDescent="0.2">
      <c r="A154" s="20">
        <v>6130</v>
      </c>
      <c r="B154" s="20">
        <v>210</v>
      </c>
      <c r="C154" s="20" t="s">
        <v>34</v>
      </c>
      <c r="D154" s="21">
        <v>2</v>
      </c>
      <c r="E154" s="22" t="s">
        <v>350</v>
      </c>
      <c r="F154" s="5"/>
      <c r="G154" s="12">
        <f t="shared" si="5"/>
        <v>20862</v>
      </c>
      <c r="H154" s="12">
        <f t="shared" si="4"/>
        <v>10275</v>
      </c>
      <c r="I154" s="23">
        <v>31137</v>
      </c>
      <c r="J154" s="14"/>
      <c r="K154" s="15"/>
    </row>
    <row r="155" spans="1:55" ht="17" x14ac:dyDescent="0.2">
      <c r="A155" s="21">
        <v>6130</v>
      </c>
      <c r="B155" s="20">
        <v>210</v>
      </c>
      <c r="C155" s="20" t="s">
        <v>35</v>
      </c>
      <c r="D155" s="21">
        <v>9</v>
      </c>
      <c r="E155" s="22" t="s">
        <v>37</v>
      </c>
      <c r="F155" s="5"/>
      <c r="G155" s="12">
        <f t="shared" si="5"/>
        <v>7492</v>
      </c>
      <c r="H155" s="12">
        <f t="shared" si="4"/>
        <v>3690</v>
      </c>
      <c r="I155" s="23">
        <v>11182</v>
      </c>
      <c r="J155" s="14"/>
      <c r="K155" s="15"/>
    </row>
    <row r="156" spans="1:55" ht="34" x14ac:dyDescent="0.2">
      <c r="A156" s="21">
        <v>6130</v>
      </c>
      <c r="B156" s="20">
        <v>220</v>
      </c>
      <c r="C156" s="20" t="s">
        <v>34</v>
      </c>
      <c r="D156" s="21">
        <v>1</v>
      </c>
      <c r="E156" s="22" t="s">
        <v>351</v>
      </c>
      <c r="F156" s="5"/>
      <c r="G156" s="12">
        <f t="shared" si="5"/>
        <v>991</v>
      </c>
      <c r="H156" s="12">
        <f t="shared" si="4"/>
        <v>488</v>
      </c>
      <c r="I156" s="23">
        <v>1479</v>
      </c>
      <c r="J156" s="14"/>
      <c r="K156" s="15"/>
    </row>
    <row r="157" spans="1:55" ht="34" x14ac:dyDescent="0.2">
      <c r="A157" s="21">
        <v>6130</v>
      </c>
      <c r="B157" s="20">
        <v>220</v>
      </c>
      <c r="C157" s="20" t="s">
        <v>34</v>
      </c>
      <c r="D157" s="21">
        <v>1</v>
      </c>
      <c r="E157" s="22" t="s">
        <v>352</v>
      </c>
      <c r="F157" s="5"/>
      <c r="G157" s="12">
        <f t="shared" si="5"/>
        <v>232</v>
      </c>
      <c r="H157" s="12">
        <f t="shared" si="4"/>
        <v>114</v>
      </c>
      <c r="I157" s="23">
        <v>346</v>
      </c>
      <c r="J157" s="14"/>
      <c r="K157" s="15"/>
    </row>
    <row r="158" spans="1:55" ht="34" x14ac:dyDescent="0.2">
      <c r="A158" s="21">
        <v>6130</v>
      </c>
      <c r="B158" s="20">
        <v>220</v>
      </c>
      <c r="C158" s="20" t="s">
        <v>34</v>
      </c>
      <c r="D158" s="21">
        <v>2</v>
      </c>
      <c r="E158" s="22" t="s">
        <v>353</v>
      </c>
      <c r="F158" s="5"/>
      <c r="G158" s="12">
        <f t="shared" si="5"/>
        <v>12191</v>
      </c>
      <c r="H158" s="12">
        <f t="shared" si="4"/>
        <v>6005</v>
      </c>
      <c r="I158" s="23">
        <v>18196</v>
      </c>
      <c r="J158" s="14"/>
      <c r="K158" s="15"/>
    </row>
    <row r="159" spans="1:55" ht="34" x14ac:dyDescent="0.2">
      <c r="A159" s="21">
        <v>6130</v>
      </c>
      <c r="B159" s="20">
        <v>220</v>
      </c>
      <c r="C159" s="20" t="s">
        <v>34</v>
      </c>
      <c r="D159" s="21">
        <v>2</v>
      </c>
      <c r="E159" s="22" t="s">
        <v>354</v>
      </c>
      <c r="F159" s="5"/>
      <c r="G159" s="12">
        <f t="shared" si="5"/>
        <v>2852</v>
      </c>
      <c r="H159" s="12">
        <f t="shared" si="4"/>
        <v>1404</v>
      </c>
      <c r="I159" s="23">
        <v>4256</v>
      </c>
      <c r="J159" s="14"/>
      <c r="K159" s="15"/>
    </row>
    <row r="160" spans="1:55" ht="17" x14ac:dyDescent="0.2">
      <c r="A160" s="21">
        <v>6130</v>
      </c>
      <c r="B160" s="20">
        <v>220</v>
      </c>
      <c r="C160" s="20" t="s">
        <v>35</v>
      </c>
      <c r="D160" s="21">
        <v>9</v>
      </c>
      <c r="E160" s="22" t="s">
        <v>38</v>
      </c>
      <c r="F160" s="5"/>
      <c r="G160" s="12">
        <f t="shared" si="5"/>
        <v>4071</v>
      </c>
      <c r="H160" s="12">
        <f t="shared" si="4"/>
        <v>2005</v>
      </c>
      <c r="I160" s="23">
        <v>6076</v>
      </c>
      <c r="J160" s="14"/>
      <c r="K160" s="15"/>
    </row>
    <row r="161" spans="1:11" ht="17" x14ac:dyDescent="0.2">
      <c r="A161" s="21">
        <v>6130</v>
      </c>
      <c r="B161" s="20">
        <v>220</v>
      </c>
      <c r="C161" s="20" t="s">
        <v>35</v>
      </c>
      <c r="D161" s="21">
        <v>9</v>
      </c>
      <c r="E161" s="22" t="s">
        <v>41</v>
      </c>
      <c r="F161" s="5"/>
      <c r="G161" s="12">
        <f t="shared" si="5"/>
        <v>953</v>
      </c>
      <c r="H161" s="12">
        <f t="shared" si="4"/>
        <v>469</v>
      </c>
      <c r="I161" s="23">
        <v>1422</v>
      </c>
      <c r="J161" s="14"/>
      <c r="K161" s="15"/>
    </row>
    <row r="162" spans="1:11" ht="17" x14ac:dyDescent="0.2">
      <c r="A162" s="9" t="s">
        <v>138</v>
      </c>
      <c r="B162" s="8">
        <v>220</v>
      </c>
      <c r="C162" s="8" t="s">
        <v>49</v>
      </c>
      <c r="D162" s="9">
        <v>14</v>
      </c>
      <c r="E162" s="10" t="s">
        <v>141</v>
      </c>
      <c r="F162" s="11"/>
      <c r="G162" s="12">
        <f t="shared" si="5"/>
        <v>6412</v>
      </c>
      <c r="H162" s="12">
        <f t="shared" si="4"/>
        <v>3158</v>
      </c>
      <c r="I162" s="13">
        <f>4785*2</f>
        <v>9570</v>
      </c>
      <c r="J162" s="14"/>
      <c r="K162" s="15"/>
    </row>
    <row r="163" spans="1:11" ht="34" x14ac:dyDescent="0.2">
      <c r="A163" s="20">
        <v>6130</v>
      </c>
      <c r="B163" s="20">
        <v>231</v>
      </c>
      <c r="C163" s="20" t="s">
        <v>35</v>
      </c>
      <c r="D163" s="21">
        <v>9</v>
      </c>
      <c r="E163" s="22" t="s">
        <v>39</v>
      </c>
      <c r="F163" s="5"/>
      <c r="G163" s="12">
        <f t="shared" si="5"/>
        <v>11221</v>
      </c>
      <c r="H163" s="12">
        <f t="shared" si="4"/>
        <v>5527</v>
      </c>
      <c r="I163" s="23">
        <v>16748</v>
      </c>
      <c r="J163" s="14"/>
      <c r="K163" s="15"/>
    </row>
    <row r="164" spans="1:11" ht="34" x14ac:dyDescent="0.2">
      <c r="A164" s="20">
        <v>6130</v>
      </c>
      <c r="B164" s="20">
        <v>232</v>
      </c>
      <c r="C164" s="20" t="s">
        <v>35</v>
      </c>
      <c r="D164" s="21">
        <v>9</v>
      </c>
      <c r="E164" s="22" t="s">
        <v>40</v>
      </c>
      <c r="F164" s="5"/>
      <c r="G164" s="12">
        <f t="shared" si="5"/>
        <v>742</v>
      </c>
      <c r="H164" s="12">
        <f t="shared" si="4"/>
        <v>366</v>
      </c>
      <c r="I164" s="23">
        <v>1108</v>
      </c>
    </row>
    <row r="165" spans="1:11" ht="51" x14ac:dyDescent="0.2">
      <c r="A165" s="20">
        <v>6130</v>
      </c>
      <c r="B165" s="20">
        <v>240</v>
      </c>
      <c r="C165" s="20" t="s">
        <v>34</v>
      </c>
      <c r="D165" s="21">
        <v>1</v>
      </c>
      <c r="E165" s="22" t="s">
        <v>355</v>
      </c>
      <c r="F165" s="5"/>
      <c r="G165" s="12">
        <f t="shared" si="5"/>
        <v>181</v>
      </c>
      <c r="H165" s="12">
        <f t="shared" si="4"/>
        <v>89</v>
      </c>
      <c r="I165" s="23">
        <v>270</v>
      </c>
    </row>
    <row r="166" spans="1:11" ht="51" x14ac:dyDescent="0.2">
      <c r="A166" s="21">
        <v>6130</v>
      </c>
      <c r="B166" s="20">
        <v>240</v>
      </c>
      <c r="C166" s="20" t="s">
        <v>34</v>
      </c>
      <c r="D166" s="21">
        <v>2</v>
      </c>
      <c r="E166" s="22" t="s">
        <v>356</v>
      </c>
      <c r="F166" s="5"/>
      <c r="G166" s="12">
        <f t="shared" si="5"/>
        <v>2576</v>
      </c>
      <c r="H166" s="12">
        <f t="shared" si="4"/>
        <v>1269</v>
      </c>
      <c r="I166" s="23">
        <v>3845</v>
      </c>
    </row>
    <row r="167" spans="1:11" ht="34" x14ac:dyDescent="0.2">
      <c r="A167" s="21">
        <v>6130</v>
      </c>
      <c r="B167" s="20">
        <v>240</v>
      </c>
      <c r="C167" s="20" t="s">
        <v>35</v>
      </c>
      <c r="D167" s="21">
        <v>9</v>
      </c>
      <c r="E167" s="22" t="s">
        <v>42</v>
      </c>
      <c r="F167" s="5"/>
      <c r="G167" s="12">
        <f t="shared" si="5"/>
        <v>742</v>
      </c>
      <c r="H167" s="12">
        <f t="shared" si="4"/>
        <v>366</v>
      </c>
      <c r="I167" s="23">
        <v>1108</v>
      </c>
    </row>
    <row r="168" spans="1:11" ht="17" x14ac:dyDescent="0.2">
      <c r="A168" s="9" t="s">
        <v>138</v>
      </c>
      <c r="B168" s="8">
        <v>240</v>
      </c>
      <c r="C168" s="8" t="s">
        <v>49</v>
      </c>
      <c r="D168" s="9">
        <v>14</v>
      </c>
      <c r="E168" s="10" t="s">
        <v>142</v>
      </c>
      <c r="F168" s="11"/>
      <c r="G168" s="12">
        <f t="shared" si="5"/>
        <v>947</v>
      </c>
      <c r="H168" s="12">
        <f t="shared" si="4"/>
        <v>467</v>
      </c>
      <c r="I168" s="13">
        <f>707*2</f>
        <v>1414</v>
      </c>
    </row>
    <row r="169" spans="1:11" ht="51" x14ac:dyDescent="0.2">
      <c r="A169" s="21">
        <v>6130</v>
      </c>
      <c r="B169" s="20">
        <v>310</v>
      </c>
      <c r="C169" s="20" t="s">
        <v>31</v>
      </c>
      <c r="D169" s="21">
        <v>1</v>
      </c>
      <c r="E169" s="22" t="s">
        <v>357</v>
      </c>
      <c r="F169" s="30"/>
      <c r="G169" s="12">
        <f t="shared" si="5"/>
        <v>3595488</v>
      </c>
      <c r="H169" s="12">
        <f t="shared" si="4"/>
        <v>1770912</v>
      </c>
      <c r="I169" s="31">
        <v>5366400</v>
      </c>
    </row>
    <row r="170" spans="1:11" ht="68" x14ac:dyDescent="0.2">
      <c r="A170" s="20">
        <v>6130</v>
      </c>
      <c r="B170" s="20">
        <v>394</v>
      </c>
      <c r="C170" s="20" t="s">
        <v>31</v>
      </c>
      <c r="D170" s="21" t="s">
        <v>43</v>
      </c>
      <c r="E170" s="22" t="s">
        <v>358</v>
      </c>
      <c r="F170" s="30"/>
      <c r="G170" s="12">
        <f t="shared" si="5"/>
        <v>76030</v>
      </c>
      <c r="H170" s="12">
        <f t="shared" ref="H170:H233" si="6">ROUND(I170*0.33,0)</f>
        <v>37447</v>
      </c>
      <c r="I170" s="32">
        <v>113477</v>
      </c>
    </row>
    <row r="171" spans="1:11" ht="17" x14ac:dyDescent="0.2">
      <c r="A171" s="20">
        <v>6130</v>
      </c>
      <c r="B171" s="20">
        <v>510</v>
      </c>
      <c r="C171" s="20" t="s">
        <v>34</v>
      </c>
      <c r="D171" s="21">
        <v>3</v>
      </c>
      <c r="E171" s="22" t="s">
        <v>44</v>
      </c>
      <c r="F171" s="30"/>
      <c r="G171" s="12">
        <f t="shared" si="5"/>
        <v>140700</v>
      </c>
      <c r="H171" s="12">
        <f t="shared" si="6"/>
        <v>69300</v>
      </c>
      <c r="I171" s="31">
        <v>210000</v>
      </c>
    </row>
    <row r="172" spans="1:11" ht="17" x14ac:dyDescent="0.2">
      <c r="A172" s="8" t="s">
        <v>143</v>
      </c>
      <c r="B172" s="8">
        <v>130</v>
      </c>
      <c r="C172" s="8" t="s">
        <v>49</v>
      </c>
      <c r="D172" s="9">
        <v>14</v>
      </c>
      <c r="E172" s="10" t="s">
        <v>144</v>
      </c>
      <c r="F172" s="52"/>
      <c r="G172" s="12">
        <f t="shared" si="5"/>
        <v>34287</v>
      </c>
      <c r="H172" s="12">
        <f t="shared" si="6"/>
        <v>16887</v>
      </c>
      <c r="I172" s="13">
        <f>25587*2</f>
        <v>51174</v>
      </c>
    </row>
    <row r="173" spans="1:11" ht="17" x14ac:dyDescent="0.2">
      <c r="A173" s="9" t="s">
        <v>143</v>
      </c>
      <c r="B173" s="8">
        <v>160</v>
      </c>
      <c r="C173" s="8" t="s">
        <v>49</v>
      </c>
      <c r="D173" s="9">
        <v>14</v>
      </c>
      <c r="E173" s="10" t="s">
        <v>145</v>
      </c>
      <c r="F173" s="52"/>
      <c r="G173" s="12">
        <f t="shared" si="5"/>
        <v>5715</v>
      </c>
      <c r="H173" s="12">
        <f t="shared" si="6"/>
        <v>2815</v>
      </c>
      <c r="I173" s="13">
        <f>4265*2</f>
        <v>8530</v>
      </c>
    </row>
    <row r="174" spans="1:11" s="15" customFormat="1" ht="34" x14ac:dyDescent="0.2">
      <c r="A174" s="9" t="s">
        <v>143</v>
      </c>
      <c r="B174" s="8">
        <v>220</v>
      </c>
      <c r="C174" s="8" t="s">
        <v>49</v>
      </c>
      <c r="D174" s="9">
        <v>14</v>
      </c>
      <c r="E174" s="10" t="s">
        <v>146</v>
      </c>
      <c r="F174" s="52"/>
      <c r="G174" s="12">
        <f t="shared" si="5"/>
        <v>3061</v>
      </c>
      <c r="H174" s="12">
        <f t="shared" si="6"/>
        <v>1507</v>
      </c>
      <c r="I174" s="13">
        <f>2284*2</f>
        <v>4568</v>
      </c>
      <c r="J174" s="14"/>
    </row>
    <row r="175" spans="1:11" ht="17" x14ac:dyDescent="0.2">
      <c r="A175" s="9" t="s">
        <v>143</v>
      </c>
      <c r="B175" s="8">
        <v>240</v>
      </c>
      <c r="C175" s="8" t="s">
        <v>49</v>
      </c>
      <c r="D175" s="9">
        <v>14</v>
      </c>
      <c r="E175" s="10" t="s">
        <v>147</v>
      </c>
      <c r="F175" s="52"/>
      <c r="G175" s="12">
        <f t="shared" si="5"/>
        <v>453</v>
      </c>
      <c r="H175" s="12">
        <f t="shared" si="6"/>
        <v>223</v>
      </c>
      <c r="I175" s="13">
        <f>338*2</f>
        <v>676</v>
      </c>
    </row>
    <row r="176" spans="1:11" ht="68" x14ac:dyDescent="0.2">
      <c r="A176" s="21">
        <v>6150</v>
      </c>
      <c r="B176" s="20">
        <v>160</v>
      </c>
      <c r="C176" s="20" t="s">
        <v>45</v>
      </c>
      <c r="D176" s="21">
        <v>1</v>
      </c>
      <c r="E176" s="22" t="s">
        <v>359</v>
      </c>
      <c r="F176" s="5">
        <v>48</v>
      </c>
      <c r="G176" s="12">
        <f t="shared" si="5"/>
        <v>1867853</v>
      </c>
      <c r="H176" s="12">
        <f t="shared" si="6"/>
        <v>919987</v>
      </c>
      <c r="I176" s="23">
        <v>2787840</v>
      </c>
    </row>
    <row r="177" spans="1:10" ht="17" x14ac:dyDescent="0.2">
      <c r="A177" s="9" t="s">
        <v>148</v>
      </c>
      <c r="B177" s="8">
        <v>160</v>
      </c>
      <c r="C177" s="8" t="s">
        <v>49</v>
      </c>
      <c r="D177" s="9">
        <v>14</v>
      </c>
      <c r="E177" s="10" t="s">
        <v>149</v>
      </c>
      <c r="F177" s="52"/>
      <c r="G177" s="12">
        <f t="shared" si="5"/>
        <v>3810</v>
      </c>
      <c r="H177" s="12">
        <f t="shared" si="6"/>
        <v>1876</v>
      </c>
      <c r="I177" s="13">
        <f>2843*2</f>
        <v>5686</v>
      </c>
    </row>
    <row r="178" spans="1:10" ht="34" x14ac:dyDescent="0.2">
      <c r="A178" s="21">
        <v>6150</v>
      </c>
      <c r="B178" s="20">
        <v>210</v>
      </c>
      <c r="C178" s="20" t="s">
        <v>45</v>
      </c>
      <c r="D178" s="21">
        <v>1</v>
      </c>
      <c r="E178" s="22" t="s">
        <v>360</v>
      </c>
      <c r="F178" s="5"/>
      <c r="G178" s="12">
        <f t="shared" si="5"/>
        <v>213122</v>
      </c>
      <c r="H178" s="12">
        <f t="shared" si="6"/>
        <v>104971</v>
      </c>
      <c r="I178" s="31">
        <v>318093</v>
      </c>
    </row>
    <row r="179" spans="1:10" ht="17" x14ac:dyDescent="0.2">
      <c r="A179" s="21">
        <v>6150</v>
      </c>
      <c r="B179" s="20">
        <v>220</v>
      </c>
      <c r="C179" s="20" t="s">
        <v>45</v>
      </c>
      <c r="D179" s="21">
        <v>1</v>
      </c>
      <c r="E179" s="22" t="s">
        <v>46</v>
      </c>
      <c r="F179" s="5"/>
      <c r="G179" s="12">
        <f t="shared" si="5"/>
        <v>115807</v>
      </c>
      <c r="H179" s="12">
        <f t="shared" si="6"/>
        <v>57040</v>
      </c>
      <c r="I179" s="31">
        <v>172847</v>
      </c>
    </row>
    <row r="180" spans="1:10" ht="34" x14ac:dyDescent="0.2">
      <c r="A180" s="21">
        <v>6150</v>
      </c>
      <c r="B180" s="20">
        <v>220</v>
      </c>
      <c r="C180" s="20" t="s">
        <v>45</v>
      </c>
      <c r="D180" s="21">
        <v>1</v>
      </c>
      <c r="E180" s="22" t="s">
        <v>361</v>
      </c>
      <c r="F180" s="5"/>
      <c r="G180" s="12">
        <f t="shared" si="5"/>
        <v>318282</v>
      </c>
      <c r="H180" s="12">
        <f t="shared" si="6"/>
        <v>156766</v>
      </c>
      <c r="I180" s="31">
        <v>475048</v>
      </c>
    </row>
    <row r="181" spans="1:10" ht="34" x14ac:dyDescent="0.2">
      <c r="A181" s="9" t="s">
        <v>148</v>
      </c>
      <c r="B181" s="8">
        <v>220</v>
      </c>
      <c r="C181" s="8" t="s">
        <v>49</v>
      </c>
      <c r="D181" s="9">
        <v>14</v>
      </c>
      <c r="E181" s="10" t="s">
        <v>150</v>
      </c>
      <c r="F181" s="52"/>
      <c r="G181" s="12">
        <f t="shared" si="5"/>
        <v>292</v>
      </c>
      <c r="H181" s="12">
        <f t="shared" si="6"/>
        <v>144</v>
      </c>
      <c r="I181" s="13">
        <f>218*2</f>
        <v>436</v>
      </c>
    </row>
    <row r="182" spans="1:10" ht="34" x14ac:dyDescent="0.2">
      <c r="A182" s="21">
        <v>6150</v>
      </c>
      <c r="B182" s="20">
        <v>231</v>
      </c>
      <c r="C182" s="20" t="s">
        <v>45</v>
      </c>
      <c r="D182" s="21">
        <v>1</v>
      </c>
      <c r="E182" s="22" t="s">
        <v>362</v>
      </c>
      <c r="F182" s="5"/>
      <c r="G182" s="12">
        <f t="shared" si="5"/>
        <v>4110</v>
      </c>
      <c r="H182" s="12">
        <f t="shared" si="6"/>
        <v>2024</v>
      </c>
      <c r="I182" s="31">
        <v>6134</v>
      </c>
    </row>
    <row r="183" spans="1:10" ht="34" x14ac:dyDescent="0.2">
      <c r="A183" s="21">
        <v>6150</v>
      </c>
      <c r="B183" s="20">
        <v>232</v>
      </c>
      <c r="C183" s="20" t="s">
        <v>45</v>
      </c>
      <c r="D183" s="21">
        <v>1</v>
      </c>
      <c r="E183" s="22" t="s">
        <v>363</v>
      </c>
      <c r="F183" s="5"/>
      <c r="G183" s="12">
        <f t="shared" si="5"/>
        <v>21107</v>
      </c>
      <c r="H183" s="12">
        <f t="shared" si="6"/>
        <v>10396</v>
      </c>
      <c r="I183" s="57">
        <v>31503</v>
      </c>
    </row>
    <row r="184" spans="1:10" ht="34" x14ac:dyDescent="0.2">
      <c r="A184" s="21">
        <v>6150</v>
      </c>
      <c r="B184" s="20">
        <v>240</v>
      </c>
      <c r="C184" s="20" t="s">
        <v>45</v>
      </c>
      <c r="D184" s="21">
        <v>1</v>
      </c>
      <c r="E184" s="22" t="s">
        <v>364</v>
      </c>
      <c r="F184" s="5"/>
      <c r="G184" s="12">
        <f t="shared" si="5"/>
        <v>27084</v>
      </c>
      <c r="H184" s="12">
        <f t="shared" si="6"/>
        <v>13340</v>
      </c>
      <c r="I184" s="57">
        <v>40424</v>
      </c>
    </row>
    <row r="185" spans="1:10" ht="17" x14ac:dyDescent="0.2">
      <c r="A185" s="9" t="s">
        <v>148</v>
      </c>
      <c r="B185" s="8">
        <v>240</v>
      </c>
      <c r="C185" s="8" t="s">
        <v>49</v>
      </c>
      <c r="D185" s="9">
        <v>14</v>
      </c>
      <c r="E185" s="10" t="s">
        <v>151</v>
      </c>
      <c r="F185" s="52"/>
      <c r="G185" s="12">
        <f t="shared" si="5"/>
        <v>44</v>
      </c>
      <c r="H185" s="12">
        <f t="shared" si="6"/>
        <v>22</v>
      </c>
      <c r="I185" s="56">
        <f>33*2</f>
        <v>66</v>
      </c>
    </row>
    <row r="186" spans="1:10" ht="34" x14ac:dyDescent="0.2">
      <c r="A186" s="21">
        <v>6150</v>
      </c>
      <c r="B186" s="20">
        <v>330</v>
      </c>
      <c r="C186" s="20" t="s">
        <v>45</v>
      </c>
      <c r="D186" s="21">
        <v>4</v>
      </c>
      <c r="E186" s="22" t="s">
        <v>365</v>
      </c>
      <c r="F186" s="5"/>
      <c r="G186" s="12">
        <f t="shared" si="5"/>
        <v>18010</v>
      </c>
      <c r="H186" s="12">
        <f t="shared" si="6"/>
        <v>8870</v>
      </c>
      <c r="I186" s="23">
        <v>26880</v>
      </c>
    </row>
    <row r="187" spans="1:10" ht="17" x14ac:dyDescent="0.2">
      <c r="A187" s="20">
        <v>6150</v>
      </c>
      <c r="B187" s="20">
        <v>390</v>
      </c>
      <c r="C187" s="20" t="s">
        <v>47</v>
      </c>
      <c r="D187" s="21">
        <v>2</v>
      </c>
      <c r="E187" s="22" t="s">
        <v>366</v>
      </c>
      <c r="F187" s="5"/>
      <c r="G187" s="12">
        <f t="shared" si="5"/>
        <v>33500</v>
      </c>
      <c r="H187" s="12">
        <f t="shared" si="6"/>
        <v>16500</v>
      </c>
      <c r="I187" s="23">
        <v>50000</v>
      </c>
    </row>
    <row r="188" spans="1:10" s="15" customFormat="1" ht="34" x14ac:dyDescent="0.2">
      <c r="A188" s="20">
        <v>6150</v>
      </c>
      <c r="B188" s="20">
        <v>394</v>
      </c>
      <c r="C188" s="20" t="s">
        <v>31</v>
      </c>
      <c r="D188" s="21">
        <v>3</v>
      </c>
      <c r="E188" s="22" t="s">
        <v>368</v>
      </c>
      <c r="F188" s="5"/>
      <c r="G188" s="12">
        <f t="shared" si="5"/>
        <v>38343</v>
      </c>
      <c r="H188" s="12">
        <f t="shared" si="6"/>
        <v>18886</v>
      </c>
      <c r="I188" s="13">
        <v>57229</v>
      </c>
      <c r="J188" s="14"/>
    </row>
    <row r="189" spans="1:10" ht="17" x14ac:dyDescent="0.2">
      <c r="A189" s="20">
        <v>6150</v>
      </c>
      <c r="B189" s="20">
        <v>394</v>
      </c>
      <c r="C189" s="20" t="s">
        <v>47</v>
      </c>
      <c r="D189" s="21" t="s">
        <v>48</v>
      </c>
      <c r="E189" s="22" t="s">
        <v>367</v>
      </c>
      <c r="F189" s="5"/>
      <c r="G189" s="12">
        <f t="shared" si="5"/>
        <v>1834</v>
      </c>
      <c r="H189" s="12">
        <f t="shared" si="6"/>
        <v>903</v>
      </c>
      <c r="I189" s="32">
        <v>2737</v>
      </c>
    </row>
    <row r="190" spans="1:10" ht="34" x14ac:dyDescent="0.2">
      <c r="A190" s="20">
        <v>6150</v>
      </c>
      <c r="B190" s="20">
        <v>510</v>
      </c>
      <c r="C190" s="20" t="s">
        <v>45</v>
      </c>
      <c r="D190" s="21">
        <v>2</v>
      </c>
      <c r="E190" s="22" t="s">
        <v>369</v>
      </c>
      <c r="F190" s="5"/>
      <c r="G190" s="12">
        <f t="shared" si="5"/>
        <v>167500</v>
      </c>
      <c r="H190" s="12">
        <f t="shared" si="6"/>
        <v>82500</v>
      </c>
      <c r="I190" s="23">
        <v>250000</v>
      </c>
    </row>
    <row r="191" spans="1:10" ht="51" x14ac:dyDescent="0.2">
      <c r="A191" s="20">
        <v>6150</v>
      </c>
      <c r="B191" s="20">
        <v>590</v>
      </c>
      <c r="C191" s="20" t="s">
        <v>45</v>
      </c>
      <c r="D191" s="21">
        <v>2</v>
      </c>
      <c r="E191" s="22" t="s">
        <v>489</v>
      </c>
      <c r="F191" s="5"/>
      <c r="G191" s="12">
        <f t="shared" si="5"/>
        <v>67000</v>
      </c>
      <c r="H191" s="12">
        <f t="shared" si="6"/>
        <v>33000</v>
      </c>
      <c r="I191" s="23">
        <v>100000</v>
      </c>
    </row>
    <row r="192" spans="1:10" ht="17" x14ac:dyDescent="0.2">
      <c r="A192" s="8" t="s">
        <v>152</v>
      </c>
      <c r="B192" s="8">
        <v>130</v>
      </c>
      <c r="C192" s="8" t="s">
        <v>49</v>
      </c>
      <c r="D192" s="9">
        <v>14</v>
      </c>
      <c r="E192" s="10" t="s">
        <v>153</v>
      </c>
      <c r="F192" s="52"/>
      <c r="G192" s="12">
        <f t="shared" si="5"/>
        <v>9525</v>
      </c>
      <c r="H192" s="12">
        <f t="shared" si="6"/>
        <v>4691</v>
      </c>
      <c r="I192" s="13">
        <f>7108*2</f>
        <v>14216</v>
      </c>
    </row>
    <row r="193" spans="1:10" ht="34" x14ac:dyDescent="0.2">
      <c r="A193" s="8" t="s">
        <v>152</v>
      </c>
      <c r="B193" s="8">
        <v>220</v>
      </c>
      <c r="C193" s="8" t="s">
        <v>49</v>
      </c>
      <c r="D193" s="9">
        <v>14</v>
      </c>
      <c r="E193" s="10" t="s">
        <v>154</v>
      </c>
      <c r="F193" s="52"/>
      <c r="G193" s="12">
        <f t="shared" si="5"/>
        <v>729</v>
      </c>
      <c r="H193" s="12">
        <f t="shared" si="6"/>
        <v>359</v>
      </c>
      <c r="I193" s="13">
        <f>544*2</f>
        <v>1088</v>
      </c>
    </row>
    <row r="194" spans="1:10" ht="17" x14ac:dyDescent="0.2">
      <c r="A194" s="8" t="s">
        <v>152</v>
      </c>
      <c r="B194" s="8">
        <v>240</v>
      </c>
      <c r="C194" s="8" t="s">
        <v>49</v>
      </c>
      <c r="D194" s="9">
        <v>14</v>
      </c>
      <c r="E194" s="10" t="s">
        <v>155</v>
      </c>
      <c r="F194" s="52"/>
      <c r="G194" s="12">
        <f t="shared" ref="G194:G257" si="7">ROUND(I194*0.67,0)</f>
        <v>109</v>
      </c>
      <c r="H194" s="12">
        <f t="shared" si="6"/>
        <v>53</v>
      </c>
      <c r="I194" s="13">
        <f>81*2</f>
        <v>162</v>
      </c>
    </row>
    <row r="195" spans="1:10" ht="17" x14ac:dyDescent="0.2">
      <c r="A195" s="8" t="s">
        <v>156</v>
      </c>
      <c r="B195" s="8">
        <v>110</v>
      </c>
      <c r="C195" s="8" t="s">
        <v>49</v>
      </c>
      <c r="D195" s="9">
        <v>14</v>
      </c>
      <c r="E195" s="10" t="s">
        <v>157</v>
      </c>
      <c r="F195" s="52"/>
      <c r="G195" s="12">
        <f t="shared" si="7"/>
        <v>1905</v>
      </c>
      <c r="H195" s="12">
        <f t="shared" si="6"/>
        <v>939</v>
      </c>
      <c r="I195" s="13">
        <f>1422*2</f>
        <v>2844</v>
      </c>
    </row>
    <row r="196" spans="1:10" ht="51" x14ac:dyDescent="0.2">
      <c r="A196" s="81">
        <v>6200</v>
      </c>
      <c r="B196" s="81">
        <v>130</v>
      </c>
      <c r="C196" s="81" t="s">
        <v>31</v>
      </c>
      <c r="D196" s="82">
        <v>6</v>
      </c>
      <c r="E196" s="83" t="s">
        <v>483</v>
      </c>
      <c r="F196" s="84"/>
      <c r="G196" s="85">
        <f t="shared" si="7"/>
        <v>0</v>
      </c>
      <c r="H196" s="85">
        <f t="shared" si="6"/>
        <v>0</v>
      </c>
      <c r="I196" s="86"/>
    </row>
    <row r="197" spans="1:10" s="15" customFormat="1" ht="17" x14ac:dyDescent="0.2">
      <c r="A197" s="8" t="s">
        <v>156</v>
      </c>
      <c r="B197" s="8">
        <v>130</v>
      </c>
      <c r="C197" s="8" t="s">
        <v>49</v>
      </c>
      <c r="D197" s="9">
        <v>14</v>
      </c>
      <c r="E197" s="10" t="s">
        <v>158</v>
      </c>
      <c r="F197" s="52"/>
      <c r="G197" s="12">
        <f t="shared" si="7"/>
        <v>87620</v>
      </c>
      <c r="H197" s="12">
        <f t="shared" si="6"/>
        <v>43156</v>
      </c>
      <c r="I197" s="13">
        <f>65388*2</f>
        <v>130776</v>
      </c>
      <c r="J197" s="14"/>
    </row>
    <row r="198" spans="1:10" ht="34" x14ac:dyDescent="0.2">
      <c r="A198" s="81">
        <v>6200</v>
      </c>
      <c r="B198" s="81">
        <v>150</v>
      </c>
      <c r="C198" s="81" t="s">
        <v>31</v>
      </c>
      <c r="D198" s="82">
        <v>6</v>
      </c>
      <c r="E198" s="83" t="s">
        <v>258</v>
      </c>
      <c r="F198" s="84"/>
      <c r="G198" s="85">
        <f t="shared" si="7"/>
        <v>0</v>
      </c>
      <c r="H198" s="85">
        <f t="shared" si="6"/>
        <v>0</v>
      </c>
      <c r="I198" s="86"/>
    </row>
    <row r="199" spans="1:10" ht="17" x14ac:dyDescent="0.2">
      <c r="A199" s="8" t="s">
        <v>156</v>
      </c>
      <c r="B199" s="8">
        <v>150</v>
      </c>
      <c r="C199" s="8" t="s">
        <v>49</v>
      </c>
      <c r="D199" s="9">
        <v>14</v>
      </c>
      <c r="E199" s="10" t="s">
        <v>159</v>
      </c>
      <c r="F199" s="52"/>
      <c r="G199" s="12">
        <f t="shared" si="7"/>
        <v>15238</v>
      </c>
      <c r="H199" s="12">
        <f t="shared" si="6"/>
        <v>7506</v>
      </c>
      <c r="I199" s="13">
        <f>11372*2</f>
        <v>22744</v>
      </c>
    </row>
    <row r="200" spans="1:10" ht="17" x14ac:dyDescent="0.2">
      <c r="A200" s="8" t="s">
        <v>156</v>
      </c>
      <c r="B200" s="8">
        <v>160</v>
      </c>
      <c r="C200" s="8" t="s">
        <v>49</v>
      </c>
      <c r="D200" s="9">
        <v>14</v>
      </c>
      <c r="E200" s="10" t="s">
        <v>160</v>
      </c>
      <c r="F200" s="52"/>
      <c r="G200" s="12">
        <f t="shared" si="7"/>
        <v>9525</v>
      </c>
      <c r="H200" s="12">
        <f t="shared" si="6"/>
        <v>4691</v>
      </c>
      <c r="I200" s="13">
        <f>7108*2</f>
        <v>14216</v>
      </c>
    </row>
    <row r="201" spans="1:10" s="15" customFormat="1" ht="17" x14ac:dyDescent="0.2">
      <c r="A201" s="82">
        <v>6200</v>
      </c>
      <c r="B201" s="81">
        <v>210</v>
      </c>
      <c r="C201" s="81" t="s">
        <v>31</v>
      </c>
      <c r="D201" s="82">
        <v>6</v>
      </c>
      <c r="E201" s="87" t="s">
        <v>469</v>
      </c>
      <c r="F201" s="84"/>
      <c r="G201" s="85">
        <f t="shared" si="7"/>
        <v>0</v>
      </c>
      <c r="H201" s="85">
        <f t="shared" si="6"/>
        <v>0</v>
      </c>
      <c r="I201" s="86"/>
      <c r="J201" s="14"/>
    </row>
    <row r="202" spans="1:10" ht="17" x14ac:dyDescent="0.2">
      <c r="A202" s="82">
        <v>6200</v>
      </c>
      <c r="B202" s="81">
        <v>220</v>
      </c>
      <c r="C202" s="81" t="s">
        <v>31</v>
      </c>
      <c r="D202" s="82">
        <v>6</v>
      </c>
      <c r="E202" s="87" t="s">
        <v>470</v>
      </c>
      <c r="F202" s="84"/>
      <c r="G202" s="85">
        <f t="shared" si="7"/>
        <v>0</v>
      </c>
      <c r="H202" s="85">
        <f t="shared" si="6"/>
        <v>0</v>
      </c>
      <c r="I202" s="86"/>
    </row>
    <row r="203" spans="1:10" ht="34" x14ac:dyDescent="0.2">
      <c r="A203" s="81">
        <v>6200</v>
      </c>
      <c r="B203" s="81">
        <v>220</v>
      </c>
      <c r="C203" s="81" t="s">
        <v>31</v>
      </c>
      <c r="D203" s="82">
        <v>6</v>
      </c>
      <c r="E203" s="87" t="s">
        <v>471</v>
      </c>
      <c r="F203" s="84"/>
      <c r="G203" s="85">
        <f t="shared" si="7"/>
        <v>0</v>
      </c>
      <c r="H203" s="85">
        <f t="shared" si="6"/>
        <v>0</v>
      </c>
      <c r="I203" s="86"/>
    </row>
    <row r="204" spans="1:10" ht="34" x14ac:dyDescent="0.2">
      <c r="A204" s="9" t="s">
        <v>156</v>
      </c>
      <c r="B204" s="8">
        <v>220</v>
      </c>
      <c r="C204" s="8" t="s">
        <v>49</v>
      </c>
      <c r="D204" s="9">
        <v>14</v>
      </c>
      <c r="E204" s="10" t="s">
        <v>161</v>
      </c>
      <c r="F204" s="52"/>
      <c r="G204" s="12">
        <f t="shared" si="7"/>
        <v>8744</v>
      </c>
      <c r="H204" s="12">
        <f t="shared" si="6"/>
        <v>4307</v>
      </c>
      <c r="I204" s="13">
        <f>6525*2</f>
        <v>13050</v>
      </c>
    </row>
    <row r="205" spans="1:10" ht="17" x14ac:dyDescent="0.2">
      <c r="A205" s="82">
        <v>6200</v>
      </c>
      <c r="B205" s="81">
        <v>231</v>
      </c>
      <c r="C205" s="81" t="s">
        <v>31</v>
      </c>
      <c r="D205" s="82">
        <v>6</v>
      </c>
      <c r="E205" s="87" t="s">
        <v>472</v>
      </c>
      <c r="F205" s="84"/>
      <c r="G205" s="85">
        <f t="shared" si="7"/>
        <v>0</v>
      </c>
      <c r="H205" s="85">
        <f t="shared" si="6"/>
        <v>0</v>
      </c>
      <c r="I205" s="86"/>
    </row>
    <row r="206" spans="1:10" ht="17" x14ac:dyDescent="0.2">
      <c r="A206" s="82">
        <v>6200</v>
      </c>
      <c r="B206" s="81">
        <v>232</v>
      </c>
      <c r="C206" s="81" t="s">
        <v>31</v>
      </c>
      <c r="D206" s="82">
        <v>6</v>
      </c>
      <c r="E206" s="87" t="s">
        <v>473</v>
      </c>
      <c r="F206" s="84"/>
      <c r="G206" s="85">
        <f t="shared" si="7"/>
        <v>0</v>
      </c>
      <c r="H206" s="85">
        <f t="shared" si="6"/>
        <v>0</v>
      </c>
      <c r="I206" s="86"/>
    </row>
    <row r="207" spans="1:10" ht="34" x14ac:dyDescent="0.2">
      <c r="A207" s="82">
        <v>6200</v>
      </c>
      <c r="B207" s="81">
        <v>240</v>
      </c>
      <c r="C207" s="81" t="s">
        <v>31</v>
      </c>
      <c r="D207" s="82">
        <v>6</v>
      </c>
      <c r="E207" s="87" t="s">
        <v>474</v>
      </c>
      <c r="F207" s="84"/>
      <c r="G207" s="85">
        <f t="shared" si="7"/>
        <v>0</v>
      </c>
      <c r="H207" s="85">
        <f t="shared" si="6"/>
        <v>0</v>
      </c>
      <c r="I207" s="86"/>
    </row>
    <row r="208" spans="1:10" ht="17" x14ac:dyDescent="0.2">
      <c r="A208" s="9" t="s">
        <v>156</v>
      </c>
      <c r="B208" s="8">
        <v>240</v>
      </c>
      <c r="C208" s="8" t="s">
        <v>49</v>
      </c>
      <c r="D208" s="9">
        <v>14</v>
      </c>
      <c r="E208" s="10" t="s">
        <v>162</v>
      </c>
      <c r="F208" s="52"/>
      <c r="G208" s="12">
        <f t="shared" si="7"/>
        <v>1292</v>
      </c>
      <c r="H208" s="12">
        <f t="shared" si="6"/>
        <v>636</v>
      </c>
      <c r="I208" s="13">
        <f>964*2</f>
        <v>1928</v>
      </c>
    </row>
    <row r="209" spans="1:10" ht="85" x14ac:dyDescent="0.2">
      <c r="A209" s="21">
        <v>6300</v>
      </c>
      <c r="B209" s="20">
        <v>110</v>
      </c>
      <c r="C209" s="20" t="s">
        <v>49</v>
      </c>
      <c r="D209" s="21">
        <v>1</v>
      </c>
      <c r="E209" s="22" t="s">
        <v>370</v>
      </c>
      <c r="F209" s="5">
        <v>1</v>
      </c>
      <c r="G209" s="12">
        <f t="shared" si="7"/>
        <v>111165</v>
      </c>
      <c r="H209" s="12">
        <f t="shared" si="6"/>
        <v>54753</v>
      </c>
      <c r="I209" s="23">
        <v>165918</v>
      </c>
    </row>
    <row r="210" spans="1:10" ht="34" x14ac:dyDescent="0.2">
      <c r="A210" s="21">
        <v>6300</v>
      </c>
      <c r="B210" s="20">
        <v>110</v>
      </c>
      <c r="C210" s="20" t="s">
        <v>49</v>
      </c>
      <c r="D210" s="21">
        <v>10</v>
      </c>
      <c r="E210" s="22" t="s">
        <v>371</v>
      </c>
      <c r="F210" s="5">
        <v>1</v>
      </c>
      <c r="G210" s="12">
        <f t="shared" si="7"/>
        <v>234966</v>
      </c>
      <c r="H210" s="12">
        <f t="shared" si="6"/>
        <v>115730</v>
      </c>
      <c r="I210" s="23">
        <v>350696</v>
      </c>
    </row>
    <row r="211" spans="1:10" ht="34" x14ac:dyDescent="0.2">
      <c r="A211" s="9" t="s">
        <v>163</v>
      </c>
      <c r="B211" s="8">
        <v>110</v>
      </c>
      <c r="C211" s="8" t="s">
        <v>49</v>
      </c>
      <c r="D211" s="9">
        <v>14</v>
      </c>
      <c r="E211" s="10" t="s">
        <v>164</v>
      </c>
      <c r="F211" s="11"/>
      <c r="G211" s="12">
        <f t="shared" si="7"/>
        <v>15715</v>
      </c>
      <c r="H211" s="12">
        <f t="shared" si="6"/>
        <v>7740</v>
      </c>
      <c r="I211" s="13">
        <f>23455*1</f>
        <v>23455</v>
      </c>
    </row>
    <row r="212" spans="1:10" ht="68" x14ac:dyDescent="0.2">
      <c r="A212" s="21">
        <v>6300</v>
      </c>
      <c r="B212" s="20">
        <v>120</v>
      </c>
      <c r="C212" s="20">
        <v>1</v>
      </c>
      <c r="D212" s="21">
        <v>10</v>
      </c>
      <c r="E212" s="22" t="s">
        <v>372</v>
      </c>
      <c r="F212" s="5"/>
      <c r="G212" s="12">
        <f t="shared" si="7"/>
        <v>15075000</v>
      </c>
      <c r="H212" s="12">
        <f t="shared" si="6"/>
        <v>7425000</v>
      </c>
      <c r="I212" s="23">
        <v>22500000</v>
      </c>
    </row>
    <row r="213" spans="1:10" ht="51" x14ac:dyDescent="0.2">
      <c r="A213" s="20">
        <v>6300</v>
      </c>
      <c r="B213" s="20">
        <v>130</v>
      </c>
      <c r="C213" s="20" t="s">
        <v>49</v>
      </c>
      <c r="D213" s="21">
        <v>2</v>
      </c>
      <c r="E213" s="22" t="s">
        <v>373</v>
      </c>
      <c r="F213" s="5">
        <v>1</v>
      </c>
      <c r="G213" s="12">
        <f t="shared" si="7"/>
        <v>127970</v>
      </c>
      <c r="H213" s="12">
        <f t="shared" si="6"/>
        <v>63030</v>
      </c>
      <c r="I213" s="23">
        <v>191000</v>
      </c>
    </row>
    <row r="214" spans="1:10" ht="34" x14ac:dyDescent="0.2">
      <c r="A214" s="81">
        <v>6300</v>
      </c>
      <c r="B214" s="81">
        <v>130</v>
      </c>
      <c r="C214" s="81" t="s">
        <v>31</v>
      </c>
      <c r="D214" s="82">
        <v>6</v>
      </c>
      <c r="E214" s="87" t="s">
        <v>259</v>
      </c>
      <c r="F214" s="84"/>
      <c r="G214" s="85">
        <f t="shared" si="7"/>
        <v>0</v>
      </c>
      <c r="H214" s="85">
        <f t="shared" si="6"/>
        <v>0</v>
      </c>
      <c r="I214" s="86"/>
    </row>
    <row r="215" spans="1:10" s="15" customFormat="1" ht="68" x14ac:dyDescent="0.2">
      <c r="A215" s="8">
        <v>6300</v>
      </c>
      <c r="B215" s="8">
        <v>130</v>
      </c>
      <c r="C215" s="8">
        <v>1</v>
      </c>
      <c r="D215" s="9">
        <v>14</v>
      </c>
      <c r="E215" s="10" t="s">
        <v>374</v>
      </c>
      <c r="F215" s="11">
        <v>3</v>
      </c>
      <c r="G215" s="12">
        <f t="shared" si="7"/>
        <v>189123</v>
      </c>
      <c r="H215" s="12">
        <f t="shared" si="6"/>
        <v>93150</v>
      </c>
      <c r="I215" s="13">
        <v>282273</v>
      </c>
      <c r="J215" s="14"/>
    </row>
    <row r="216" spans="1:10" s="15" customFormat="1" ht="34" x14ac:dyDescent="0.2">
      <c r="A216" s="8" t="s">
        <v>163</v>
      </c>
      <c r="B216" s="8">
        <v>130</v>
      </c>
      <c r="C216" s="8" t="s">
        <v>49</v>
      </c>
      <c r="D216" s="9">
        <v>14</v>
      </c>
      <c r="E216" s="10" t="s">
        <v>165</v>
      </c>
      <c r="F216" s="11"/>
      <c r="G216" s="12">
        <f t="shared" si="7"/>
        <v>67619</v>
      </c>
      <c r="H216" s="12">
        <f t="shared" si="6"/>
        <v>33305</v>
      </c>
      <c r="I216" s="13">
        <f>50462*2</f>
        <v>100924</v>
      </c>
      <c r="J216" s="14"/>
    </row>
    <row r="217" spans="1:10" s="15" customFormat="1" ht="51" x14ac:dyDescent="0.2">
      <c r="A217" s="8">
        <v>6300</v>
      </c>
      <c r="B217" s="8">
        <v>160</v>
      </c>
      <c r="C217" s="8" t="s">
        <v>49</v>
      </c>
      <c r="D217" s="9">
        <v>12</v>
      </c>
      <c r="E217" s="10" t="s">
        <v>375</v>
      </c>
      <c r="F217" s="11">
        <v>1</v>
      </c>
      <c r="G217" s="12">
        <f t="shared" si="7"/>
        <v>81055</v>
      </c>
      <c r="H217" s="12">
        <f t="shared" si="6"/>
        <v>39923</v>
      </c>
      <c r="I217" s="13">
        <v>120978</v>
      </c>
      <c r="J217" s="14"/>
    </row>
    <row r="218" spans="1:10" s="15" customFormat="1" ht="34" x14ac:dyDescent="0.2">
      <c r="A218" s="8" t="s">
        <v>163</v>
      </c>
      <c r="B218" s="8">
        <v>160</v>
      </c>
      <c r="C218" s="8" t="s">
        <v>49</v>
      </c>
      <c r="D218" s="9">
        <v>14</v>
      </c>
      <c r="E218" s="10" t="s">
        <v>166</v>
      </c>
      <c r="F218" s="11"/>
      <c r="G218" s="12">
        <f t="shared" si="7"/>
        <v>54286</v>
      </c>
      <c r="H218" s="12">
        <f t="shared" si="6"/>
        <v>26738</v>
      </c>
      <c r="I218" s="13">
        <f>40512*2</f>
        <v>81024</v>
      </c>
      <c r="J218" s="14"/>
    </row>
    <row r="219" spans="1:10" s="15" customFormat="1" ht="17" x14ac:dyDescent="0.2">
      <c r="A219" s="8">
        <v>6300</v>
      </c>
      <c r="B219" s="8">
        <v>210</v>
      </c>
      <c r="C219" s="8" t="s">
        <v>49</v>
      </c>
      <c r="D219" s="9">
        <v>1</v>
      </c>
      <c r="E219" s="10" t="s">
        <v>376</v>
      </c>
      <c r="F219" s="11"/>
      <c r="G219" s="12">
        <f t="shared" si="7"/>
        <v>11795</v>
      </c>
      <c r="H219" s="12">
        <f t="shared" si="6"/>
        <v>5809</v>
      </c>
      <c r="I219" s="13">
        <v>17604</v>
      </c>
      <c r="J219" s="14"/>
    </row>
    <row r="220" spans="1:10" s="15" customFormat="1" ht="34" x14ac:dyDescent="0.2">
      <c r="A220" s="8">
        <v>6300</v>
      </c>
      <c r="B220" s="8">
        <v>210</v>
      </c>
      <c r="C220" s="8" t="s">
        <v>49</v>
      </c>
      <c r="D220" s="9">
        <v>2</v>
      </c>
      <c r="E220" s="10" t="s">
        <v>377</v>
      </c>
      <c r="F220" s="11"/>
      <c r="G220" s="12">
        <f t="shared" si="7"/>
        <v>13578</v>
      </c>
      <c r="H220" s="12">
        <f t="shared" si="6"/>
        <v>6688</v>
      </c>
      <c r="I220" s="13">
        <v>20266</v>
      </c>
      <c r="J220" s="14"/>
    </row>
    <row r="221" spans="1:10" s="15" customFormat="1" ht="17" x14ac:dyDescent="0.2">
      <c r="A221" s="81">
        <v>6300</v>
      </c>
      <c r="B221" s="81">
        <v>210</v>
      </c>
      <c r="C221" s="81" t="s">
        <v>31</v>
      </c>
      <c r="D221" s="82">
        <v>6</v>
      </c>
      <c r="E221" s="87" t="s">
        <v>475</v>
      </c>
      <c r="F221" s="84"/>
      <c r="G221" s="85">
        <f t="shared" si="7"/>
        <v>0</v>
      </c>
      <c r="H221" s="85">
        <f t="shared" si="6"/>
        <v>0</v>
      </c>
      <c r="I221" s="86"/>
      <c r="J221" s="14"/>
    </row>
    <row r="222" spans="1:10" s="15" customFormat="1" ht="34" x14ac:dyDescent="0.2">
      <c r="A222" s="8">
        <v>6300</v>
      </c>
      <c r="B222" s="8">
        <v>210</v>
      </c>
      <c r="C222" s="8" t="s">
        <v>49</v>
      </c>
      <c r="D222" s="9">
        <v>10</v>
      </c>
      <c r="E222" s="10" t="s">
        <v>378</v>
      </c>
      <c r="F222" s="11"/>
      <c r="G222" s="12">
        <f t="shared" si="7"/>
        <v>26810</v>
      </c>
      <c r="H222" s="12">
        <f t="shared" si="6"/>
        <v>13205</v>
      </c>
      <c r="I222" s="13">
        <v>40015</v>
      </c>
      <c r="J222" s="14"/>
    </row>
    <row r="223" spans="1:10" s="15" customFormat="1" ht="17" x14ac:dyDescent="0.2">
      <c r="A223" s="8">
        <v>6300</v>
      </c>
      <c r="B223" s="8">
        <v>210</v>
      </c>
      <c r="C223" s="8">
        <v>1</v>
      </c>
      <c r="D223" s="9">
        <v>10</v>
      </c>
      <c r="E223" s="33" t="s">
        <v>381</v>
      </c>
      <c r="F223" s="11"/>
      <c r="G223" s="12">
        <f t="shared" si="7"/>
        <v>1720058</v>
      </c>
      <c r="H223" s="12">
        <f t="shared" si="6"/>
        <v>847193</v>
      </c>
      <c r="I223" s="13">
        <v>2567250</v>
      </c>
      <c r="J223" s="14"/>
    </row>
    <row r="224" spans="1:10" s="15" customFormat="1" ht="34" x14ac:dyDescent="0.2">
      <c r="A224" s="8">
        <v>6300</v>
      </c>
      <c r="B224" s="8">
        <v>210</v>
      </c>
      <c r="C224" s="8" t="s">
        <v>49</v>
      </c>
      <c r="D224" s="9">
        <v>12</v>
      </c>
      <c r="E224" s="10" t="s">
        <v>379</v>
      </c>
      <c r="F224" s="11"/>
      <c r="G224" s="12">
        <f t="shared" si="7"/>
        <v>8600</v>
      </c>
      <c r="H224" s="12">
        <f t="shared" si="6"/>
        <v>4236</v>
      </c>
      <c r="I224" s="13">
        <v>12835.77</v>
      </c>
      <c r="J224" s="14"/>
    </row>
    <row r="225" spans="1:19" s="15" customFormat="1" ht="17" x14ac:dyDescent="0.2">
      <c r="A225" s="8">
        <v>6300</v>
      </c>
      <c r="B225" s="8">
        <v>210</v>
      </c>
      <c r="C225" s="8">
        <v>1</v>
      </c>
      <c r="D225" s="9">
        <v>14</v>
      </c>
      <c r="E225" s="33" t="s">
        <v>380</v>
      </c>
      <c r="F225" s="11"/>
      <c r="G225" s="12">
        <f t="shared" si="7"/>
        <v>21646</v>
      </c>
      <c r="H225" s="12">
        <f t="shared" si="6"/>
        <v>10662</v>
      </c>
      <c r="I225" s="13">
        <v>32308</v>
      </c>
      <c r="J225" s="14"/>
    </row>
    <row r="226" spans="1:19" s="15" customFormat="1" ht="17" x14ac:dyDescent="0.2">
      <c r="A226" s="8">
        <v>6300</v>
      </c>
      <c r="B226" s="8">
        <v>220</v>
      </c>
      <c r="C226" s="8" t="s">
        <v>49</v>
      </c>
      <c r="D226" s="9">
        <v>1</v>
      </c>
      <c r="E226" s="10" t="s">
        <v>384</v>
      </c>
      <c r="F226" s="11"/>
      <c r="G226" s="12">
        <f t="shared" si="7"/>
        <v>6892</v>
      </c>
      <c r="H226" s="12">
        <f t="shared" si="6"/>
        <v>3395</v>
      </c>
      <c r="I226" s="13">
        <v>10287</v>
      </c>
      <c r="J226" s="14"/>
    </row>
    <row r="227" spans="1:19" s="15" customFormat="1" ht="34" x14ac:dyDescent="0.2">
      <c r="A227" s="8">
        <v>6300</v>
      </c>
      <c r="B227" s="8">
        <v>220</v>
      </c>
      <c r="C227" s="8" t="s">
        <v>49</v>
      </c>
      <c r="D227" s="9">
        <v>1</v>
      </c>
      <c r="E227" s="10" t="s">
        <v>385</v>
      </c>
      <c r="F227" s="11"/>
      <c r="G227" s="12">
        <f t="shared" si="7"/>
        <v>1612</v>
      </c>
      <c r="H227" s="12">
        <f t="shared" si="6"/>
        <v>794</v>
      </c>
      <c r="I227" s="13">
        <v>2406</v>
      </c>
      <c r="J227" s="14"/>
    </row>
    <row r="228" spans="1:19" s="15" customFormat="1" ht="17" x14ac:dyDescent="0.2">
      <c r="A228" s="8">
        <v>6300</v>
      </c>
      <c r="B228" s="8">
        <v>220</v>
      </c>
      <c r="C228" s="8" t="s">
        <v>49</v>
      </c>
      <c r="D228" s="9">
        <v>2</v>
      </c>
      <c r="E228" s="10" t="s">
        <v>51</v>
      </c>
      <c r="F228" s="11"/>
      <c r="G228" s="12">
        <f t="shared" si="7"/>
        <v>7934</v>
      </c>
      <c r="H228" s="12">
        <f t="shared" si="6"/>
        <v>3908</v>
      </c>
      <c r="I228" s="13">
        <v>11842</v>
      </c>
      <c r="J228" s="14"/>
    </row>
    <row r="229" spans="1:19" ht="34" x14ac:dyDescent="0.2">
      <c r="A229" s="8">
        <v>6300</v>
      </c>
      <c r="B229" s="8">
        <v>220</v>
      </c>
      <c r="C229" s="8" t="s">
        <v>49</v>
      </c>
      <c r="D229" s="9">
        <v>2</v>
      </c>
      <c r="E229" s="10" t="s">
        <v>386</v>
      </c>
      <c r="F229" s="11"/>
      <c r="G229" s="12">
        <f t="shared" si="7"/>
        <v>1856</v>
      </c>
      <c r="H229" s="12">
        <f t="shared" si="6"/>
        <v>914</v>
      </c>
      <c r="I229" s="13">
        <v>2770</v>
      </c>
    </row>
    <row r="230" spans="1:19" s="15" customFormat="1" ht="17" x14ac:dyDescent="0.2">
      <c r="A230" s="88">
        <v>6300</v>
      </c>
      <c r="B230" s="88">
        <v>220</v>
      </c>
      <c r="C230" s="88" t="s">
        <v>31</v>
      </c>
      <c r="D230" s="82">
        <v>6</v>
      </c>
      <c r="E230" s="87" t="s">
        <v>476</v>
      </c>
      <c r="F230" s="89"/>
      <c r="G230" s="90">
        <f t="shared" si="7"/>
        <v>0</v>
      </c>
      <c r="H230" s="90">
        <f t="shared" si="6"/>
        <v>0</v>
      </c>
      <c r="I230" s="91"/>
      <c r="J230" s="14"/>
      <c r="S230" s="80"/>
    </row>
    <row r="231" spans="1:19" s="45" customFormat="1" ht="17" x14ac:dyDescent="0.2">
      <c r="A231" s="81">
        <v>6300</v>
      </c>
      <c r="B231" s="81">
        <v>220</v>
      </c>
      <c r="C231" s="81" t="s">
        <v>31</v>
      </c>
      <c r="D231" s="82">
        <v>6</v>
      </c>
      <c r="E231" s="87" t="s">
        <v>477</v>
      </c>
      <c r="F231" s="84"/>
      <c r="G231" s="85">
        <f t="shared" si="7"/>
        <v>0</v>
      </c>
      <c r="H231" s="85">
        <f t="shared" si="6"/>
        <v>0</v>
      </c>
      <c r="I231" s="86"/>
      <c r="J231" s="43"/>
      <c r="K231" s="44"/>
      <c r="L231" s="44"/>
      <c r="M231" s="44"/>
      <c r="N231" s="44"/>
      <c r="O231" s="44"/>
      <c r="P231" s="44"/>
      <c r="Q231" s="44"/>
      <c r="R231" s="44"/>
      <c r="S231" s="30"/>
    </row>
    <row r="232" spans="1:19" s="15" customFormat="1" ht="34" x14ac:dyDescent="0.2">
      <c r="A232" s="46">
        <v>6300</v>
      </c>
      <c r="B232" s="46">
        <v>220</v>
      </c>
      <c r="C232" s="46">
        <v>1</v>
      </c>
      <c r="D232" s="9">
        <v>10</v>
      </c>
      <c r="E232" s="10" t="s">
        <v>382</v>
      </c>
      <c r="F232" s="47"/>
      <c r="G232" s="48">
        <f t="shared" si="7"/>
        <v>1720058</v>
      </c>
      <c r="H232" s="48">
        <f t="shared" si="6"/>
        <v>847193</v>
      </c>
      <c r="I232" s="49">
        <v>2567250</v>
      </c>
      <c r="J232" s="14"/>
    </row>
    <row r="233" spans="1:19" s="15" customFormat="1" ht="17" x14ac:dyDescent="0.2">
      <c r="A233" s="8">
        <v>6300</v>
      </c>
      <c r="B233" s="8">
        <v>220</v>
      </c>
      <c r="C233" s="8">
        <v>1</v>
      </c>
      <c r="D233" s="9">
        <v>10</v>
      </c>
      <c r="E233" s="10" t="s">
        <v>383</v>
      </c>
      <c r="F233" s="11"/>
      <c r="G233" s="12">
        <f t="shared" si="7"/>
        <v>218588</v>
      </c>
      <c r="H233" s="12">
        <f t="shared" si="6"/>
        <v>107663</v>
      </c>
      <c r="I233" s="13">
        <v>326250</v>
      </c>
      <c r="J233" s="14"/>
    </row>
    <row r="234" spans="1:19" s="15" customFormat="1" ht="34" x14ac:dyDescent="0.2">
      <c r="A234" s="8">
        <v>6300</v>
      </c>
      <c r="B234" s="8">
        <v>220</v>
      </c>
      <c r="C234" s="8" t="s">
        <v>49</v>
      </c>
      <c r="D234" s="9">
        <v>10</v>
      </c>
      <c r="E234" s="10" t="s">
        <v>50</v>
      </c>
      <c r="F234" s="11"/>
      <c r="G234" s="12">
        <f t="shared" si="7"/>
        <v>7284</v>
      </c>
      <c r="H234" s="12">
        <f t="shared" ref="H234:H297" si="8">ROUND(I234*0.33,0)</f>
        <v>3588</v>
      </c>
      <c r="I234" s="13">
        <v>10872</v>
      </c>
      <c r="J234" s="14"/>
    </row>
    <row r="235" spans="1:19" s="15" customFormat="1" ht="34" x14ac:dyDescent="0.2">
      <c r="A235" s="8">
        <v>6300</v>
      </c>
      <c r="B235" s="8">
        <v>220</v>
      </c>
      <c r="C235" s="8" t="s">
        <v>49</v>
      </c>
      <c r="D235" s="9">
        <v>10</v>
      </c>
      <c r="E235" s="10" t="s">
        <v>387</v>
      </c>
      <c r="F235" s="11"/>
      <c r="G235" s="12">
        <f t="shared" si="7"/>
        <v>3408</v>
      </c>
      <c r="H235" s="12">
        <f t="shared" si="8"/>
        <v>1678</v>
      </c>
      <c r="I235" s="13">
        <v>5086</v>
      </c>
      <c r="J235" s="14"/>
    </row>
    <row r="236" spans="1:19" ht="17" x14ac:dyDescent="0.2">
      <c r="A236" s="8">
        <v>6300</v>
      </c>
      <c r="B236" s="8">
        <v>220</v>
      </c>
      <c r="C236" s="8" t="s">
        <v>49</v>
      </c>
      <c r="D236" s="9">
        <v>12</v>
      </c>
      <c r="E236" s="10" t="s">
        <v>52</v>
      </c>
      <c r="F236" s="11"/>
      <c r="G236" s="12">
        <f t="shared" si="7"/>
        <v>5026</v>
      </c>
      <c r="H236" s="12">
        <f t="shared" si="8"/>
        <v>2475</v>
      </c>
      <c r="I236" s="13">
        <v>7501</v>
      </c>
    </row>
    <row r="237" spans="1:19" ht="34" x14ac:dyDescent="0.2">
      <c r="A237" s="8">
        <v>6300</v>
      </c>
      <c r="B237" s="8">
        <v>220</v>
      </c>
      <c r="C237" s="8" t="s">
        <v>49</v>
      </c>
      <c r="D237" s="9">
        <v>12</v>
      </c>
      <c r="E237" s="10" t="s">
        <v>388</v>
      </c>
      <c r="F237" s="53"/>
      <c r="G237" s="12">
        <f t="shared" si="7"/>
        <v>1176</v>
      </c>
      <c r="H237" s="12">
        <f t="shared" si="8"/>
        <v>579</v>
      </c>
      <c r="I237" s="13">
        <v>1755</v>
      </c>
      <c r="J237" s="7"/>
    </row>
    <row r="238" spans="1:19" ht="17" x14ac:dyDescent="0.2">
      <c r="A238" s="8">
        <v>6300</v>
      </c>
      <c r="B238" s="8">
        <v>220</v>
      </c>
      <c r="C238" s="8">
        <v>1</v>
      </c>
      <c r="D238" s="9">
        <v>14</v>
      </c>
      <c r="E238" s="10" t="s">
        <v>53</v>
      </c>
      <c r="F238" s="53"/>
      <c r="G238" s="12">
        <f t="shared" si="7"/>
        <v>11726</v>
      </c>
      <c r="H238" s="12">
        <f t="shared" si="8"/>
        <v>5775</v>
      </c>
      <c r="I238" s="13">
        <v>17501</v>
      </c>
      <c r="J238" s="7"/>
    </row>
    <row r="239" spans="1:19" ht="34" x14ac:dyDescent="0.2">
      <c r="A239" s="8">
        <v>6300</v>
      </c>
      <c r="B239" s="8">
        <v>220</v>
      </c>
      <c r="C239" s="8">
        <v>1</v>
      </c>
      <c r="D239" s="9">
        <v>14</v>
      </c>
      <c r="E239" s="10" t="s">
        <v>389</v>
      </c>
      <c r="F239" s="53"/>
      <c r="G239" s="12">
        <f t="shared" si="7"/>
        <v>2742</v>
      </c>
      <c r="H239" s="12">
        <f t="shared" si="8"/>
        <v>1351</v>
      </c>
      <c r="I239" s="13">
        <v>4093</v>
      </c>
      <c r="J239" s="7"/>
    </row>
    <row r="240" spans="1:19" ht="17" x14ac:dyDescent="0.2">
      <c r="A240" s="8" t="s">
        <v>163</v>
      </c>
      <c r="B240" s="8">
        <v>220</v>
      </c>
      <c r="C240" s="8" t="s">
        <v>49</v>
      </c>
      <c r="D240" s="9">
        <v>14</v>
      </c>
      <c r="E240" s="10" t="s">
        <v>167</v>
      </c>
      <c r="F240" s="53"/>
      <c r="G240" s="12">
        <f t="shared" si="7"/>
        <v>11730</v>
      </c>
      <c r="H240" s="12">
        <f t="shared" si="8"/>
        <v>5778</v>
      </c>
      <c r="I240" s="13">
        <f>8754*2</f>
        <v>17508</v>
      </c>
      <c r="J240" s="7"/>
    </row>
    <row r="241" spans="1:10" ht="34" x14ac:dyDescent="0.2">
      <c r="A241" s="8">
        <v>6300</v>
      </c>
      <c r="B241" s="8">
        <v>231</v>
      </c>
      <c r="C241" s="8" t="s">
        <v>49</v>
      </c>
      <c r="D241" s="9">
        <v>1</v>
      </c>
      <c r="E241" s="10" t="s">
        <v>390</v>
      </c>
      <c r="F241" s="53"/>
      <c r="G241" s="12">
        <f t="shared" si="7"/>
        <v>26257</v>
      </c>
      <c r="H241" s="12">
        <f t="shared" si="8"/>
        <v>12933</v>
      </c>
      <c r="I241" s="13">
        <v>39190</v>
      </c>
      <c r="J241" s="7"/>
    </row>
    <row r="242" spans="1:10" ht="34" x14ac:dyDescent="0.2">
      <c r="A242" s="8">
        <v>6300</v>
      </c>
      <c r="B242" s="8">
        <v>231</v>
      </c>
      <c r="C242" s="8" t="s">
        <v>49</v>
      </c>
      <c r="D242" s="9">
        <v>2</v>
      </c>
      <c r="E242" s="10" t="s">
        <v>391</v>
      </c>
      <c r="F242" s="53"/>
      <c r="G242" s="12">
        <f t="shared" si="7"/>
        <v>30227</v>
      </c>
      <c r="H242" s="12">
        <f t="shared" si="8"/>
        <v>14888</v>
      </c>
      <c r="I242" s="13">
        <v>45115</v>
      </c>
      <c r="J242" s="7"/>
    </row>
    <row r="243" spans="1:10" ht="17" x14ac:dyDescent="0.2">
      <c r="A243" s="81">
        <v>6300</v>
      </c>
      <c r="B243" s="81">
        <v>231</v>
      </c>
      <c r="C243" s="81" t="s">
        <v>31</v>
      </c>
      <c r="D243" s="82">
        <v>6</v>
      </c>
      <c r="E243" s="87" t="s">
        <v>478</v>
      </c>
      <c r="F243" s="92"/>
      <c r="G243" s="85">
        <f t="shared" si="7"/>
        <v>0</v>
      </c>
      <c r="H243" s="85">
        <f t="shared" si="8"/>
        <v>0</v>
      </c>
      <c r="I243" s="86"/>
      <c r="J243" s="7"/>
    </row>
    <row r="244" spans="1:10" ht="34" x14ac:dyDescent="0.2">
      <c r="A244" s="8">
        <v>6300</v>
      </c>
      <c r="B244" s="8">
        <v>231</v>
      </c>
      <c r="C244" s="8" t="s">
        <v>49</v>
      </c>
      <c r="D244" s="9">
        <v>10</v>
      </c>
      <c r="E244" s="10" t="s">
        <v>392</v>
      </c>
      <c r="F244" s="11"/>
      <c r="G244" s="12">
        <f t="shared" si="7"/>
        <v>40156</v>
      </c>
      <c r="H244" s="12">
        <f t="shared" si="8"/>
        <v>19778</v>
      </c>
      <c r="I244" s="13">
        <v>59934</v>
      </c>
      <c r="J244" s="7"/>
    </row>
    <row r="245" spans="1:10" ht="34" x14ac:dyDescent="0.2">
      <c r="A245" s="8">
        <v>6300</v>
      </c>
      <c r="B245" s="8">
        <v>231</v>
      </c>
      <c r="C245" s="8" t="s">
        <v>49</v>
      </c>
      <c r="D245" s="9">
        <v>12</v>
      </c>
      <c r="E245" s="10" t="s">
        <v>393</v>
      </c>
      <c r="F245" s="11"/>
      <c r="G245" s="12">
        <f t="shared" si="7"/>
        <v>19146</v>
      </c>
      <c r="H245" s="12">
        <f t="shared" si="8"/>
        <v>9430</v>
      </c>
      <c r="I245" s="13">
        <v>28576</v>
      </c>
      <c r="J245" s="7"/>
    </row>
    <row r="246" spans="1:10" ht="17" x14ac:dyDescent="0.2">
      <c r="A246" s="8">
        <v>6300</v>
      </c>
      <c r="B246" s="8">
        <v>231</v>
      </c>
      <c r="C246" s="8">
        <v>1</v>
      </c>
      <c r="D246" s="9">
        <v>14</v>
      </c>
      <c r="E246" s="33" t="s">
        <v>394</v>
      </c>
      <c r="F246" s="11"/>
      <c r="G246" s="12">
        <f t="shared" si="7"/>
        <v>32321</v>
      </c>
      <c r="H246" s="12">
        <f t="shared" si="8"/>
        <v>15920</v>
      </c>
      <c r="I246" s="13">
        <v>48241</v>
      </c>
      <c r="J246" s="7"/>
    </row>
    <row r="247" spans="1:10" ht="17" x14ac:dyDescent="0.2">
      <c r="A247" s="81">
        <v>6300</v>
      </c>
      <c r="B247" s="81">
        <v>232</v>
      </c>
      <c r="C247" s="81" t="s">
        <v>31</v>
      </c>
      <c r="D247" s="82">
        <v>6</v>
      </c>
      <c r="E247" s="87" t="s">
        <v>479</v>
      </c>
      <c r="F247" s="84"/>
      <c r="G247" s="85">
        <f t="shared" si="7"/>
        <v>0</v>
      </c>
      <c r="H247" s="85">
        <f t="shared" si="8"/>
        <v>0</v>
      </c>
      <c r="I247" s="86"/>
      <c r="J247" s="7"/>
    </row>
    <row r="248" spans="1:10" ht="34" x14ac:dyDescent="0.2">
      <c r="A248" s="8">
        <v>6300</v>
      </c>
      <c r="B248" s="8">
        <v>232</v>
      </c>
      <c r="C248" s="8" t="s">
        <v>49</v>
      </c>
      <c r="D248" s="9">
        <v>10</v>
      </c>
      <c r="E248" s="10" t="s">
        <v>396</v>
      </c>
      <c r="F248" s="11"/>
      <c r="G248" s="12">
        <f t="shared" si="7"/>
        <v>611</v>
      </c>
      <c r="H248" s="12">
        <f t="shared" si="8"/>
        <v>301</v>
      </c>
      <c r="I248" s="13">
        <v>912</v>
      </c>
      <c r="J248" s="7"/>
    </row>
    <row r="249" spans="1:10" ht="34" x14ac:dyDescent="0.2">
      <c r="A249" s="8">
        <v>6300</v>
      </c>
      <c r="B249" s="8">
        <v>232</v>
      </c>
      <c r="C249" s="8" t="s">
        <v>49</v>
      </c>
      <c r="D249" s="9">
        <v>12</v>
      </c>
      <c r="E249" s="10" t="s">
        <v>395</v>
      </c>
      <c r="F249" s="53"/>
      <c r="G249" s="12">
        <f t="shared" si="7"/>
        <v>211</v>
      </c>
      <c r="H249" s="12">
        <f t="shared" si="8"/>
        <v>104</v>
      </c>
      <c r="I249" s="13">
        <v>315</v>
      </c>
      <c r="J249" s="7"/>
    </row>
    <row r="250" spans="1:10" ht="34" x14ac:dyDescent="0.2">
      <c r="A250" s="8">
        <v>6300</v>
      </c>
      <c r="B250" s="8">
        <v>232</v>
      </c>
      <c r="C250" s="8">
        <v>1</v>
      </c>
      <c r="D250" s="9">
        <v>14</v>
      </c>
      <c r="E250" s="10" t="s">
        <v>397</v>
      </c>
      <c r="F250" s="11"/>
      <c r="G250" s="12">
        <f t="shared" si="7"/>
        <v>417</v>
      </c>
      <c r="H250" s="12">
        <f t="shared" si="8"/>
        <v>205</v>
      </c>
      <c r="I250" s="13">
        <v>622</v>
      </c>
      <c r="J250" s="7"/>
    </row>
    <row r="251" spans="1:10" ht="34" x14ac:dyDescent="0.2">
      <c r="A251" s="8">
        <v>6300</v>
      </c>
      <c r="B251" s="8">
        <v>240</v>
      </c>
      <c r="C251" s="8" t="s">
        <v>49</v>
      </c>
      <c r="D251" s="9">
        <v>1</v>
      </c>
      <c r="E251" s="10" t="s">
        <v>399</v>
      </c>
      <c r="F251" s="53"/>
      <c r="G251" s="12">
        <f t="shared" si="7"/>
        <v>1457</v>
      </c>
      <c r="H251" s="12">
        <f t="shared" si="8"/>
        <v>717</v>
      </c>
      <c r="I251" s="13">
        <v>2174</v>
      </c>
      <c r="J251" s="7"/>
    </row>
    <row r="252" spans="1:10" ht="34" x14ac:dyDescent="0.2">
      <c r="A252" s="8">
        <v>6300</v>
      </c>
      <c r="B252" s="8">
        <v>240</v>
      </c>
      <c r="C252" s="8" t="s">
        <v>49</v>
      </c>
      <c r="D252" s="9">
        <v>2</v>
      </c>
      <c r="E252" s="10" t="s">
        <v>400</v>
      </c>
      <c r="F252" s="53"/>
      <c r="G252" s="12">
        <f t="shared" si="7"/>
        <v>1677</v>
      </c>
      <c r="H252" s="12">
        <f t="shared" si="8"/>
        <v>826</v>
      </c>
      <c r="I252" s="13">
        <v>2503</v>
      </c>
      <c r="J252" s="7"/>
    </row>
    <row r="253" spans="1:10" ht="17" x14ac:dyDescent="0.2">
      <c r="A253" s="81">
        <v>6300</v>
      </c>
      <c r="B253" s="81">
        <v>240</v>
      </c>
      <c r="C253" s="81" t="s">
        <v>31</v>
      </c>
      <c r="D253" s="82">
        <v>6</v>
      </c>
      <c r="E253" s="87" t="s">
        <v>480</v>
      </c>
      <c r="F253" s="92"/>
      <c r="G253" s="85">
        <f t="shared" si="7"/>
        <v>0</v>
      </c>
      <c r="H253" s="85">
        <f t="shared" si="8"/>
        <v>0</v>
      </c>
      <c r="I253" s="86"/>
      <c r="J253" s="7"/>
    </row>
    <row r="254" spans="1:10" ht="34" x14ac:dyDescent="0.2">
      <c r="A254" s="8">
        <v>6300</v>
      </c>
      <c r="B254" s="8">
        <v>240</v>
      </c>
      <c r="C254" s="8">
        <v>1</v>
      </c>
      <c r="D254" s="9">
        <v>10</v>
      </c>
      <c r="E254" s="10" t="s">
        <v>398</v>
      </c>
      <c r="F254" s="53"/>
      <c r="G254" s="12">
        <f t="shared" si="7"/>
        <v>170348</v>
      </c>
      <c r="H254" s="12">
        <f t="shared" si="8"/>
        <v>83903</v>
      </c>
      <c r="I254" s="13">
        <v>254250</v>
      </c>
      <c r="J254" s="7"/>
    </row>
    <row r="255" spans="1:10" ht="34" x14ac:dyDescent="0.2">
      <c r="A255" s="8">
        <v>6300</v>
      </c>
      <c r="B255" s="8">
        <v>240</v>
      </c>
      <c r="C255" s="8" t="s">
        <v>49</v>
      </c>
      <c r="D255" s="9">
        <v>10</v>
      </c>
      <c r="E255" s="10" t="s">
        <v>54</v>
      </c>
      <c r="F255" s="53"/>
      <c r="G255" s="12">
        <f t="shared" si="7"/>
        <v>2655</v>
      </c>
      <c r="H255" s="12">
        <f t="shared" si="8"/>
        <v>1308</v>
      </c>
      <c r="I255" s="13">
        <v>3963</v>
      </c>
      <c r="J255" s="7"/>
    </row>
    <row r="256" spans="1:10" ht="17" x14ac:dyDescent="0.2">
      <c r="A256" s="8">
        <v>6300</v>
      </c>
      <c r="B256" s="8">
        <v>240</v>
      </c>
      <c r="C256" s="8">
        <v>1</v>
      </c>
      <c r="D256" s="9">
        <v>14</v>
      </c>
      <c r="E256" s="33" t="s">
        <v>401</v>
      </c>
      <c r="F256" s="53"/>
      <c r="G256" s="12">
        <f t="shared" si="7"/>
        <v>2478</v>
      </c>
      <c r="H256" s="12">
        <f t="shared" si="8"/>
        <v>1220</v>
      </c>
      <c r="I256" s="13">
        <v>3698</v>
      </c>
      <c r="J256" s="7"/>
    </row>
    <row r="257" spans="1:10" ht="34" x14ac:dyDescent="0.2">
      <c r="A257" s="8" t="s">
        <v>163</v>
      </c>
      <c r="B257" s="8">
        <v>240</v>
      </c>
      <c r="C257" s="8" t="s">
        <v>49</v>
      </c>
      <c r="D257" s="9">
        <v>14</v>
      </c>
      <c r="E257" s="10" t="s">
        <v>168</v>
      </c>
      <c r="F257" s="53"/>
      <c r="G257" s="12">
        <f t="shared" si="7"/>
        <v>1733</v>
      </c>
      <c r="H257" s="12">
        <f t="shared" si="8"/>
        <v>853</v>
      </c>
      <c r="I257" s="13">
        <f>1293*2</f>
        <v>2586</v>
      </c>
      <c r="J257" s="7"/>
    </row>
    <row r="258" spans="1:10" ht="17" x14ac:dyDescent="0.2">
      <c r="A258" s="8" t="s">
        <v>169</v>
      </c>
      <c r="B258" s="8">
        <v>110</v>
      </c>
      <c r="C258" s="8" t="s">
        <v>49</v>
      </c>
      <c r="D258" s="9">
        <v>14</v>
      </c>
      <c r="E258" s="10" t="s">
        <v>170</v>
      </c>
      <c r="F258" s="53"/>
      <c r="G258" s="12">
        <f t="shared" ref="G258:G321" si="9">ROUND(I258*0.67,0)</f>
        <v>1905</v>
      </c>
      <c r="H258" s="12">
        <f t="shared" si="8"/>
        <v>939</v>
      </c>
      <c r="I258" s="13">
        <f>1422*2</f>
        <v>2844</v>
      </c>
      <c r="J258" s="7"/>
    </row>
    <row r="259" spans="1:10" ht="170" x14ac:dyDescent="0.2">
      <c r="A259" s="8">
        <v>6400</v>
      </c>
      <c r="B259" s="8">
        <v>120</v>
      </c>
      <c r="C259" s="8" t="s">
        <v>55</v>
      </c>
      <c r="D259" s="9">
        <v>1</v>
      </c>
      <c r="E259" s="10" t="s">
        <v>56</v>
      </c>
      <c r="F259" s="53"/>
      <c r="G259" s="12">
        <f t="shared" si="9"/>
        <v>2583855</v>
      </c>
      <c r="H259" s="12">
        <f t="shared" si="8"/>
        <v>1272645</v>
      </c>
      <c r="I259" s="13">
        <v>3856500</v>
      </c>
      <c r="J259" s="7"/>
    </row>
    <row r="260" spans="1:10" ht="17" x14ac:dyDescent="0.2">
      <c r="A260" s="8" t="s">
        <v>169</v>
      </c>
      <c r="B260" s="8">
        <v>130</v>
      </c>
      <c r="C260" s="8" t="s">
        <v>49</v>
      </c>
      <c r="D260" s="9">
        <v>14</v>
      </c>
      <c r="E260" s="10" t="s">
        <v>171</v>
      </c>
      <c r="F260" s="53"/>
      <c r="G260" s="12">
        <f t="shared" si="9"/>
        <v>133334</v>
      </c>
      <c r="H260" s="12">
        <f t="shared" si="8"/>
        <v>65672</v>
      </c>
      <c r="I260" s="13">
        <f>99503*2</f>
        <v>199006</v>
      </c>
      <c r="J260" s="7"/>
    </row>
    <row r="261" spans="1:10" ht="51" x14ac:dyDescent="0.2">
      <c r="A261" s="8">
        <v>6400</v>
      </c>
      <c r="B261" s="8">
        <v>150</v>
      </c>
      <c r="C261" s="8" t="s">
        <v>55</v>
      </c>
      <c r="D261" s="9">
        <v>2</v>
      </c>
      <c r="E261" s="10" t="s">
        <v>402</v>
      </c>
      <c r="F261" s="11"/>
      <c r="G261" s="12">
        <f t="shared" si="9"/>
        <v>301500</v>
      </c>
      <c r="H261" s="12">
        <f t="shared" si="8"/>
        <v>148500</v>
      </c>
      <c r="I261" s="13">
        <v>450000</v>
      </c>
      <c r="J261" s="7"/>
    </row>
    <row r="262" spans="1:10" ht="34" x14ac:dyDescent="0.2">
      <c r="A262" s="8" t="s">
        <v>169</v>
      </c>
      <c r="B262" s="8">
        <v>160</v>
      </c>
      <c r="C262" s="8" t="s">
        <v>49</v>
      </c>
      <c r="D262" s="9">
        <v>14</v>
      </c>
      <c r="E262" s="10" t="s">
        <v>172</v>
      </c>
      <c r="F262" s="11"/>
      <c r="G262" s="12">
        <f t="shared" si="9"/>
        <v>5715</v>
      </c>
      <c r="H262" s="12">
        <f t="shared" si="8"/>
        <v>2815</v>
      </c>
      <c r="I262" s="13">
        <f>4265*2</f>
        <v>8530</v>
      </c>
      <c r="J262" s="7"/>
    </row>
    <row r="263" spans="1:10" ht="17" x14ac:dyDescent="0.2">
      <c r="A263" s="8">
        <v>6400</v>
      </c>
      <c r="B263" s="8">
        <v>210</v>
      </c>
      <c r="C263" s="8" t="s">
        <v>55</v>
      </c>
      <c r="D263" s="9" t="s">
        <v>57</v>
      </c>
      <c r="E263" s="10" t="s">
        <v>58</v>
      </c>
      <c r="F263" s="53"/>
      <c r="G263" s="12">
        <f t="shared" si="9"/>
        <v>1147</v>
      </c>
      <c r="H263" s="12">
        <f t="shared" si="8"/>
        <v>565</v>
      </c>
      <c r="I263" s="13">
        <v>1712</v>
      </c>
      <c r="J263" s="7"/>
    </row>
    <row r="264" spans="1:10" ht="34" x14ac:dyDescent="0.2">
      <c r="A264" s="8" t="s">
        <v>169</v>
      </c>
      <c r="B264" s="8">
        <v>220</v>
      </c>
      <c r="C264" s="8" t="s">
        <v>49</v>
      </c>
      <c r="D264" s="9">
        <v>14</v>
      </c>
      <c r="E264" s="10" t="s">
        <v>173</v>
      </c>
      <c r="F264" s="53"/>
      <c r="G264" s="12">
        <f t="shared" si="9"/>
        <v>10783</v>
      </c>
      <c r="H264" s="12">
        <f t="shared" si="8"/>
        <v>5311</v>
      </c>
      <c r="I264" s="13">
        <f>8047*2</f>
        <v>16094</v>
      </c>
      <c r="J264" s="7"/>
    </row>
    <row r="265" spans="1:10" ht="51" x14ac:dyDescent="0.2">
      <c r="A265" s="8">
        <v>6400</v>
      </c>
      <c r="B265" s="8">
        <v>220</v>
      </c>
      <c r="C265" s="8" t="s">
        <v>55</v>
      </c>
      <c r="D265" s="9" t="s">
        <v>57</v>
      </c>
      <c r="E265" s="10" t="s">
        <v>59</v>
      </c>
      <c r="F265" s="53"/>
      <c r="G265" s="12">
        <f t="shared" si="9"/>
        <v>180039</v>
      </c>
      <c r="H265" s="12">
        <f t="shared" si="8"/>
        <v>88676</v>
      </c>
      <c r="I265" s="13">
        <v>268715</v>
      </c>
      <c r="J265" s="7"/>
    </row>
    <row r="266" spans="1:10" ht="68" x14ac:dyDescent="0.2">
      <c r="A266" s="8">
        <v>6400</v>
      </c>
      <c r="B266" s="8">
        <v>220</v>
      </c>
      <c r="C266" s="8" t="s">
        <v>55</v>
      </c>
      <c r="D266" s="9" t="s">
        <v>57</v>
      </c>
      <c r="E266" s="10" t="s">
        <v>60</v>
      </c>
      <c r="F266" s="53"/>
      <c r="G266" s="12">
        <f t="shared" si="9"/>
        <v>41984</v>
      </c>
      <c r="H266" s="12">
        <f t="shared" si="8"/>
        <v>20679</v>
      </c>
      <c r="I266" s="13">
        <v>62663</v>
      </c>
      <c r="J266" s="7"/>
    </row>
    <row r="267" spans="1:10" ht="17" x14ac:dyDescent="0.2">
      <c r="A267" s="8" t="s">
        <v>169</v>
      </c>
      <c r="B267" s="8">
        <v>240</v>
      </c>
      <c r="C267" s="8" t="s">
        <v>49</v>
      </c>
      <c r="D267" s="9">
        <v>14</v>
      </c>
      <c r="E267" s="10" t="s">
        <v>174</v>
      </c>
      <c r="F267" s="53"/>
      <c r="G267" s="12">
        <f t="shared" si="9"/>
        <v>1593</v>
      </c>
      <c r="H267" s="12">
        <f t="shared" si="8"/>
        <v>785</v>
      </c>
      <c r="I267" s="13">
        <f>1189*2</f>
        <v>2378</v>
      </c>
      <c r="J267" s="7"/>
    </row>
    <row r="268" spans="1:10" ht="68" x14ac:dyDescent="0.2">
      <c r="A268" s="8">
        <v>6400</v>
      </c>
      <c r="B268" s="8">
        <v>240</v>
      </c>
      <c r="C268" s="8" t="s">
        <v>55</v>
      </c>
      <c r="D268" s="9" t="s">
        <v>57</v>
      </c>
      <c r="E268" s="10" t="s">
        <v>61</v>
      </c>
      <c r="F268" s="11"/>
      <c r="G268" s="12">
        <f t="shared" si="9"/>
        <v>32719</v>
      </c>
      <c r="H268" s="12">
        <f t="shared" si="8"/>
        <v>16115</v>
      </c>
      <c r="I268" s="13">
        <v>48834</v>
      </c>
      <c r="J268" s="7"/>
    </row>
    <row r="269" spans="1:10" ht="51" x14ac:dyDescent="0.2">
      <c r="A269" s="8">
        <v>6400</v>
      </c>
      <c r="B269" s="8">
        <v>310</v>
      </c>
      <c r="C269" s="8">
        <v>1</v>
      </c>
      <c r="D269" s="9">
        <v>6</v>
      </c>
      <c r="E269" s="10" t="s">
        <v>403</v>
      </c>
      <c r="F269" s="11"/>
      <c r="G269" s="12">
        <f t="shared" si="9"/>
        <v>603000</v>
      </c>
      <c r="H269" s="12">
        <f t="shared" si="8"/>
        <v>297000</v>
      </c>
      <c r="I269" s="13">
        <v>900000</v>
      </c>
      <c r="J269" s="7"/>
    </row>
    <row r="270" spans="1:10" ht="51" x14ac:dyDescent="0.2">
      <c r="A270" s="8">
        <v>6400</v>
      </c>
      <c r="B270" s="8">
        <v>335</v>
      </c>
      <c r="C270" s="8" t="s">
        <v>47</v>
      </c>
      <c r="D270" s="9">
        <v>3</v>
      </c>
      <c r="E270" s="10" t="s">
        <v>62</v>
      </c>
      <c r="F270" s="53"/>
      <c r="G270" s="12">
        <f t="shared" si="9"/>
        <v>26800</v>
      </c>
      <c r="H270" s="12">
        <f t="shared" si="8"/>
        <v>13200</v>
      </c>
      <c r="I270" s="13">
        <v>40000</v>
      </c>
      <c r="J270" s="7"/>
    </row>
    <row r="271" spans="1:10" ht="68" x14ac:dyDescent="0.2">
      <c r="A271" s="8">
        <v>6400</v>
      </c>
      <c r="B271" s="8">
        <v>394</v>
      </c>
      <c r="C271" s="8">
        <v>1</v>
      </c>
      <c r="D271" s="9" t="s">
        <v>63</v>
      </c>
      <c r="E271" s="17" t="s">
        <v>404</v>
      </c>
      <c r="F271" s="53"/>
      <c r="G271" s="12">
        <f t="shared" si="9"/>
        <v>8746</v>
      </c>
      <c r="H271" s="12">
        <f t="shared" si="8"/>
        <v>4308</v>
      </c>
      <c r="I271" s="13">
        <v>13054</v>
      </c>
      <c r="J271" s="7"/>
    </row>
    <row r="272" spans="1:10" ht="34" x14ac:dyDescent="0.2">
      <c r="A272" s="8">
        <v>6400</v>
      </c>
      <c r="B272" s="8">
        <v>394</v>
      </c>
      <c r="C272" s="8">
        <v>1</v>
      </c>
      <c r="D272" s="9" t="s">
        <v>64</v>
      </c>
      <c r="E272" s="17" t="s">
        <v>405</v>
      </c>
      <c r="F272" s="53"/>
      <c r="G272" s="12">
        <f t="shared" si="9"/>
        <v>2186</v>
      </c>
      <c r="H272" s="12">
        <f t="shared" si="8"/>
        <v>1077</v>
      </c>
      <c r="I272" s="13">
        <v>3263</v>
      </c>
      <c r="J272" s="7"/>
    </row>
    <row r="273" spans="1:10" ht="85" x14ac:dyDescent="0.2">
      <c r="A273" s="8">
        <v>6400</v>
      </c>
      <c r="B273" s="8">
        <v>751</v>
      </c>
      <c r="C273" s="8">
        <v>1</v>
      </c>
      <c r="D273" s="9">
        <v>13</v>
      </c>
      <c r="E273" s="10" t="s">
        <v>294</v>
      </c>
      <c r="F273" s="53"/>
      <c r="G273" s="12">
        <f t="shared" si="9"/>
        <v>113900</v>
      </c>
      <c r="H273" s="12">
        <f t="shared" si="8"/>
        <v>56100</v>
      </c>
      <c r="I273" s="13">
        <v>170000</v>
      </c>
      <c r="J273" s="7"/>
    </row>
    <row r="274" spans="1:10" ht="17" x14ac:dyDescent="0.2">
      <c r="A274" s="8" t="s">
        <v>175</v>
      </c>
      <c r="B274" s="8">
        <v>110</v>
      </c>
      <c r="C274" s="8" t="s">
        <v>49</v>
      </c>
      <c r="D274" s="9">
        <v>14</v>
      </c>
      <c r="E274" s="10" t="s">
        <v>176</v>
      </c>
      <c r="F274" s="11"/>
      <c r="G274" s="12">
        <f t="shared" si="9"/>
        <v>1905</v>
      </c>
      <c r="H274" s="12">
        <f t="shared" si="8"/>
        <v>939</v>
      </c>
      <c r="I274" s="13">
        <f>1422*2</f>
        <v>2844</v>
      </c>
      <c r="J274" s="7"/>
    </row>
    <row r="275" spans="1:10" ht="17" x14ac:dyDescent="0.2">
      <c r="A275" s="8" t="s">
        <v>175</v>
      </c>
      <c r="B275" s="8">
        <v>160</v>
      </c>
      <c r="C275" s="8" t="s">
        <v>49</v>
      </c>
      <c r="D275" s="9">
        <v>14</v>
      </c>
      <c r="E275" s="10" t="s">
        <v>177</v>
      </c>
      <c r="F275" s="11"/>
      <c r="G275" s="12">
        <f t="shared" si="9"/>
        <v>64762</v>
      </c>
      <c r="H275" s="12">
        <f t="shared" si="8"/>
        <v>31898</v>
      </c>
      <c r="I275" s="13">
        <f>48330*2</f>
        <v>96660</v>
      </c>
      <c r="J275" s="7"/>
    </row>
    <row r="276" spans="1:10" ht="34" x14ac:dyDescent="0.2">
      <c r="A276" s="8" t="s">
        <v>175</v>
      </c>
      <c r="B276" s="8">
        <v>220</v>
      </c>
      <c r="C276" s="8" t="s">
        <v>49</v>
      </c>
      <c r="D276" s="9">
        <v>14</v>
      </c>
      <c r="E276" s="10" t="s">
        <v>178</v>
      </c>
      <c r="F276" s="53"/>
      <c r="G276" s="12">
        <f t="shared" si="9"/>
        <v>5100</v>
      </c>
      <c r="H276" s="12">
        <f t="shared" si="8"/>
        <v>2512</v>
      </c>
      <c r="I276" s="13">
        <f>3806*2</f>
        <v>7612</v>
      </c>
      <c r="J276" s="7"/>
    </row>
    <row r="277" spans="1:10" ht="17" x14ac:dyDescent="0.2">
      <c r="A277" s="8" t="s">
        <v>175</v>
      </c>
      <c r="B277" s="8">
        <v>240</v>
      </c>
      <c r="C277" s="8" t="s">
        <v>49</v>
      </c>
      <c r="D277" s="9">
        <v>14</v>
      </c>
      <c r="E277" s="10" t="s">
        <v>179</v>
      </c>
      <c r="F277" s="53"/>
      <c r="G277" s="12">
        <f t="shared" si="9"/>
        <v>754</v>
      </c>
      <c r="H277" s="12">
        <f t="shared" si="8"/>
        <v>372</v>
      </c>
      <c r="I277" s="13">
        <f>563*2</f>
        <v>1126</v>
      </c>
      <c r="J277" s="7"/>
    </row>
    <row r="278" spans="1:10" ht="68" x14ac:dyDescent="0.2">
      <c r="A278" s="8">
        <v>6500</v>
      </c>
      <c r="B278" s="8">
        <v>319</v>
      </c>
      <c r="C278" s="8" t="s">
        <v>9</v>
      </c>
      <c r="D278" s="9">
        <v>4</v>
      </c>
      <c r="E278" s="10" t="s">
        <v>406</v>
      </c>
      <c r="F278" s="53"/>
      <c r="G278" s="12">
        <f t="shared" si="9"/>
        <v>167500</v>
      </c>
      <c r="H278" s="12">
        <f t="shared" si="8"/>
        <v>82500</v>
      </c>
      <c r="I278" s="13">
        <v>250000</v>
      </c>
      <c r="J278" s="7"/>
    </row>
    <row r="279" spans="1:10" ht="17" x14ac:dyDescent="0.2">
      <c r="A279" s="20">
        <v>6500</v>
      </c>
      <c r="B279" s="20">
        <v>350</v>
      </c>
      <c r="C279" s="20" t="s">
        <v>9</v>
      </c>
      <c r="D279" s="21">
        <v>7</v>
      </c>
      <c r="E279" s="22" t="s">
        <v>66</v>
      </c>
      <c r="F279" s="5"/>
      <c r="G279" s="12">
        <f t="shared" si="9"/>
        <v>43550</v>
      </c>
      <c r="H279" s="12">
        <f t="shared" si="8"/>
        <v>21450</v>
      </c>
      <c r="I279" s="23">
        <v>65000</v>
      </c>
      <c r="J279" s="7"/>
    </row>
    <row r="280" spans="1:10" x14ac:dyDescent="0.2">
      <c r="A280" s="93">
        <v>6500</v>
      </c>
      <c r="B280" s="93"/>
      <c r="C280" s="93" t="s">
        <v>9</v>
      </c>
      <c r="D280" s="94">
        <v>8</v>
      </c>
      <c r="E280" s="95"/>
      <c r="F280" s="96"/>
      <c r="G280" s="97">
        <f t="shared" si="9"/>
        <v>8040000</v>
      </c>
      <c r="H280" s="97">
        <f t="shared" si="8"/>
        <v>3960000</v>
      </c>
      <c r="I280" s="98">
        <v>12000000</v>
      </c>
      <c r="J280" s="7"/>
    </row>
    <row r="281" spans="1:10" ht="102" x14ac:dyDescent="0.2">
      <c r="A281" s="8">
        <v>6500</v>
      </c>
      <c r="B281" s="8">
        <v>369</v>
      </c>
      <c r="C281" s="8" t="s">
        <v>65</v>
      </c>
      <c r="D281" s="9">
        <v>1</v>
      </c>
      <c r="E281" s="10" t="s">
        <v>486</v>
      </c>
      <c r="F281" s="11"/>
      <c r="G281" s="12">
        <f t="shared" si="9"/>
        <v>1368140</v>
      </c>
      <c r="H281" s="12">
        <f t="shared" si="8"/>
        <v>673860</v>
      </c>
      <c r="I281" s="13">
        <v>2042000</v>
      </c>
      <c r="J281" s="7"/>
    </row>
    <row r="282" spans="1:10" ht="68" x14ac:dyDescent="0.2">
      <c r="A282" s="8">
        <v>6500</v>
      </c>
      <c r="B282" s="8">
        <v>379</v>
      </c>
      <c r="C282" s="8" t="s">
        <v>9</v>
      </c>
      <c r="D282" s="9">
        <v>5</v>
      </c>
      <c r="E282" s="10" t="s">
        <v>485</v>
      </c>
      <c r="F282" s="11"/>
      <c r="G282" s="12">
        <f t="shared" si="9"/>
        <v>596300</v>
      </c>
      <c r="H282" s="12">
        <f t="shared" si="8"/>
        <v>293700</v>
      </c>
      <c r="I282" s="13">
        <v>890000</v>
      </c>
      <c r="J282" s="7"/>
    </row>
    <row r="283" spans="1:10" ht="68" x14ac:dyDescent="0.2">
      <c r="A283" s="20">
        <v>6500</v>
      </c>
      <c r="B283" s="20">
        <v>648</v>
      </c>
      <c r="C283" s="20" t="s">
        <v>9</v>
      </c>
      <c r="D283" s="21">
        <v>4</v>
      </c>
      <c r="E283" s="22" t="s">
        <v>407</v>
      </c>
      <c r="F283" s="2"/>
      <c r="G283" s="12">
        <f t="shared" si="9"/>
        <v>167500</v>
      </c>
      <c r="H283" s="12">
        <f t="shared" si="8"/>
        <v>82500</v>
      </c>
      <c r="I283" s="23">
        <v>250000</v>
      </c>
      <c r="J283" s="7"/>
    </row>
    <row r="284" spans="1:10" ht="17" x14ac:dyDescent="0.2">
      <c r="A284" s="8" t="s">
        <v>180</v>
      </c>
      <c r="B284" s="8">
        <v>110</v>
      </c>
      <c r="C284" s="8" t="s">
        <v>49</v>
      </c>
      <c r="D284" s="9">
        <v>14</v>
      </c>
      <c r="E284" s="10" t="s">
        <v>181</v>
      </c>
      <c r="F284" s="10"/>
      <c r="G284" s="12">
        <f t="shared" si="9"/>
        <v>1905</v>
      </c>
      <c r="H284" s="12">
        <f t="shared" si="8"/>
        <v>939</v>
      </c>
      <c r="I284" s="13">
        <f>1422*2</f>
        <v>2844</v>
      </c>
      <c r="J284" s="7"/>
    </row>
    <row r="285" spans="1:10" ht="17" x14ac:dyDescent="0.2">
      <c r="A285" s="8" t="s">
        <v>180</v>
      </c>
      <c r="B285" s="8">
        <v>160</v>
      </c>
      <c r="C285" s="8" t="s">
        <v>49</v>
      </c>
      <c r="D285" s="9">
        <v>14</v>
      </c>
      <c r="E285" s="10" t="s">
        <v>182</v>
      </c>
      <c r="F285" s="52"/>
      <c r="G285" s="12">
        <f t="shared" si="9"/>
        <v>3810</v>
      </c>
      <c r="H285" s="12">
        <f t="shared" si="8"/>
        <v>1876</v>
      </c>
      <c r="I285" s="13">
        <f>2843*2</f>
        <v>5686</v>
      </c>
      <c r="J285" s="7"/>
    </row>
    <row r="286" spans="1:10" ht="17" x14ac:dyDescent="0.2">
      <c r="A286" s="8" t="s">
        <v>180</v>
      </c>
      <c r="B286" s="8">
        <v>170</v>
      </c>
      <c r="C286" s="8" t="s">
        <v>49</v>
      </c>
      <c r="D286" s="9">
        <v>14</v>
      </c>
      <c r="E286" s="10" t="s">
        <v>183</v>
      </c>
      <c r="F286" s="52"/>
      <c r="G286" s="12">
        <f t="shared" si="9"/>
        <v>1905</v>
      </c>
      <c r="H286" s="12">
        <f t="shared" si="8"/>
        <v>939</v>
      </c>
      <c r="I286" s="13">
        <f>1422*2</f>
        <v>2844</v>
      </c>
      <c r="J286" s="7"/>
    </row>
    <row r="287" spans="1:10" ht="17" x14ac:dyDescent="0.2">
      <c r="A287" s="8" t="s">
        <v>180</v>
      </c>
      <c r="B287" s="8">
        <v>220</v>
      </c>
      <c r="C287" s="8" t="s">
        <v>49</v>
      </c>
      <c r="D287" s="9">
        <v>14</v>
      </c>
      <c r="E287" s="10" t="s">
        <v>184</v>
      </c>
      <c r="F287" s="53"/>
      <c r="G287" s="12">
        <f t="shared" si="9"/>
        <v>583</v>
      </c>
      <c r="H287" s="12">
        <f t="shared" si="8"/>
        <v>287</v>
      </c>
      <c r="I287" s="13">
        <f>435*2</f>
        <v>870</v>
      </c>
      <c r="J287" s="7"/>
    </row>
    <row r="288" spans="1:10" ht="17" x14ac:dyDescent="0.2">
      <c r="A288" s="8" t="s">
        <v>180</v>
      </c>
      <c r="B288" s="8">
        <v>240</v>
      </c>
      <c r="C288" s="8" t="s">
        <v>49</v>
      </c>
      <c r="D288" s="9">
        <v>14</v>
      </c>
      <c r="E288" s="10" t="s">
        <v>185</v>
      </c>
      <c r="F288" s="53"/>
      <c r="G288" s="12">
        <f t="shared" si="9"/>
        <v>87</v>
      </c>
      <c r="H288" s="12">
        <f t="shared" si="8"/>
        <v>43</v>
      </c>
      <c r="I288" s="13">
        <f>65*2</f>
        <v>130</v>
      </c>
      <c r="J288" s="7"/>
    </row>
    <row r="289" spans="1:10" ht="34" x14ac:dyDescent="0.2">
      <c r="A289" s="8" t="s">
        <v>186</v>
      </c>
      <c r="B289" s="8">
        <v>110</v>
      </c>
      <c r="C289" s="8" t="s">
        <v>49</v>
      </c>
      <c r="D289" s="9">
        <v>14</v>
      </c>
      <c r="E289" s="10" t="s">
        <v>187</v>
      </c>
      <c r="F289" s="10"/>
      <c r="G289" s="12">
        <f t="shared" si="9"/>
        <v>13180</v>
      </c>
      <c r="H289" s="12">
        <f t="shared" si="8"/>
        <v>6492</v>
      </c>
      <c r="I289" s="13">
        <f>9836*2</f>
        <v>19672</v>
      </c>
      <c r="J289" s="7"/>
    </row>
    <row r="290" spans="1:10" ht="34" x14ac:dyDescent="0.2">
      <c r="A290" s="8" t="s">
        <v>186</v>
      </c>
      <c r="B290" s="8">
        <v>160</v>
      </c>
      <c r="C290" s="8" t="s">
        <v>49</v>
      </c>
      <c r="D290" s="9">
        <v>14</v>
      </c>
      <c r="E290" s="10" t="s">
        <v>188</v>
      </c>
      <c r="F290" s="10"/>
      <c r="G290" s="12">
        <f t="shared" si="9"/>
        <v>20954</v>
      </c>
      <c r="H290" s="12">
        <f t="shared" si="8"/>
        <v>10320</v>
      </c>
      <c r="I290" s="13">
        <f>15637*2</f>
        <v>31274</v>
      </c>
      <c r="J290" s="7"/>
    </row>
    <row r="291" spans="1:10" ht="34" x14ac:dyDescent="0.2">
      <c r="A291" s="8" t="s">
        <v>186</v>
      </c>
      <c r="B291" s="8">
        <v>220</v>
      </c>
      <c r="C291" s="8" t="s">
        <v>49</v>
      </c>
      <c r="D291" s="9">
        <v>14</v>
      </c>
      <c r="E291" s="10" t="s">
        <v>189</v>
      </c>
      <c r="F291" s="10"/>
      <c r="G291" s="12">
        <f t="shared" si="9"/>
        <v>2503</v>
      </c>
      <c r="H291" s="12">
        <f t="shared" si="8"/>
        <v>1233</v>
      </c>
      <c r="I291" s="13">
        <f>1868*2</f>
        <v>3736</v>
      </c>
      <c r="J291" s="7"/>
    </row>
    <row r="292" spans="1:10" ht="34" x14ac:dyDescent="0.2">
      <c r="A292" s="8" t="s">
        <v>186</v>
      </c>
      <c r="B292" s="8">
        <v>240</v>
      </c>
      <c r="C292" s="8" t="s">
        <v>49</v>
      </c>
      <c r="D292" s="9">
        <v>14</v>
      </c>
      <c r="E292" s="10" t="s">
        <v>190</v>
      </c>
      <c r="F292" s="10"/>
      <c r="G292" s="12">
        <f t="shared" si="9"/>
        <v>386</v>
      </c>
      <c r="H292" s="12">
        <f t="shared" si="8"/>
        <v>190</v>
      </c>
      <c r="I292" s="13">
        <f>288*2</f>
        <v>576</v>
      </c>
      <c r="J292" s="7"/>
    </row>
    <row r="293" spans="1:10" ht="17" x14ac:dyDescent="0.2">
      <c r="A293" s="99">
        <v>7200</v>
      </c>
      <c r="B293" s="99">
        <v>792</v>
      </c>
      <c r="C293" s="99" t="s">
        <v>67</v>
      </c>
      <c r="D293" s="100">
        <v>1</v>
      </c>
      <c r="E293" s="101" t="s">
        <v>498</v>
      </c>
      <c r="F293" s="110"/>
      <c r="G293" s="103">
        <f t="shared" si="9"/>
        <v>3100332</v>
      </c>
      <c r="H293" s="103">
        <f t="shared" si="8"/>
        <v>1527029</v>
      </c>
      <c r="I293" s="104">
        <f>5339255-711894</f>
        <v>4627361</v>
      </c>
      <c r="J293" s="7"/>
    </row>
    <row r="294" spans="1:10" ht="34" x14ac:dyDescent="0.2">
      <c r="A294" s="8" t="s">
        <v>191</v>
      </c>
      <c r="B294" s="8">
        <v>110</v>
      </c>
      <c r="C294" s="8" t="s">
        <v>49</v>
      </c>
      <c r="D294" s="9">
        <v>14</v>
      </c>
      <c r="E294" s="10" t="s">
        <v>192</v>
      </c>
      <c r="F294" s="10"/>
      <c r="G294" s="12">
        <f t="shared" si="9"/>
        <v>161906</v>
      </c>
      <c r="H294" s="12">
        <f t="shared" si="8"/>
        <v>79745</v>
      </c>
      <c r="I294" s="13">
        <f>120825*2</f>
        <v>241650</v>
      </c>
      <c r="J294" s="7"/>
    </row>
    <row r="295" spans="1:10" ht="34" x14ac:dyDescent="0.2">
      <c r="A295" s="20">
        <v>7300</v>
      </c>
      <c r="B295" s="20">
        <v>160</v>
      </c>
      <c r="C295" s="20" t="s">
        <v>16</v>
      </c>
      <c r="D295" s="21">
        <v>5</v>
      </c>
      <c r="E295" s="22" t="s">
        <v>68</v>
      </c>
      <c r="F295" s="2"/>
      <c r="G295" s="12">
        <f t="shared" si="9"/>
        <v>181382</v>
      </c>
      <c r="H295" s="12">
        <f t="shared" si="8"/>
        <v>89338</v>
      </c>
      <c r="I295" s="13">
        <v>270720</v>
      </c>
      <c r="J295" s="7"/>
    </row>
    <row r="296" spans="1:10" ht="34" x14ac:dyDescent="0.2">
      <c r="A296" s="8" t="s">
        <v>191</v>
      </c>
      <c r="B296" s="8">
        <v>160</v>
      </c>
      <c r="C296" s="8" t="s">
        <v>49</v>
      </c>
      <c r="D296" s="9">
        <v>14</v>
      </c>
      <c r="E296" s="10" t="s">
        <v>193</v>
      </c>
      <c r="F296" s="10"/>
      <c r="G296" s="12">
        <f t="shared" si="9"/>
        <v>264761</v>
      </c>
      <c r="H296" s="12">
        <f t="shared" si="8"/>
        <v>130405</v>
      </c>
      <c r="I296" s="13">
        <f>197583*2</f>
        <v>395166</v>
      </c>
      <c r="J296" s="7"/>
    </row>
    <row r="297" spans="1:10" ht="17" x14ac:dyDescent="0.2">
      <c r="A297" s="20">
        <v>7300</v>
      </c>
      <c r="B297" s="20">
        <v>210</v>
      </c>
      <c r="C297" s="20" t="s">
        <v>69</v>
      </c>
      <c r="D297" s="21">
        <v>5</v>
      </c>
      <c r="E297" s="35" t="s">
        <v>409</v>
      </c>
      <c r="F297" s="2"/>
      <c r="G297" s="12">
        <f t="shared" si="9"/>
        <v>20696</v>
      </c>
      <c r="H297" s="12">
        <f t="shared" si="8"/>
        <v>10194</v>
      </c>
      <c r="I297" s="23">
        <v>30890</v>
      </c>
      <c r="J297" s="7"/>
    </row>
    <row r="298" spans="1:10" ht="17" x14ac:dyDescent="0.2">
      <c r="A298" s="20">
        <v>7300</v>
      </c>
      <c r="B298" s="20">
        <v>220</v>
      </c>
      <c r="C298" s="20" t="s">
        <v>16</v>
      </c>
      <c r="D298" s="21">
        <v>5</v>
      </c>
      <c r="E298" s="22" t="s">
        <v>410</v>
      </c>
      <c r="F298" s="2"/>
      <c r="G298" s="12">
        <f t="shared" si="9"/>
        <v>11246</v>
      </c>
      <c r="H298" s="12">
        <f t="shared" ref="H298:H361" si="10">ROUND(I298*0.33,0)</f>
        <v>5539</v>
      </c>
      <c r="I298" s="23">
        <v>16785</v>
      </c>
      <c r="J298" s="7"/>
    </row>
    <row r="299" spans="1:10" ht="34" x14ac:dyDescent="0.2">
      <c r="A299" s="20">
        <v>7300</v>
      </c>
      <c r="B299" s="20">
        <v>220</v>
      </c>
      <c r="C299" s="20" t="s">
        <v>16</v>
      </c>
      <c r="D299" s="21">
        <v>5</v>
      </c>
      <c r="E299" s="22" t="s">
        <v>411</v>
      </c>
      <c r="F299" s="2"/>
      <c r="G299" s="12">
        <f t="shared" si="9"/>
        <v>2630</v>
      </c>
      <c r="H299" s="12">
        <f t="shared" si="10"/>
        <v>1296</v>
      </c>
      <c r="I299" s="23">
        <v>3926</v>
      </c>
      <c r="J299" s="7"/>
    </row>
    <row r="300" spans="1:10" ht="34" x14ac:dyDescent="0.2">
      <c r="A300" s="8" t="s">
        <v>191</v>
      </c>
      <c r="B300" s="8">
        <v>220</v>
      </c>
      <c r="C300" s="8" t="s">
        <v>49</v>
      </c>
      <c r="D300" s="9">
        <v>14</v>
      </c>
      <c r="E300" s="10" t="s">
        <v>194</v>
      </c>
      <c r="F300" s="10"/>
      <c r="G300" s="12">
        <f t="shared" si="9"/>
        <v>32640</v>
      </c>
      <c r="H300" s="12">
        <f t="shared" si="10"/>
        <v>16076</v>
      </c>
      <c r="I300" s="13">
        <f>24358*2</f>
        <v>48716</v>
      </c>
      <c r="J300" s="7"/>
    </row>
    <row r="301" spans="1:10" ht="34" x14ac:dyDescent="0.2">
      <c r="A301" s="20">
        <v>7300</v>
      </c>
      <c r="B301" s="20">
        <v>240</v>
      </c>
      <c r="C301" s="20" t="s">
        <v>69</v>
      </c>
      <c r="D301" s="21">
        <v>5</v>
      </c>
      <c r="E301" s="22" t="s">
        <v>412</v>
      </c>
      <c r="F301" s="2"/>
      <c r="G301" s="12">
        <f t="shared" si="9"/>
        <v>2050</v>
      </c>
      <c r="H301" s="12">
        <f t="shared" si="10"/>
        <v>1010</v>
      </c>
      <c r="I301" s="23">
        <v>3060</v>
      </c>
      <c r="J301" s="7"/>
    </row>
    <row r="302" spans="1:10" ht="34" x14ac:dyDescent="0.2">
      <c r="A302" s="8" t="s">
        <v>191</v>
      </c>
      <c r="B302" s="8">
        <v>240</v>
      </c>
      <c r="C302" s="8" t="s">
        <v>49</v>
      </c>
      <c r="D302" s="9">
        <v>14</v>
      </c>
      <c r="E302" s="10" t="s">
        <v>195</v>
      </c>
      <c r="F302" s="10"/>
      <c r="G302" s="12">
        <f t="shared" si="9"/>
        <v>4821</v>
      </c>
      <c r="H302" s="12">
        <f t="shared" si="10"/>
        <v>2375</v>
      </c>
      <c r="I302" s="13">
        <f>3598*2</f>
        <v>7196</v>
      </c>
      <c r="J302" s="7"/>
    </row>
    <row r="303" spans="1:10" ht="34" x14ac:dyDescent="0.2">
      <c r="A303" s="8">
        <v>7300</v>
      </c>
      <c r="B303" s="8">
        <v>394</v>
      </c>
      <c r="C303" s="8" t="s">
        <v>70</v>
      </c>
      <c r="D303" s="9" t="s">
        <v>71</v>
      </c>
      <c r="E303" s="17" t="s">
        <v>413</v>
      </c>
      <c r="F303" s="11"/>
      <c r="G303" s="12">
        <f t="shared" si="9"/>
        <v>73394</v>
      </c>
      <c r="H303" s="12">
        <f t="shared" si="10"/>
        <v>36149</v>
      </c>
      <c r="I303" s="13">
        <v>109543</v>
      </c>
      <c r="J303" s="7"/>
    </row>
    <row r="304" spans="1:10" ht="17" x14ac:dyDescent="0.2">
      <c r="A304" s="8" t="s">
        <v>196</v>
      </c>
      <c r="B304" s="8">
        <v>110</v>
      </c>
      <c r="C304" s="8" t="s">
        <v>49</v>
      </c>
      <c r="D304" s="9">
        <v>14</v>
      </c>
      <c r="E304" s="10" t="s">
        <v>197</v>
      </c>
      <c r="F304" s="52"/>
      <c r="G304" s="12">
        <f t="shared" si="9"/>
        <v>1905</v>
      </c>
      <c r="H304" s="12">
        <f t="shared" si="10"/>
        <v>939</v>
      </c>
      <c r="I304" s="13">
        <f>1422*2</f>
        <v>2844</v>
      </c>
      <c r="J304" s="7"/>
    </row>
    <row r="305" spans="1:10" ht="34" x14ac:dyDescent="0.2">
      <c r="A305" s="8" t="s">
        <v>196</v>
      </c>
      <c r="B305" s="8">
        <v>160</v>
      </c>
      <c r="C305" s="8" t="s">
        <v>49</v>
      </c>
      <c r="D305" s="9">
        <v>14</v>
      </c>
      <c r="E305" s="10" t="s">
        <v>198</v>
      </c>
      <c r="F305" s="52"/>
      <c r="G305" s="12">
        <f t="shared" si="9"/>
        <v>13334</v>
      </c>
      <c r="H305" s="12">
        <f t="shared" si="10"/>
        <v>6568</v>
      </c>
      <c r="I305" s="13">
        <f>9951*2</f>
        <v>19902</v>
      </c>
      <c r="J305" s="7"/>
    </row>
    <row r="306" spans="1:10" ht="34" x14ac:dyDescent="0.2">
      <c r="A306" s="8" t="s">
        <v>196</v>
      </c>
      <c r="B306" s="8">
        <v>220</v>
      </c>
      <c r="C306" s="8" t="s">
        <v>49</v>
      </c>
      <c r="D306" s="9">
        <v>14</v>
      </c>
      <c r="E306" s="10" t="s">
        <v>199</v>
      </c>
      <c r="F306" s="52"/>
      <c r="G306" s="12">
        <f t="shared" si="9"/>
        <v>1166</v>
      </c>
      <c r="H306" s="12">
        <f t="shared" si="10"/>
        <v>574</v>
      </c>
      <c r="I306" s="13">
        <f>870*2</f>
        <v>1740</v>
      </c>
      <c r="J306" s="7"/>
    </row>
    <row r="307" spans="1:10" ht="17" x14ac:dyDescent="0.2">
      <c r="A307" s="8" t="s">
        <v>196</v>
      </c>
      <c r="B307" s="8">
        <v>240</v>
      </c>
      <c r="C307" s="8" t="s">
        <v>49</v>
      </c>
      <c r="D307" s="9">
        <v>14</v>
      </c>
      <c r="E307" s="10" t="s">
        <v>200</v>
      </c>
      <c r="F307" s="52"/>
      <c r="G307" s="12">
        <f t="shared" si="9"/>
        <v>173</v>
      </c>
      <c r="H307" s="12">
        <f t="shared" si="10"/>
        <v>85</v>
      </c>
      <c r="I307" s="13">
        <f>129*2</f>
        <v>258</v>
      </c>
      <c r="J307" s="7"/>
    </row>
    <row r="308" spans="1:10" ht="51" x14ac:dyDescent="0.2">
      <c r="A308" s="20">
        <v>7400</v>
      </c>
      <c r="B308" s="20">
        <v>310</v>
      </c>
      <c r="C308" s="20" t="s">
        <v>72</v>
      </c>
      <c r="D308" s="21">
        <v>4</v>
      </c>
      <c r="E308" s="10" t="s">
        <v>417</v>
      </c>
      <c r="F308" s="5"/>
      <c r="G308" s="12">
        <f t="shared" si="9"/>
        <v>201000</v>
      </c>
      <c r="H308" s="12">
        <f t="shared" si="10"/>
        <v>99000</v>
      </c>
      <c r="I308" s="55">
        <v>300000</v>
      </c>
      <c r="J308" s="7"/>
    </row>
    <row r="309" spans="1:10" ht="34" x14ac:dyDescent="0.2">
      <c r="A309" s="20">
        <v>7400</v>
      </c>
      <c r="B309" s="20">
        <v>641</v>
      </c>
      <c r="C309" s="20" t="s">
        <v>72</v>
      </c>
      <c r="D309" s="21">
        <v>3</v>
      </c>
      <c r="E309" s="10" t="s">
        <v>415</v>
      </c>
      <c r="F309" s="5"/>
      <c r="G309" s="12">
        <f t="shared" si="9"/>
        <v>402000</v>
      </c>
      <c r="H309" s="12">
        <f t="shared" si="10"/>
        <v>198000</v>
      </c>
      <c r="I309" s="55">
        <v>600000</v>
      </c>
      <c r="J309" s="7"/>
    </row>
    <row r="310" spans="1:10" ht="34" x14ac:dyDescent="0.2">
      <c r="A310" s="20">
        <v>7400</v>
      </c>
      <c r="B310" s="20">
        <v>642</v>
      </c>
      <c r="C310" s="20" t="s">
        <v>72</v>
      </c>
      <c r="D310" s="21">
        <v>3</v>
      </c>
      <c r="E310" s="10" t="s">
        <v>416</v>
      </c>
      <c r="F310" s="5"/>
      <c r="G310" s="12">
        <f t="shared" si="9"/>
        <v>142375</v>
      </c>
      <c r="H310" s="12">
        <f t="shared" si="10"/>
        <v>70125</v>
      </c>
      <c r="I310" s="55">
        <v>212500</v>
      </c>
      <c r="J310" s="7"/>
    </row>
    <row r="311" spans="1:10" ht="85" x14ac:dyDescent="0.2">
      <c r="A311" s="20">
        <v>7400</v>
      </c>
      <c r="B311" s="20">
        <v>680</v>
      </c>
      <c r="C311" s="20" t="s">
        <v>72</v>
      </c>
      <c r="D311" s="21">
        <v>2</v>
      </c>
      <c r="E311" s="10" t="s">
        <v>414</v>
      </c>
      <c r="F311" s="5"/>
      <c r="G311" s="12">
        <f t="shared" si="9"/>
        <v>670000</v>
      </c>
      <c r="H311" s="12">
        <f t="shared" si="10"/>
        <v>330000</v>
      </c>
      <c r="I311" s="13">
        <v>1000000</v>
      </c>
      <c r="J311" s="7"/>
    </row>
    <row r="312" spans="1:10" ht="34" x14ac:dyDescent="0.2">
      <c r="A312" s="20">
        <v>7400</v>
      </c>
      <c r="B312" s="20">
        <v>680</v>
      </c>
      <c r="C312" s="20" t="s">
        <v>72</v>
      </c>
      <c r="D312" s="21">
        <v>3</v>
      </c>
      <c r="E312" s="10" t="s">
        <v>73</v>
      </c>
      <c r="F312" s="5"/>
      <c r="G312" s="12">
        <f t="shared" si="9"/>
        <v>1206000</v>
      </c>
      <c r="H312" s="12">
        <f t="shared" si="10"/>
        <v>594000</v>
      </c>
      <c r="I312" s="13">
        <v>1800000</v>
      </c>
      <c r="J312" s="7"/>
    </row>
    <row r="313" spans="1:10" ht="68" x14ac:dyDescent="0.2">
      <c r="A313" s="20">
        <v>7420</v>
      </c>
      <c r="B313" s="20">
        <v>681</v>
      </c>
      <c r="C313" s="20" t="s">
        <v>74</v>
      </c>
      <c r="D313" s="21">
        <v>1</v>
      </c>
      <c r="E313" s="22" t="s">
        <v>418</v>
      </c>
      <c r="F313" s="5"/>
      <c r="G313" s="12">
        <f t="shared" si="9"/>
        <v>2680000</v>
      </c>
      <c r="H313" s="12">
        <f t="shared" si="10"/>
        <v>1320000</v>
      </c>
      <c r="I313" s="13">
        <v>4000000</v>
      </c>
      <c r="J313" s="7"/>
    </row>
    <row r="314" spans="1:10" ht="68" x14ac:dyDescent="0.2">
      <c r="A314" s="20">
        <v>7420</v>
      </c>
      <c r="B314" s="20">
        <v>682</v>
      </c>
      <c r="C314" s="20" t="s">
        <v>74</v>
      </c>
      <c r="D314" s="21">
        <v>1</v>
      </c>
      <c r="E314" s="22" t="s">
        <v>75</v>
      </c>
      <c r="F314" s="5"/>
      <c r="G314" s="12">
        <f t="shared" si="9"/>
        <v>1427296</v>
      </c>
      <c r="H314" s="12">
        <f t="shared" si="10"/>
        <v>702997</v>
      </c>
      <c r="I314" s="13">
        <v>2130293</v>
      </c>
      <c r="J314" s="7"/>
    </row>
    <row r="315" spans="1:10" ht="17" x14ac:dyDescent="0.2">
      <c r="A315" s="8" t="s">
        <v>201</v>
      </c>
      <c r="B315" s="8">
        <v>110</v>
      </c>
      <c r="C315" s="8" t="s">
        <v>49</v>
      </c>
      <c r="D315" s="9">
        <v>14</v>
      </c>
      <c r="E315" s="10" t="s">
        <v>202</v>
      </c>
      <c r="F315" s="52"/>
      <c r="G315" s="12">
        <f t="shared" si="9"/>
        <v>9525</v>
      </c>
      <c r="H315" s="12">
        <f t="shared" si="10"/>
        <v>4691</v>
      </c>
      <c r="I315" s="13">
        <f>7108*2</f>
        <v>14216</v>
      </c>
      <c r="J315" s="7"/>
    </row>
    <row r="316" spans="1:10" ht="17" x14ac:dyDescent="0.2">
      <c r="A316" s="8" t="s">
        <v>201</v>
      </c>
      <c r="B316" s="8">
        <v>160</v>
      </c>
      <c r="C316" s="8" t="s">
        <v>49</v>
      </c>
      <c r="D316" s="9">
        <v>14</v>
      </c>
      <c r="E316" s="10" t="s">
        <v>203</v>
      </c>
      <c r="F316" s="52"/>
      <c r="G316" s="12">
        <f t="shared" si="9"/>
        <v>52382</v>
      </c>
      <c r="H316" s="12">
        <f t="shared" si="10"/>
        <v>25800</v>
      </c>
      <c r="I316" s="13">
        <f>39091*2</f>
        <v>78182</v>
      </c>
      <c r="J316" s="7"/>
    </row>
    <row r="317" spans="1:10" ht="17" x14ac:dyDescent="0.2">
      <c r="A317" s="8" t="s">
        <v>201</v>
      </c>
      <c r="B317" s="8">
        <v>220</v>
      </c>
      <c r="C317" s="8" t="s">
        <v>49</v>
      </c>
      <c r="D317" s="9">
        <v>14</v>
      </c>
      <c r="E317" s="10" t="s">
        <v>204</v>
      </c>
      <c r="F317" s="10"/>
      <c r="G317" s="12">
        <f t="shared" si="9"/>
        <v>4737</v>
      </c>
      <c r="H317" s="12">
        <f t="shared" si="10"/>
        <v>2333</v>
      </c>
      <c r="I317" s="13">
        <f>3535*2</f>
        <v>7070</v>
      </c>
      <c r="J317" s="7"/>
    </row>
    <row r="318" spans="1:10" ht="17" x14ac:dyDescent="0.2">
      <c r="A318" s="8" t="s">
        <v>201</v>
      </c>
      <c r="B318" s="8">
        <v>240</v>
      </c>
      <c r="C318" s="8" t="s">
        <v>49</v>
      </c>
      <c r="D318" s="9">
        <v>14</v>
      </c>
      <c r="E318" s="10" t="s">
        <v>205</v>
      </c>
      <c r="F318" s="10"/>
      <c r="G318" s="12">
        <f t="shared" si="9"/>
        <v>699</v>
      </c>
      <c r="H318" s="12">
        <f t="shared" si="10"/>
        <v>345</v>
      </c>
      <c r="I318" s="13">
        <f>522*2</f>
        <v>1044</v>
      </c>
      <c r="J318" s="7"/>
    </row>
    <row r="319" spans="1:10" ht="34" x14ac:dyDescent="0.2">
      <c r="A319" s="8" t="s">
        <v>206</v>
      </c>
      <c r="B319" s="8">
        <v>160</v>
      </c>
      <c r="C319" s="8" t="s">
        <v>49</v>
      </c>
      <c r="D319" s="9">
        <v>14</v>
      </c>
      <c r="E319" s="10" t="s">
        <v>207</v>
      </c>
      <c r="F319" s="10"/>
      <c r="G319" s="12">
        <f t="shared" si="9"/>
        <v>1905</v>
      </c>
      <c r="H319" s="12">
        <f t="shared" si="10"/>
        <v>939</v>
      </c>
      <c r="I319" s="13">
        <f>1422*2</f>
        <v>2844</v>
      </c>
      <c r="J319" s="7"/>
    </row>
    <row r="320" spans="1:10" ht="34" x14ac:dyDescent="0.2">
      <c r="A320" s="8" t="s">
        <v>206</v>
      </c>
      <c r="B320" s="8">
        <v>220</v>
      </c>
      <c r="C320" s="8" t="s">
        <v>49</v>
      </c>
      <c r="D320" s="9">
        <v>14</v>
      </c>
      <c r="E320" s="10" t="s">
        <v>208</v>
      </c>
      <c r="F320" s="52"/>
      <c r="G320" s="12">
        <f t="shared" si="9"/>
        <v>146</v>
      </c>
      <c r="H320" s="12">
        <f t="shared" si="10"/>
        <v>72</v>
      </c>
      <c r="I320" s="13">
        <f>109*2</f>
        <v>218</v>
      </c>
      <c r="J320" s="7"/>
    </row>
    <row r="321" spans="1:10" ht="34" x14ac:dyDescent="0.2">
      <c r="A321" s="8" t="s">
        <v>206</v>
      </c>
      <c r="B321" s="8">
        <v>240</v>
      </c>
      <c r="C321" s="8" t="s">
        <v>49</v>
      </c>
      <c r="D321" s="9">
        <v>14</v>
      </c>
      <c r="E321" s="10" t="s">
        <v>209</v>
      </c>
      <c r="F321" s="52"/>
      <c r="G321" s="12">
        <f t="shared" si="9"/>
        <v>23</v>
      </c>
      <c r="H321" s="12">
        <f t="shared" si="10"/>
        <v>11</v>
      </c>
      <c r="I321" s="13">
        <f>17*2</f>
        <v>34</v>
      </c>
      <c r="J321" s="7"/>
    </row>
    <row r="322" spans="1:10" ht="17" x14ac:dyDescent="0.2">
      <c r="A322" s="8" t="s">
        <v>210</v>
      </c>
      <c r="B322" s="8">
        <v>160</v>
      </c>
      <c r="C322" s="8" t="s">
        <v>49</v>
      </c>
      <c r="D322" s="9">
        <v>14</v>
      </c>
      <c r="E322" s="10" t="s">
        <v>211</v>
      </c>
      <c r="F322" s="10"/>
      <c r="G322" s="12">
        <f t="shared" ref="G322:G375" si="11">ROUND(I322*0.67,0)</f>
        <v>3810</v>
      </c>
      <c r="H322" s="12">
        <f t="shared" si="10"/>
        <v>1876</v>
      </c>
      <c r="I322" s="13">
        <f>2843*2</f>
        <v>5686</v>
      </c>
      <c r="J322" s="7"/>
    </row>
    <row r="323" spans="1:10" ht="34" x14ac:dyDescent="0.2">
      <c r="A323" s="8" t="s">
        <v>210</v>
      </c>
      <c r="B323" s="8">
        <v>220</v>
      </c>
      <c r="C323" s="8" t="s">
        <v>49</v>
      </c>
      <c r="D323" s="9">
        <v>14</v>
      </c>
      <c r="E323" s="10" t="s">
        <v>212</v>
      </c>
      <c r="F323" s="10"/>
      <c r="G323" s="12">
        <f t="shared" si="11"/>
        <v>292</v>
      </c>
      <c r="H323" s="12">
        <f t="shared" si="10"/>
        <v>144</v>
      </c>
      <c r="I323" s="13">
        <f>218*2</f>
        <v>436</v>
      </c>
      <c r="J323" s="7"/>
    </row>
    <row r="324" spans="1:10" ht="17" x14ac:dyDescent="0.2">
      <c r="A324" s="8" t="s">
        <v>210</v>
      </c>
      <c r="B324" s="8">
        <v>240</v>
      </c>
      <c r="C324" s="8" t="s">
        <v>49</v>
      </c>
      <c r="D324" s="9">
        <v>14</v>
      </c>
      <c r="E324" s="10" t="s">
        <v>213</v>
      </c>
      <c r="F324" s="10"/>
      <c r="G324" s="12">
        <f t="shared" si="11"/>
        <v>44</v>
      </c>
      <c r="H324" s="12">
        <f t="shared" si="10"/>
        <v>22</v>
      </c>
      <c r="I324" s="13">
        <f>33*2</f>
        <v>66</v>
      </c>
      <c r="J324" s="7"/>
    </row>
    <row r="325" spans="1:10" ht="17" x14ac:dyDescent="0.2">
      <c r="A325" s="8" t="s">
        <v>214</v>
      </c>
      <c r="B325" s="8">
        <v>110</v>
      </c>
      <c r="C325" s="8" t="s">
        <v>49</v>
      </c>
      <c r="D325" s="9">
        <v>14</v>
      </c>
      <c r="E325" s="10" t="s">
        <v>215</v>
      </c>
      <c r="F325" s="10"/>
      <c r="G325" s="12">
        <f t="shared" si="11"/>
        <v>9525</v>
      </c>
      <c r="H325" s="12">
        <f t="shared" si="10"/>
        <v>4691</v>
      </c>
      <c r="I325" s="13">
        <f>7108*2</f>
        <v>14216</v>
      </c>
      <c r="J325" s="7"/>
    </row>
    <row r="326" spans="1:10" ht="17" x14ac:dyDescent="0.2">
      <c r="A326" s="8" t="s">
        <v>214</v>
      </c>
      <c r="B326" s="8">
        <v>160</v>
      </c>
      <c r="C326" s="8" t="s">
        <v>49</v>
      </c>
      <c r="D326" s="9">
        <v>14</v>
      </c>
      <c r="E326" s="10" t="s">
        <v>216</v>
      </c>
      <c r="F326" s="10"/>
      <c r="G326" s="12">
        <f t="shared" si="11"/>
        <v>38096</v>
      </c>
      <c r="H326" s="12">
        <f t="shared" si="10"/>
        <v>18764</v>
      </c>
      <c r="I326" s="13">
        <f>28430*2</f>
        <v>56860</v>
      </c>
      <c r="J326" s="7"/>
    </row>
    <row r="327" spans="1:10" ht="34" x14ac:dyDescent="0.2">
      <c r="A327" s="8" t="s">
        <v>214</v>
      </c>
      <c r="B327" s="8">
        <v>220</v>
      </c>
      <c r="C327" s="8" t="s">
        <v>49</v>
      </c>
      <c r="D327" s="9">
        <v>14</v>
      </c>
      <c r="E327" s="10" t="s">
        <v>217</v>
      </c>
      <c r="F327" s="10"/>
      <c r="G327" s="12">
        <f t="shared" si="11"/>
        <v>3643</v>
      </c>
      <c r="H327" s="12">
        <f t="shared" si="10"/>
        <v>1795</v>
      </c>
      <c r="I327" s="13">
        <f>2719*2</f>
        <v>5438</v>
      </c>
      <c r="J327" s="7"/>
    </row>
    <row r="328" spans="1:10" ht="17" x14ac:dyDescent="0.2">
      <c r="A328" s="8" t="s">
        <v>214</v>
      </c>
      <c r="B328" s="8">
        <v>240</v>
      </c>
      <c r="C328" s="8" t="s">
        <v>49</v>
      </c>
      <c r="D328" s="9">
        <v>14</v>
      </c>
      <c r="E328" s="10" t="s">
        <v>218</v>
      </c>
      <c r="F328" s="10"/>
      <c r="G328" s="12">
        <f t="shared" si="11"/>
        <v>539</v>
      </c>
      <c r="H328" s="12">
        <f t="shared" si="10"/>
        <v>265</v>
      </c>
      <c r="I328" s="13">
        <f>402*2</f>
        <v>804</v>
      </c>
      <c r="J328" s="7"/>
    </row>
    <row r="329" spans="1:10" ht="34" x14ac:dyDescent="0.2">
      <c r="A329" s="8">
        <v>7730</v>
      </c>
      <c r="B329" s="8">
        <v>330</v>
      </c>
      <c r="C329" s="8" t="s">
        <v>49</v>
      </c>
      <c r="D329" s="9">
        <v>6</v>
      </c>
      <c r="E329" s="10" t="s">
        <v>419</v>
      </c>
      <c r="F329" s="54"/>
      <c r="G329" s="12">
        <f t="shared" si="11"/>
        <v>4502</v>
      </c>
      <c r="H329" s="12">
        <f t="shared" si="10"/>
        <v>2218</v>
      </c>
      <c r="I329" s="32">
        <v>6720</v>
      </c>
      <c r="J329" s="7"/>
    </row>
    <row r="330" spans="1:10" ht="68" x14ac:dyDescent="0.2">
      <c r="A330" s="8">
        <v>7730</v>
      </c>
      <c r="B330" s="8">
        <v>335</v>
      </c>
      <c r="C330" s="8" t="s">
        <v>49</v>
      </c>
      <c r="D330" s="9">
        <v>6</v>
      </c>
      <c r="E330" s="10" t="s">
        <v>420</v>
      </c>
      <c r="F330" s="54"/>
      <c r="G330" s="12">
        <f t="shared" si="11"/>
        <v>26800</v>
      </c>
      <c r="H330" s="12">
        <f t="shared" si="10"/>
        <v>13200</v>
      </c>
      <c r="I330" s="32">
        <v>40000</v>
      </c>
      <c r="J330" s="7"/>
    </row>
    <row r="331" spans="1:10" ht="136" x14ac:dyDescent="0.2">
      <c r="A331" s="8">
        <v>7730</v>
      </c>
      <c r="B331" s="8">
        <v>369</v>
      </c>
      <c r="C331" s="8" t="s">
        <v>49</v>
      </c>
      <c r="D331" s="9">
        <v>3</v>
      </c>
      <c r="E331" s="19" t="s">
        <v>421</v>
      </c>
      <c r="F331" s="54"/>
      <c r="G331" s="12">
        <f t="shared" si="11"/>
        <v>29480</v>
      </c>
      <c r="H331" s="12">
        <f t="shared" si="10"/>
        <v>14520</v>
      </c>
      <c r="I331" s="32">
        <v>44000</v>
      </c>
      <c r="J331" s="7"/>
    </row>
    <row r="332" spans="1:10" ht="34" x14ac:dyDescent="0.2">
      <c r="A332" s="8">
        <v>7730</v>
      </c>
      <c r="B332" s="8">
        <v>590</v>
      </c>
      <c r="C332" s="8" t="s">
        <v>49</v>
      </c>
      <c r="D332" s="9">
        <v>8</v>
      </c>
      <c r="E332" s="19" t="s">
        <v>76</v>
      </c>
      <c r="F332" s="54"/>
      <c r="G332" s="12">
        <f t="shared" si="11"/>
        <v>4020</v>
      </c>
      <c r="H332" s="12">
        <f t="shared" si="10"/>
        <v>1980</v>
      </c>
      <c r="I332" s="32">
        <v>6000</v>
      </c>
      <c r="J332" s="7"/>
    </row>
    <row r="333" spans="1:10" ht="102" x14ac:dyDescent="0.2">
      <c r="A333" s="8">
        <v>7730</v>
      </c>
      <c r="B333" s="8">
        <v>644</v>
      </c>
      <c r="C333" s="8" t="s">
        <v>49</v>
      </c>
      <c r="D333" s="9">
        <v>5</v>
      </c>
      <c r="E333" s="10" t="s">
        <v>423</v>
      </c>
      <c r="F333" s="54"/>
      <c r="G333" s="12">
        <f t="shared" si="11"/>
        <v>10023</v>
      </c>
      <c r="H333" s="12">
        <f t="shared" si="10"/>
        <v>4937</v>
      </c>
      <c r="I333" s="32">
        <v>14960</v>
      </c>
      <c r="J333" s="7"/>
    </row>
    <row r="334" spans="1:10" ht="51" x14ac:dyDescent="0.2">
      <c r="A334" s="8">
        <v>7730</v>
      </c>
      <c r="B334" s="8">
        <v>730</v>
      </c>
      <c r="C334" s="8" t="s">
        <v>49</v>
      </c>
      <c r="D334" s="9">
        <v>7</v>
      </c>
      <c r="E334" s="10" t="s">
        <v>424</v>
      </c>
      <c r="F334" s="54"/>
      <c r="G334" s="12">
        <f t="shared" si="11"/>
        <v>2680</v>
      </c>
      <c r="H334" s="12">
        <f t="shared" si="10"/>
        <v>1320</v>
      </c>
      <c r="I334" s="32">
        <v>4000</v>
      </c>
      <c r="J334" s="7"/>
    </row>
    <row r="335" spans="1:10" ht="136" x14ac:dyDescent="0.2">
      <c r="A335" s="8">
        <v>7730</v>
      </c>
      <c r="B335" s="50" t="s">
        <v>481</v>
      </c>
      <c r="C335" s="8" t="s">
        <v>49</v>
      </c>
      <c r="D335" s="9">
        <v>14</v>
      </c>
      <c r="E335" s="10" t="s">
        <v>492</v>
      </c>
      <c r="F335" s="53"/>
      <c r="G335" s="12">
        <f t="shared" si="11"/>
        <v>710200</v>
      </c>
      <c r="H335" s="12">
        <f t="shared" si="10"/>
        <v>349800</v>
      </c>
      <c r="I335" s="13">
        <f>60000+1000000</f>
        <v>1060000</v>
      </c>
      <c r="J335" s="7"/>
    </row>
    <row r="336" spans="1:10" ht="17" x14ac:dyDescent="0.2">
      <c r="A336" s="8" t="s">
        <v>219</v>
      </c>
      <c r="B336" s="8">
        <v>110</v>
      </c>
      <c r="C336" s="8" t="s">
        <v>49</v>
      </c>
      <c r="D336" s="9">
        <v>14</v>
      </c>
      <c r="E336" s="10" t="s">
        <v>220</v>
      </c>
      <c r="F336" s="10"/>
      <c r="G336" s="12">
        <f t="shared" si="11"/>
        <v>1905</v>
      </c>
      <c r="H336" s="12">
        <f t="shared" si="10"/>
        <v>939</v>
      </c>
      <c r="I336" s="13">
        <f>1422*2</f>
        <v>2844</v>
      </c>
      <c r="J336" s="7"/>
    </row>
    <row r="337" spans="1:10" ht="17" x14ac:dyDescent="0.2">
      <c r="A337" s="8" t="s">
        <v>219</v>
      </c>
      <c r="B337" s="8">
        <v>160</v>
      </c>
      <c r="C337" s="8" t="s">
        <v>49</v>
      </c>
      <c r="D337" s="9">
        <v>14</v>
      </c>
      <c r="E337" s="10" t="s">
        <v>221</v>
      </c>
      <c r="F337" s="10"/>
      <c r="G337" s="12">
        <f t="shared" si="11"/>
        <v>20001</v>
      </c>
      <c r="H337" s="12">
        <f t="shared" si="10"/>
        <v>9851</v>
      </c>
      <c r="I337" s="13">
        <f>14926*2</f>
        <v>29852</v>
      </c>
      <c r="J337" s="7"/>
    </row>
    <row r="338" spans="1:10" ht="34" x14ac:dyDescent="0.2">
      <c r="A338" s="8" t="s">
        <v>219</v>
      </c>
      <c r="B338" s="8">
        <v>220</v>
      </c>
      <c r="C338" s="8" t="s">
        <v>49</v>
      </c>
      <c r="D338" s="9">
        <v>14</v>
      </c>
      <c r="E338" s="10" t="s">
        <v>222</v>
      </c>
      <c r="F338" s="10"/>
      <c r="G338" s="12">
        <f t="shared" si="11"/>
        <v>1676</v>
      </c>
      <c r="H338" s="12">
        <f t="shared" si="10"/>
        <v>826</v>
      </c>
      <c r="I338" s="13">
        <f>1251*2</f>
        <v>2502</v>
      </c>
      <c r="J338" s="7"/>
    </row>
    <row r="339" spans="1:10" ht="17" x14ac:dyDescent="0.2">
      <c r="A339" s="8" t="s">
        <v>219</v>
      </c>
      <c r="B339" s="8">
        <v>240</v>
      </c>
      <c r="C339" s="8" t="s">
        <v>49</v>
      </c>
      <c r="D339" s="9">
        <v>14</v>
      </c>
      <c r="E339" s="10" t="s">
        <v>223</v>
      </c>
      <c r="F339" s="10"/>
      <c r="G339" s="12">
        <f t="shared" si="11"/>
        <v>248</v>
      </c>
      <c r="H339" s="12">
        <f t="shared" si="10"/>
        <v>122</v>
      </c>
      <c r="I339" s="13">
        <f>185*2</f>
        <v>370</v>
      </c>
      <c r="J339" s="7"/>
    </row>
    <row r="340" spans="1:10" ht="17" x14ac:dyDescent="0.2">
      <c r="A340" s="8" t="s">
        <v>224</v>
      </c>
      <c r="B340" s="8">
        <v>160</v>
      </c>
      <c r="C340" s="8" t="s">
        <v>49</v>
      </c>
      <c r="D340" s="9">
        <v>14</v>
      </c>
      <c r="E340" s="10" t="s">
        <v>225</v>
      </c>
      <c r="F340" s="10"/>
      <c r="G340" s="12">
        <f t="shared" si="11"/>
        <v>32381</v>
      </c>
      <c r="H340" s="12">
        <f t="shared" si="10"/>
        <v>15949</v>
      </c>
      <c r="I340" s="13">
        <f>24165*2</f>
        <v>48330</v>
      </c>
      <c r="J340" s="7"/>
    </row>
    <row r="341" spans="1:10" ht="17" x14ac:dyDescent="0.2">
      <c r="A341" s="8" t="s">
        <v>224</v>
      </c>
      <c r="B341" s="8">
        <v>220</v>
      </c>
      <c r="C341" s="8" t="s">
        <v>49</v>
      </c>
      <c r="D341" s="9">
        <v>14</v>
      </c>
      <c r="E341" s="10" t="s">
        <v>226</v>
      </c>
      <c r="F341" s="10"/>
      <c r="G341" s="12">
        <f t="shared" si="11"/>
        <v>2478</v>
      </c>
      <c r="H341" s="12">
        <f t="shared" si="10"/>
        <v>1220</v>
      </c>
      <c r="I341" s="13">
        <f>1849*2</f>
        <v>3698</v>
      </c>
      <c r="J341" s="7"/>
    </row>
    <row r="342" spans="1:10" ht="17" x14ac:dyDescent="0.2">
      <c r="A342" s="8" t="s">
        <v>224</v>
      </c>
      <c r="B342" s="8">
        <v>240</v>
      </c>
      <c r="C342" s="8" t="s">
        <v>49</v>
      </c>
      <c r="D342" s="9">
        <v>14</v>
      </c>
      <c r="E342" s="10" t="s">
        <v>227</v>
      </c>
      <c r="F342" s="10"/>
      <c r="G342" s="12">
        <f t="shared" si="11"/>
        <v>367</v>
      </c>
      <c r="H342" s="12">
        <f t="shared" si="10"/>
        <v>181</v>
      </c>
      <c r="I342" s="13">
        <f>274*2</f>
        <v>548</v>
      </c>
      <c r="J342" s="7"/>
    </row>
    <row r="343" spans="1:10" ht="17" x14ac:dyDescent="0.2">
      <c r="A343" s="8" t="s">
        <v>228</v>
      </c>
      <c r="B343" s="8">
        <v>160</v>
      </c>
      <c r="C343" s="8" t="s">
        <v>49</v>
      </c>
      <c r="D343" s="9">
        <v>14</v>
      </c>
      <c r="E343" s="10" t="s">
        <v>229</v>
      </c>
      <c r="F343" s="10"/>
      <c r="G343" s="12">
        <f t="shared" si="11"/>
        <v>9525</v>
      </c>
      <c r="H343" s="12">
        <f t="shared" si="10"/>
        <v>4691</v>
      </c>
      <c r="I343" s="13">
        <f>7108*2</f>
        <v>14216</v>
      </c>
      <c r="J343" s="7"/>
    </row>
    <row r="344" spans="1:10" ht="34" x14ac:dyDescent="0.2">
      <c r="A344" s="8" t="s">
        <v>228</v>
      </c>
      <c r="B344" s="8">
        <v>220</v>
      </c>
      <c r="C344" s="8" t="s">
        <v>49</v>
      </c>
      <c r="D344" s="9">
        <v>14</v>
      </c>
      <c r="E344" s="10" t="s">
        <v>230</v>
      </c>
      <c r="F344" s="10"/>
      <c r="G344" s="12">
        <f t="shared" si="11"/>
        <v>729</v>
      </c>
      <c r="H344" s="12">
        <f t="shared" si="10"/>
        <v>359</v>
      </c>
      <c r="I344" s="13">
        <f>544*2</f>
        <v>1088</v>
      </c>
      <c r="J344" s="7"/>
    </row>
    <row r="345" spans="1:10" ht="17" x14ac:dyDescent="0.2">
      <c r="A345" s="8" t="s">
        <v>228</v>
      </c>
      <c r="B345" s="8">
        <v>240</v>
      </c>
      <c r="C345" s="8" t="s">
        <v>49</v>
      </c>
      <c r="D345" s="9">
        <v>14</v>
      </c>
      <c r="E345" s="10" t="s">
        <v>231</v>
      </c>
      <c r="F345" s="10"/>
      <c r="G345" s="12">
        <f t="shared" si="11"/>
        <v>109</v>
      </c>
      <c r="H345" s="12">
        <f t="shared" si="10"/>
        <v>53</v>
      </c>
      <c r="I345" s="13">
        <f>81*2</f>
        <v>162</v>
      </c>
      <c r="J345" s="7"/>
    </row>
    <row r="346" spans="1:10" ht="17" x14ac:dyDescent="0.2">
      <c r="A346" s="8">
        <v>7800</v>
      </c>
      <c r="B346" s="8">
        <v>110</v>
      </c>
      <c r="C346" s="8" t="s">
        <v>49</v>
      </c>
      <c r="D346" s="9">
        <v>14</v>
      </c>
      <c r="E346" s="10" t="s">
        <v>232</v>
      </c>
      <c r="F346" s="10"/>
      <c r="G346" s="12">
        <f t="shared" si="11"/>
        <v>1905</v>
      </c>
      <c r="H346" s="12">
        <f t="shared" si="10"/>
        <v>939</v>
      </c>
      <c r="I346" s="13">
        <f>1422*2</f>
        <v>2844</v>
      </c>
      <c r="J346" s="7"/>
    </row>
    <row r="347" spans="1:10" ht="34" x14ac:dyDescent="0.2">
      <c r="A347" s="8">
        <v>7800</v>
      </c>
      <c r="B347" s="69">
        <v>160</v>
      </c>
      <c r="C347" s="8" t="s">
        <v>72</v>
      </c>
      <c r="D347" s="9">
        <v>1</v>
      </c>
      <c r="E347" s="36" t="s">
        <v>426</v>
      </c>
      <c r="F347" s="53"/>
      <c r="G347" s="12">
        <f t="shared" si="11"/>
        <v>412745</v>
      </c>
      <c r="H347" s="12">
        <f t="shared" si="10"/>
        <v>203293</v>
      </c>
      <c r="I347" s="13">
        <v>616038</v>
      </c>
      <c r="J347" s="7"/>
    </row>
    <row r="348" spans="1:10" ht="34" x14ac:dyDescent="0.2">
      <c r="A348" s="20">
        <v>7800</v>
      </c>
      <c r="B348" s="69">
        <v>160</v>
      </c>
      <c r="C348" s="20" t="s">
        <v>72</v>
      </c>
      <c r="D348" s="21">
        <v>1</v>
      </c>
      <c r="E348" s="36" t="s">
        <v>427</v>
      </c>
      <c r="F348" s="2"/>
      <c r="G348" s="12">
        <f t="shared" si="11"/>
        <v>308779</v>
      </c>
      <c r="H348" s="12">
        <f t="shared" si="10"/>
        <v>152085</v>
      </c>
      <c r="I348" s="23">
        <v>460864</v>
      </c>
      <c r="J348" s="7"/>
    </row>
    <row r="349" spans="1:10" ht="68" x14ac:dyDescent="0.2">
      <c r="A349" s="20">
        <v>7800</v>
      </c>
      <c r="B349" s="20">
        <v>160</v>
      </c>
      <c r="C349" s="20" t="s">
        <v>16</v>
      </c>
      <c r="D349" s="21">
        <v>7</v>
      </c>
      <c r="E349" s="22" t="s">
        <v>425</v>
      </c>
      <c r="F349" s="2"/>
      <c r="G349" s="12">
        <f t="shared" si="11"/>
        <v>163706</v>
      </c>
      <c r="H349" s="12">
        <f t="shared" si="10"/>
        <v>80632</v>
      </c>
      <c r="I349" s="23">
        <v>244338</v>
      </c>
      <c r="J349" s="7"/>
    </row>
    <row r="350" spans="1:10" ht="68" x14ac:dyDescent="0.2">
      <c r="A350" s="20">
        <v>7800</v>
      </c>
      <c r="B350" s="20">
        <v>160</v>
      </c>
      <c r="C350" s="20" t="s">
        <v>16</v>
      </c>
      <c r="D350" s="21">
        <v>8</v>
      </c>
      <c r="E350" s="22" t="s">
        <v>77</v>
      </c>
      <c r="F350" s="2"/>
      <c r="G350" s="12">
        <f t="shared" si="11"/>
        <v>46730</v>
      </c>
      <c r="H350" s="12">
        <f t="shared" si="10"/>
        <v>23016</v>
      </c>
      <c r="I350" s="23">
        <v>69746</v>
      </c>
      <c r="J350" s="7"/>
    </row>
    <row r="351" spans="1:10" ht="17" x14ac:dyDescent="0.2">
      <c r="A351" s="8">
        <v>7800</v>
      </c>
      <c r="B351" s="8">
        <v>160</v>
      </c>
      <c r="C351" s="8" t="s">
        <v>49</v>
      </c>
      <c r="D351" s="9">
        <v>14</v>
      </c>
      <c r="E351" s="10" t="s">
        <v>233</v>
      </c>
      <c r="F351" s="10"/>
      <c r="G351" s="12">
        <f t="shared" si="11"/>
        <v>737142</v>
      </c>
      <c r="H351" s="12">
        <f t="shared" si="10"/>
        <v>363070</v>
      </c>
      <c r="I351" s="13">
        <f>550106*2</f>
        <v>1100212</v>
      </c>
      <c r="J351" s="7"/>
    </row>
    <row r="352" spans="1:10" ht="17" x14ac:dyDescent="0.2">
      <c r="A352" s="20">
        <v>7800</v>
      </c>
      <c r="B352" s="69">
        <v>210</v>
      </c>
      <c r="C352" s="20" t="s">
        <v>72</v>
      </c>
      <c r="D352" s="21">
        <v>1</v>
      </c>
      <c r="E352" s="36" t="s">
        <v>78</v>
      </c>
      <c r="F352" s="2"/>
      <c r="G352" s="12">
        <f t="shared" si="11"/>
        <v>76554</v>
      </c>
      <c r="H352" s="12">
        <f t="shared" si="10"/>
        <v>37706</v>
      </c>
      <c r="I352" s="37">
        <v>114260</v>
      </c>
      <c r="J352" s="7"/>
    </row>
    <row r="353" spans="1:10" ht="34" x14ac:dyDescent="0.2">
      <c r="A353" s="20">
        <v>7800</v>
      </c>
      <c r="B353" s="20">
        <v>210</v>
      </c>
      <c r="C353" s="20" t="s">
        <v>16</v>
      </c>
      <c r="D353" s="21">
        <v>7</v>
      </c>
      <c r="E353" s="22" t="s">
        <v>428</v>
      </c>
      <c r="F353" s="2"/>
      <c r="G353" s="12">
        <f t="shared" si="11"/>
        <v>18679</v>
      </c>
      <c r="H353" s="12">
        <f t="shared" si="10"/>
        <v>9200</v>
      </c>
      <c r="I353" s="23">
        <v>27879</v>
      </c>
      <c r="J353" s="7"/>
    </row>
    <row r="354" spans="1:10" ht="34" x14ac:dyDescent="0.2">
      <c r="A354" s="20">
        <v>7800</v>
      </c>
      <c r="B354" s="20">
        <v>210</v>
      </c>
      <c r="C354" s="20" t="s">
        <v>16</v>
      </c>
      <c r="D354" s="21">
        <v>8</v>
      </c>
      <c r="E354" s="22" t="s">
        <v>429</v>
      </c>
      <c r="F354" s="2"/>
      <c r="G354" s="12">
        <f t="shared" si="11"/>
        <v>5333</v>
      </c>
      <c r="H354" s="12">
        <f t="shared" si="10"/>
        <v>2626</v>
      </c>
      <c r="I354" s="23">
        <v>7959</v>
      </c>
      <c r="J354" s="7"/>
    </row>
    <row r="355" spans="1:10" ht="17" x14ac:dyDescent="0.2">
      <c r="A355" s="20">
        <v>7800</v>
      </c>
      <c r="B355" s="69">
        <v>220</v>
      </c>
      <c r="C355" s="20" t="s">
        <v>72</v>
      </c>
      <c r="D355" s="21">
        <v>1</v>
      </c>
      <c r="E355" s="36" t="s">
        <v>81</v>
      </c>
      <c r="F355" s="2"/>
      <c r="G355" s="12">
        <f t="shared" si="11"/>
        <v>44735</v>
      </c>
      <c r="H355" s="12">
        <f t="shared" si="10"/>
        <v>22034</v>
      </c>
      <c r="I355" s="37">
        <v>66769</v>
      </c>
      <c r="J355" s="7"/>
    </row>
    <row r="356" spans="1:10" ht="17" x14ac:dyDescent="0.2">
      <c r="A356" s="20">
        <v>7800</v>
      </c>
      <c r="B356" s="20">
        <v>220</v>
      </c>
      <c r="C356" s="20" t="s">
        <v>16</v>
      </c>
      <c r="D356" s="21">
        <v>7</v>
      </c>
      <c r="E356" s="22" t="s">
        <v>79</v>
      </c>
      <c r="F356" s="2"/>
      <c r="G356" s="12">
        <f t="shared" si="11"/>
        <v>10150</v>
      </c>
      <c r="H356" s="12">
        <f t="shared" si="10"/>
        <v>4999</v>
      </c>
      <c r="I356" s="23">
        <v>15149</v>
      </c>
      <c r="J356" s="7"/>
    </row>
    <row r="357" spans="1:10" ht="34" x14ac:dyDescent="0.2">
      <c r="A357" s="20">
        <v>7800</v>
      </c>
      <c r="B357" s="20">
        <v>220</v>
      </c>
      <c r="C357" s="20" t="s">
        <v>16</v>
      </c>
      <c r="D357" s="21">
        <v>7</v>
      </c>
      <c r="E357" s="22" t="s">
        <v>430</v>
      </c>
      <c r="F357" s="2"/>
      <c r="G357" s="12">
        <f t="shared" si="11"/>
        <v>2374</v>
      </c>
      <c r="H357" s="12">
        <f t="shared" si="10"/>
        <v>1169</v>
      </c>
      <c r="I357" s="23">
        <v>3543</v>
      </c>
      <c r="J357" s="7"/>
    </row>
    <row r="358" spans="1:10" ht="17" x14ac:dyDescent="0.2">
      <c r="A358" s="20">
        <v>7800</v>
      </c>
      <c r="B358" s="20">
        <v>220</v>
      </c>
      <c r="C358" s="20" t="s">
        <v>16</v>
      </c>
      <c r="D358" s="21">
        <v>8</v>
      </c>
      <c r="E358" s="22" t="s">
        <v>80</v>
      </c>
      <c r="F358" s="2"/>
      <c r="G358" s="12">
        <f t="shared" si="11"/>
        <v>2898</v>
      </c>
      <c r="H358" s="12">
        <f t="shared" si="10"/>
        <v>1427</v>
      </c>
      <c r="I358" s="23">
        <v>4325</v>
      </c>
      <c r="J358" s="7"/>
    </row>
    <row r="359" spans="1:10" ht="34" x14ac:dyDescent="0.2">
      <c r="A359" s="20">
        <v>7800</v>
      </c>
      <c r="B359" s="20">
        <v>220</v>
      </c>
      <c r="C359" s="20" t="s">
        <v>16</v>
      </c>
      <c r="D359" s="21">
        <v>8</v>
      </c>
      <c r="E359" s="22" t="s">
        <v>431</v>
      </c>
      <c r="F359" s="2"/>
      <c r="G359" s="12">
        <f t="shared" si="11"/>
        <v>678</v>
      </c>
      <c r="H359" s="12">
        <f t="shared" si="10"/>
        <v>334</v>
      </c>
      <c r="I359" s="23">
        <v>1012</v>
      </c>
      <c r="J359" s="7"/>
    </row>
    <row r="360" spans="1:10" ht="34" x14ac:dyDescent="0.2">
      <c r="A360" s="8">
        <v>7800</v>
      </c>
      <c r="B360" s="8">
        <v>220</v>
      </c>
      <c r="C360" s="8" t="s">
        <v>49</v>
      </c>
      <c r="D360" s="9">
        <v>14</v>
      </c>
      <c r="E360" s="10" t="s">
        <v>264</v>
      </c>
      <c r="F360" s="10"/>
      <c r="G360" s="12">
        <f t="shared" si="11"/>
        <v>56537</v>
      </c>
      <c r="H360" s="12">
        <f t="shared" si="10"/>
        <v>27847</v>
      </c>
      <c r="I360" s="13">
        <f>42192*2</f>
        <v>84384</v>
      </c>
      <c r="J360" s="7"/>
    </row>
    <row r="361" spans="1:10" ht="17" x14ac:dyDescent="0.2">
      <c r="A361" s="20">
        <v>7800</v>
      </c>
      <c r="B361" s="69">
        <v>230</v>
      </c>
      <c r="C361" s="20" t="s">
        <v>72</v>
      </c>
      <c r="D361" s="21">
        <v>1</v>
      </c>
      <c r="E361" s="36" t="s">
        <v>82</v>
      </c>
      <c r="F361" s="2"/>
      <c r="G361" s="12">
        <f t="shared" si="11"/>
        <v>170425</v>
      </c>
      <c r="H361" s="12">
        <f t="shared" si="10"/>
        <v>83941</v>
      </c>
      <c r="I361" s="37">
        <v>254366</v>
      </c>
      <c r="J361" s="7"/>
    </row>
    <row r="362" spans="1:10" ht="17" x14ac:dyDescent="0.2">
      <c r="A362" s="20">
        <v>7800</v>
      </c>
      <c r="B362" s="69">
        <v>231</v>
      </c>
      <c r="C362" s="20" t="s">
        <v>72</v>
      </c>
      <c r="D362" s="21">
        <v>1</v>
      </c>
      <c r="E362" s="36" t="s">
        <v>83</v>
      </c>
      <c r="F362" s="2"/>
      <c r="G362" s="12">
        <f t="shared" si="11"/>
        <v>1877</v>
      </c>
      <c r="H362" s="12">
        <f t="shared" ref="H362:H375" si="12">ROUND(I362*0.33,0)</f>
        <v>924</v>
      </c>
      <c r="I362" s="37">
        <v>2801</v>
      </c>
      <c r="J362" s="7"/>
    </row>
    <row r="363" spans="1:10" ht="17" x14ac:dyDescent="0.2">
      <c r="A363" s="20">
        <v>7800</v>
      </c>
      <c r="B363" s="69">
        <v>232</v>
      </c>
      <c r="C363" s="20" t="s">
        <v>72</v>
      </c>
      <c r="D363" s="21">
        <v>1</v>
      </c>
      <c r="E363" s="36" t="s">
        <v>84</v>
      </c>
      <c r="F363" s="2"/>
      <c r="G363" s="12">
        <f t="shared" si="11"/>
        <v>9453</v>
      </c>
      <c r="H363" s="12">
        <f t="shared" si="12"/>
        <v>4656</v>
      </c>
      <c r="I363" s="37">
        <v>14109</v>
      </c>
      <c r="J363" s="7"/>
    </row>
    <row r="364" spans="1:10" ht="17" x14ac:dyDescent="0.2">
      <c r="A364" s="20">
        <v>7800</v>
      </c>
      <c r="B364" s="69">
        <v>233</v>
      </c>
      <c r="C364" s="20" t="s">
        <v>72</v>
      </c>
      <c r="D364" s="21">
        <v>1</v>
      </c>
      <c r="E364" s="36" t="s">
        <v>85</v>
      </c>
      <c r="F364" s="2"/>
      <c r="G364" s="12">
        <f t="shared" si="11"/>
        <v>10463</v>
      </c>
      <c r="H364" s="12">
        <f t="shared" si="12"/>
        <v>5153</v>
      </c>
      <c r="I364" s="37">
        <v>15616</v>
      </c>
      <c r="J364" s="7"/>
    </row>
    <row r="365" spans="1:10" ht="17" x14ac:dyDescent="0.2">
      <c r="A365" s="8">
        <v>7800</v>
      </c>
      <c r="B365" s="8">
        <v>240</v>
      </c>
      <c r="C365" s="8" t="s">
        <v>49</v>
      </c>
      <c r="D365" s="9">
        <v>14</v>
      </c>
      <c r="E365" s="10" t="s">
        <v>234</v>
      </c>
      <c r="F365" s="10"/>
      <c r="G365" s="12">
        <f t="shared" si="11"/>
        <v>8351</v>
      </c>
      <c r="H365" s="12">
        <f t="shared" si="12"/>
        <v>4113</v>
      </c>
      <c r="I365" s="13">
        <f>6232*2</f>
        <v>12464</v>
      </c>
      <c r="J365" s="7"/>
    </row>
    <row r="366" spans="1:10" ht="68" x14ac:dyDescent="0.2">
      <c r="A366" s="8">
        <v>7800</v>
      </c>
      <c r="B366" s="8">
        <v>310</v>
      </c>
      <c r="C366" s="8" t="s">
        <v>55</v>
      </c>
      <c r="D366" s="9" t="s">
        <v>64</v>
      </c>
      <c r="E366" s="10" t="s">
        <v>86</v>
      </c>
      <c r="F366" s="53"/>
      <c r="G366" s="12">
        <f t="shared" si="11"/>
        <v>11246</v>
      </c>
      <c r="H366" s="12">
        <f t="shared" si="12"/>
        <v>5539</v>
      </c>
      <c r="I366" s="13">
        <v>16785</v>
      </c>
      <c r="J366" s="7"/>
    </row>
    <row r="367" spans="1:10" ht="17" x14ac:dyDescent="0.2">
      <c r="A367" s="20">
        <v>7800</v>
      </c>
      <c r="B367" s="20">
        <v>450</v>
      </c>
      <c r="C367" s="20" t="s">
        <v>16</v>
      </c>
      <c r="D367" s="21">
        <v>9</v>
      </c>
      <c r="E367" s="35" t="s">
        <v>432</v>
      </c>
      <c r="F367" s="45"/>
      <c r="G367" s="12">
        <f t="shared" si="11"/>
        <v>67000</v>
      </c>
      <c r="H367" s="12">
        <f t="shared" si="12"/>
        <v>33000</v>
      </c>
      <c r="I367" s="31">
        <v>100000</v>
      </c>
      <c r="J367" s="7"/>
    </row>
    <row r="368" spans="1:10" ht="17" x14ac:dyDescent="0.2">
      <c r="A368" s="20">
        <v>7800</v>
      </c>
      <c r="B368" s="20">
        <v>460</v>
      </c>
      <c r="C368" s="20" t="s">
        <v>16</v>
      </c>
      <c r="D368" s="21">
        <v>9</v>
      </c>
      <c r="E368" s="22" t="s">
        <v>433</v>
      </c>
      <c r="F368" s="2"/>
      <c r="G368" s="12">
        <f t="shared" si="11"/>
        <v>67000</v>
      </c>
      <c r="H368" s="12">
        <f t="shared" si="12"/>
        <v>33000</v>
      </c>
      <c r="I368" s="23">
        <v>100000</v>
      </c>
      <c r="J368" s="7"/>
    </row>
    <row r="369" spans="1:12" ht="34" x14ac:dyDescent="0.2">
      <c r="A369" s="8">
        <v>7800</v>
      </c>
      <c r="B369" s="8">
        <v>510</v>
      </c>
      <c r="C369" s="8" t="s">
        <v>13</v>
      </c>
      <c r="D369" s="9">
        <v>2</v>
      </c>
      <c r="E369" s="10" t="s">
        <v>87</v>
      </c>
      <c r="F369" s="53"/>
      <c r="G369" s="12">
        <f t="shared" si="11"/>
        <v>134000</v>
      </c>
      <c r="H369" s="12">
        <f t="shared" si="12"/>
        <v>66000</v>
      </c>
      <c r="I369" s="13">
        <v>200000</v>
      </c>
      <c r="J369" s="7"/>
    </row>
    <row r="370" spans="1:12" ht="34" x14ac:dyDescent="0.2">
      <c r="A370" s="8">
        <v>7800</v>
      </c>
      <c r="B370" s="69">
        <v>651</v>
      </c>
      <c r="C370" s="8" t="s">
        <v>72</v>
      </c>
      <c r="D370" s="9">
        <v>2</v>
      </c>
      <c r="E370" s="10" t="s">
        <v>88</v>
      </c>
      <c r="F370" s="53"/>
      <c r="G370" s="12">
        <f t="shared" si="11"/>
        <v>976191</v>
      </c>
      <c r="H370" s="12">
        <f t="shared" si="12"/>
        <v>480810</v>
      </c>
      <c r="I370" s="13">
        <v>1457001</v>
      </c>
      <c r="J370" s="7"/>
    </row>
    <row r="371" spans="1:12" ht="17" x14ac:dyDescent="0.2">
      <c r="A371" s="8" t="s">
        <v>235</v>
      </c>
      <c r="B371" s="8">
        <v>110</v>
      </c>
      <c r="C371" s="8" t="s">
        <v>49</v>
      </c>
      <c r="D371" s="9">
        <v>14</v>
      </c>
      <c r="E371" s="10" t="s">
        <v>236</v>
      </c>
      <c r="F371" s="10"/>
      <c r="G371" s="12">
        <f t="shared" si="11"/>
        <v>7619</v>
      </c>
      <c r="H371" s="12">
        <f t="shared" si="12"/>
        <v>3753</v>
      </c>
      <c r="I371" s="13">
        <f>5686*2</f>
        <v>11372</v>
      </c>
      <c r="J371" s="7"/>
    </row>
    <row r="372" spans="1:12" ht="34" x14ac:dyDescent="0.2">
      <c r="A372" s="20">
        <v>7900</v>
      </c>
      <c r="B372" s="69">
        <v>160</v>
      </c>
      <c r="C372" s="20" t="s">
        <v>47</v>
      </c>
      <c r="D372" s="21">
        <v>5</v>
      </c>
      <c r="E372" s="24" t="s">
        <v>434</v>
      </c>
      <c r="F372" s="2"/>
      <c r="G372" s="12">
        <f t="shared" si="11"/>
        <v>3618</v>
      </c>
      <c r="H372" s="12">
        <f t="shared" si="12"/>
        <v>1782</v>
      </c>
      <c r="I372" s="23">
        <v>5400</v>
      </c>
      <c r="J372" s="7"/>
    </row>
    <row r="373" spans="1:12" ht="17" x14ac:dyDescent="0.2">
      <c r="A373" s="8" t="s">
        <v>235</v>
      </c>
      <c r="B373" s="8">
        <v>160</v>
      </c>
      <c r="C373" s="8" t="s">
        <v>49</v>
      </c>
      <c r="D373" s="9">
        <v>14</v>
      </c>
      <c r="E373" s="10" t="s">
        <v>237</v>
      </c>
      <c r="F373" s="10"/>
      <c r="G373" s="12">
        <f t="shared" si="11"/>
        <v>1119997</v>
      </c>
      <c r="H373" s="12">
        <f t="shared" si="12"/>
        <v>551641</v>
      </c>
      <c r="I373" s="13">
        <f>835819*2</f>
        <v>1671638</v>
      </c>
      <c r="J373" s="7"/>
    </row>
    <row r="374" spans="1:12" ht="17" x14ac:dyDescent="0.2">
      <c r="A374" s="20">
        <v>7900</v>
      </c>
      <c r="B374" s="69">
        <v>210</v>
      </c>
      <c r="C374" s="20" t="s">
        <v>47</v>
      </c>
      <c r="D374" s="21">
        <v>5</v>
      </c>
      <c r="E374" s="22" t="s">
        <v>435</v>
      </c>
      <c r="F374" s="2"/>
      <c r="G374" s="12">
        <f t="shared" si="11"/>
        <v>413</v>
      </c>
      <c r="H374" s="12">
        <f t="shared" si="12"/>
        <v>204</v>
      </c>
      <c r="I374" s="23">
        <v>617</v>
      </c>
    </row>
    <row r="375" spans="1:12" ht="17" x14ac:dyDescent="0.2">
      <c r="A375" s="20">
        <v>7900</v>
      </c>
      <c r="B375" s="69">
        <v>220</v>
      </c>
      <c r="C375" s="20" t="s">
        <v>47</v>
      </c>
      <c r="D375" s="21">
        <v>5</v>
      </c>
      <c r="E375" s="27" t="s">
        <v>436</v>
      </c>
      <c r="F375" s="2"/>
      <c r="G375" s="12">
        <f t="shared" si="11"/>
        <v>224</v>
      </c>
      <c r="H375" s="12">
        <f t="shared" si="12"/>
        <v>111</v>
      </c>
      <c r="I375" s="23">
        <v>335</v>
      </c>
    </row>
    <row r="376" spans="1:12" ht="34" x14ac:dyDescent="0.2">
      <c r="A376" s="20">
        <v>7900</v>
      </c>
      <c r="B376" s="69">
        <v>220</v>
      </c>
      <c r="C376" s="20" t="s">
        <v>47</v>
      </c>
      <c r="D376" s="21">
        <v>5</v>
      </c>
      <c r="E376" s="22" t="s">
        <v>438</v>
      </c>
      <c r="F376" s="2"/>
      <c r="G376" s="12">
        <v>53</v>
      </c>
      <c r="H376" s="12">
        <v>26</v>
      </c>
      <c r="I376" s="23">
        <v>79</v>
      </c>
    </row>
    <row r="377" spans="1:12" ht="34" x14ac:dyDescent="0.2">
      <c r="A377" s="8" t="s">
        <v>235</v>
      </c>
      <c r="B377" s="8">
        <v>220</v>
      </c>
      <c r="C377" s="8" t="s">
        <v>49</v>
      </c>
      <c r="D377" s="9">
        <v>14</v>
      </c>
      <c r="E377" s="10" t="s">
        <v>238</v>
      </c>
      <c r="F377" s="10"/>
      <c r="G377" s="12">
        <f>ROUND(I377*0.67,0)</f>
        <v>86263</v>
      </c>
      <c r="H377" s="12">
        <f>ROUND(I377*0.33,0)</f>
        <v>42488</v>
      </c>
      <c r="I377" s="13">
        <f>64375*2</f>
        <v>128750</v>
      </c>
    </row>
    <row r="378" spans="1:12" ht="17" x14ac:dyDescent="0.2">
      <c r="A378" s="20">
        <v>7900</v>
      </c>
      <c r="B378" s="69">
        <v>240</v>
      </c>
      <c r="C378" s="20" t="s">
        <v>47</v>
      </c>
      <c r="D378" s="21">
        <v>5</v>
      </c>
      <c r="E378" s="22" t="s">
        <v>437</v>
      </c>
      <c r="F378" s="2"/>
      <c r="G378" s="12">
        <v>41</v>
      </c>
      <c r="H378" s="12">
        <v>21</v>
      </c>
      <c r="I378" s="23">
        <v>62</v>
      </c>
    </row>
    <row r="379" spans="1:12" ht="17" x14ac:dyDescent="0.2">
      <c r="A379" s="8" t="s">
        <v>235</v>
      </c>
      <c r="B379" s="8">
        <v>240</v>
      </c>
      <c r="C379" s="8" t="s">
        <v>49</v>
      </c>
      <c r="D379" s="9">
        <v>14</v>
      </c>
      <c r="E379" s="10" t="s">
        <v>239</v>
      </c>
      <c r="F379" s="52"/>
      <c r="G379" s="12">
        <f t="shared" ref="G379:G408" si="13">ROUND(I379*0.67,0)</f>
        <v>12741</v>
      </c>
      <c r="H379" s="12">
        <f t="shared" ref="H379:H408" si="14">ROUND(I379*0.33,0)</f>
        <v>6275</v>
      </c>
      <c r="I379" s="13">
        <f>9508*2</f>
        <v>19016</v>
      </c>
      <c r="L379" s="6"/>
    </row>
    <row r="380" spans="1:12" ht="68" x14ac:dyDescent="0.2">
      <c r="A380" s="8">
        <v>7900</v>
      </c>
      <c r="B380" s="8">
        <v>394</v>
      </c>
      <c r="C380" s="8" t="s">
        <v>72</v>
      </c>
      <c r="D380" s="9" t="s">
        <v>64</v>
      </c>
      <c r="E380" s="38" t="s">
        <v>442</v>
      </c>
      <c r="F380" s="11"/>
      <c r="G380" s="12">
        <f t="shared" si="13"/>
        <v>13065</v>
      </c>
      <c r="H380" s="12">
        <f t="shared" si="14"/>
        <v>6435</v>
      </c>
      <c r="I380" s="13">
        <v>19500</v>
      </c>
      <c r="L380" s="6"/>
    </row>
    <row r="381" spans="1:12" ht="51" x14ac:dyDescent="0.2">
      <c r="A381" s="20">
        <v>7900</v>
      </c>
      <c r="B381" s="20">
        <v>394</v>
      </c>
      <c r="C381" s="20" t="s">
        <v>89</v>
      </c>
      <c r="D381" s="21" t="s">
        <v>90</v>
      </c>
      <c r="E381" s="22" t="s">
        <v>439</v>
      </c>
      <c r="F381" s="5"/>
      <c r="G381" s="12">
        <f t="shared" si="13"/>
        <v>71516</v>
      </c>
      <c r="H381" s="12">
        <f t="shared" si="14"/>
        <v>35224</v>
      </c>
      <c r="I381" s="13">
        <v>106740</v>
      </c>
    </row>
    <row r="382" spans="1:12" ht="119" x14ac:dyDescent="0.2">
      <c r="A382" s="20">
        <v>7900</v>
      </c>
      <c r="B382" s="20">
        <v>510</v>
      </c>
      <c r="C382" s="20" t="s">
        <v>13</v>
      </c>
      <c r="D382" s="21">
        <v>3</v>
      </c>
      <c r="E382" s="22" t="s">
        <v>440</v>
      </c>
      <c r="F382" s="5"/>
      <c r="G382" s="12">
        <f t="shared" si="13"/>
        <v>694131</v>
      </c>
      <c r="H382" s="12">
        <f t="shared" si="14"/>
        <v>341885</v>
      </c>
      <c r="I382" s="13">
        <v>1036016</v>
      </c>
    </row>
    <row r="383" spans="1:12" ht="34" x14ac:dyDescent="0.2">
      <c r="A383" s="8">
        <v>7900</v>
      </c>
      <c r="B383" s="8">
        <v>590</v>
      </c>
      <c r="C383" s="8" t="s">
        <v>13</v>
      </c>
      <c r="D383" s="9">
        <v>4</v>
      </c>
      <c r="E383" s="10" t="s">
        <v>91</v>
      </c>
      <c r="F383" s="11"/>
      <c r="G383" s="12">
        <f t="shared" si="13"/>
        <v>285581</v>
      </c>
      <c r="H383" s="12">
        <f t="shared" si="14"/>
        <v>140659</v>
      </c>
      <c r="I383" s="13">
        <v>426240</v>
      </c>
    </row>
    <row r="384" spans="1:12" ht="85" x14ac:dyDescent="0.2">
      <c r="A384" s="8">
        <v>7900</v>
      </c>
      <c r="B384" s="8">
        <v>641</v>
      </c>
      <c r="C384" s="8" t="s">
        <v>13</v>
      </c>
      <c r="D384" s="9">
        <v>7</v>
      </c>
      <c r="E384" s="10" t="s">
        <v>441</v>
      </c>
      <c r="F384" s="11"/>
      <c r="G384" s="12">
        <f t="shared" si="13"/>
        <v>210448</v>
      </c>
      <c r="H384" s="12">
        <f t="shared" si="14"/>
        <v>103653</v>
      </c>
      <c r="I384" s="13">
        <v>314101</v>
      </c>
    </row>
    <row r="385" spans="1:55" ht="51" x14ac:dyDescent="0.2">
      <c r="A385" s="20">
        <v>7900</v>
      </c>
      <c r="B385" s="20">
        <v>642</v>
      </c>
      <c r="C385" s="20" t="s">
        <v>13</v>
      </c>
      <c r="D385" s="21">
        <v>6</v>
      </c>
      <c r="E385" s="22" t="s">
        <v>92</v>
      </c>
      <c r="F385" s="5"/>
      <c r="G385" s="12">
        <f t="shared" si="13"/>
        <v>92460</v>
      </c>
      <c r="H385" s="12">
        <f t="shared" si="14"/>
        <v>45540</v>
      </c>
      <c r="I385" s="13">
        <v>138000</v>
      </c>
    </row>
    <row r="386" spans="1:55" ht="17" x14ac:dyDescent="0.2">
      <c r="A386" s="8" t="s">
        <v>240</v>
      </c>
      <c r="B386" s="8">
        <v>110</v>
      </c>
      <c r="C386" s="8" t="s">
        <v>49</v>
      </c>
      <c r="D386" s="9">
        <v>14</v>
      </c>
      <c r="E386" s="10" t="s">
        <v>241</v>
      </c>
      <c r="F386" s="52"/>
      <c r="G386" s="12">
        <f t="shared" si="13"/>
        <v>1905</v>
      </c>
      <c r="H386" s="12">
        <f t="shared" si="14"/>
        <v>939</v>
      </c>
      <c r="I386" s="13">
        <f>1422*2</f>
        <v>2844</v>
      </c>
    </row>
    <row r="387" spans="1:55" ht="17" x14ac:dyDescent="0.2">
      <c r="A387" s="8" t="s">
        <v>240</v>
      </c>
      <c r="B387" s="8">
        <v>160</v>
      </c>
      <c r="C387" s="8" t="s">
        <v>49</v>
      </c>
      <c r="D387" s="9">
        <v>14</v>
      </c>
      <c r="E387" s="10" t="s">
        <v>242</v>
      </c>
      <c r="F387" s="52"/>
      <c r="G387" s="12">
        <f t="shared" si="13"/>
        <v>222857</v>
      </c>
      <c r="H387" s="12">
        <f t="shared" si="14"/>
        <v>109765</v>
      </c>
      <c r="I387" s="13">
        <f>166311*2</f>
        <v>332622</v>
      </c>
    </row>
    <row r="388" spans="1:55" ht="34" x14ac:dyDescent="0.2">
      <c r="A388" s="8" t="s">
        <v>240</v>
      </c>
      <c r="B388" s="8">
        <v>220</v>
      </c>
      <c r="C388" s="8" t="s">
        <v>49</v>
      </c>
      <c r="D388" s="9">
        <v>14</v>
      </c>
      <c r="E388" s="10" t="s">
        <v>243</v>
      </c>
      <c r="F388" s="52"/>
      <c r="G388" s="12">
        <f t="shared" si="13"/>
        <v>17195</v>
      </c>
      <c r="H388" s="12">
        <f t="shared" si="14"/>
        <v>8469</v>
      </c>
      <c r="I388" s="13">
        <f>12832*2</f>
        <v>25664</v>
      </c>
    </row>
    <row r="389" spans="1:55" ht="17" x14ac:dyDescent="0.2">
      <c r="A389" s="8" t="s">
        <v>240</v>
      </c>
      <c r="B389" s="8">
        <v>240</v>
      </c>
      <c r="C389" s="8" t="s">
        <v>49</v>
      </c>
      <c r="D389" s="9">
        <v>14</v>
      </c>
      <c r="E389" s="10" t="s">
        <v>244</v>
      </c>
      <c r="F389" s="52"/>
      <c r="G389" s="12">
        <f t="shared" si="13"/>
        <v>2541</v>
      </c>
      <c r="H389" s="12">
        <f t="shared" si="14"/>
        <v>1251</v>
      </c>
      <c r="I389" s="13">
        <f>1896*2</f>
        <v>3792</v>
      </c>
    </row>
    <row r="390" spans="1:55" ht="17" x14ac:dyDescent="0.2">
      <c r="A390" s="8" t="s">
        <v>245</v>
      </c>
      <c r="B390" s="8">
        <v>110</v>
      </c>
      <c r="C390" s="8" t="s">
        <v>49</v>
      </c>
      <c r="D390" s="9">
        <v>14</v>
      </c>
      <c r="E390" s="10" t="s">
        <v>246</v>
      </c>
      <c r="F390" s="52"/>
      <c r="G390" s="12">
        <f t="shared" si="13"/>
        <v>3810</v>
      </c>
      <c r="H390" s="12">
        <f t="shared" si="14"/>
        <v>1876</v>
      </c>
      <c r="I390" s="13">
        <f>2843*2</f>
        <v>5686</v>
      </c>
    </row>
    <row r="391" spans="1:55" ht="17" x14ac:dyDescent="0.2">
      <c r="A391" s="8" t="s">
        <v>245</v>
      </c>
      <c r="B391" s="8">
        <v>130</v>
      </c>
      <c r="C391" s="8" t="s">
        <v>49</v>
      </c>
      <c r="D391" s="9">
        <v>14</v>
      </c>
      <c r="E391" s="10" t="s">
        <v>247</v>
      </c>
      <c r="F391" s="52"/>
      <c r="G391" s="12">
        <f t="shared" si="13"/>
        <v>1905</v>
      </c>
      <c r="H391" s="12">
        <f t="shared" si="14"/>
        <v>939</v>
      </c>
      <c r="I391" s="13">
        <f>1422*2</f>
        <v>2844</v>
      </c>
    </row>
    <row r="392" spans="1:55" ht="34" x14ac:dyDescent="0.2">
      <c r="A392" s="8" t="s">
        <v>245</v>
      </c>
      <c r="B392" s="8">
        <v>160</v>
      </c>
      <c r="C392" s="8" t="s">
        <v>49</v>
      </c>
      <c r="D392" s="9">
        <v>14</v>
      </c>
      <c r="E392" s="10" t="s">
        <v>248</v>
      </c>
      <c r="F392" s="52"/>
      <c r="G392" s="12">
        <f t="shared" si="13"/>
        <v>40000</v>
      </c>
      <c r="H392" s="12">
        <f t="shared" si="14"/>
        <v>19702</v>
      </c>
      <c r="I392" s="13">
        <f>29851*2</f>
        <v>59702</v>
      </c>
    </row>
    <row r="393" spans="1:55" ht="34" x14ac:dyDescent="0.2">
      <c r="A393" s="8" t="s">
        <v>245</v>
      </c>
      <c r="B393" s="8">
        <v>220</v>
      </c>
      <c r="C393" s="8" t="s">
        <v>49</v>
      </c>
      <c r="D393" s="9">
        <v>14</v>
      </c>
      <c r="E393" s="10" t="s">
        <v>249</v>
      </c>
      <c r="F393" s="52"/>
      <c r="G393" s="12">
        <f t="shared" si="13"/>
        <v>3497</v>
      </c>
      <c r="H393" s="12">
        <f t="shared" si="14"/>
        <v>1723</v>
      </c>
      <c r="I393" s="13">
        <f>2610*2</f>
        <v>5220</v>
      </c>
    </row>
    <row r="394" spans="1:55" ht="17" x14ac:dyDescent="0.2">
      <c r="A394" s="8" t="s">
        <v>245</v>
      </c>
      <c r="B394" s="8">
        <v>240</v>
      </c>
      <c r="C394" s="8" t="s">
        <v>49</v>
      </c>
      <c r="D394" s="9">
        <v>14</v>
      </c>
      <c r="E394" s="10" t="s">
        <v>250</v>
      </c>
      <c r="F394" s="52"/>
      <c r="G394" s="12">
        <f t="shared" si="13"/>
        <v>517</v>
      </c>
      <c r="H394" s="12">
        <f t="shared" si="14"/>
        <v>255</v>
      </c>
      <c r="I394" s="13">
        <f>386*2</f>
        <v>772</v>
      </c>
    </row>
    <row r="395" spans="1:55" ht="102" x14ac:dyDescent="0.2">
      <c r="A395" s="8">
        <v>9100</v>
      </c>
      <c r="B395" s="8">
        <v>110</v>
      </c>
      <c r="C395" s="8" t="s">
        <v>49</v>
      </c>
      <c r="D395" s="9">
        <v>13</v>
      </c>
      <c r="E395" s="10" t="s">
        <v>443</v>
      </c>
      <c r="F395" s="11">
        <v>1</v>
      </c>
      <c r="G395" s="12">
        <f t="shared" si="13"/>
        <v>139930</v>
      </c>
      <c r="H395" s="12">
        <f t="shared" si="14"/>
        <v>68921</v>
      </c>
      <c r="I395" s="13">
        <v>208851</v>
      </c>
    </row>
    <row r="396" spans="1:55" s="6" customFormat="1" ht="17" x14ac:dyDescent="0.2">
      <c r="A396" s="8" t="s">
        <v>251</v>
      </c>
      <c r="B396" s="8">
        <v>110</v>
      </c>
      <c r="C396" s="8" t="s">
        <v>49</v>
      </c>
      <c r="D396" s="9">
        <v>14</v>
      </c>
      <c r="E396" s="10" t="s">
        <v>252</v>
      </c>
      <c r="F396" s="52"/>
      <c r="G396" s="12">
        <f t="shared" si="13"/>
        <v>1905</v>
      </c>
      <c r="H396" s="12">
        <f t="shared" si="14"/>
        <v>939</v>
      </c>
      <c r="I396" s="13">
        <f>1422*2</f>
        <v>2844</v>
      </c>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row>
    <row r="397" spans="1:55" s="6" customFormat="1" ht="17" x14ac:dyDescent="0.2">
      <c r="A397" s="8" t="s">
        <v>251</v>
      </c>
      <c r="B397" s="8">
        <v>130</v>
      </c>
      <c r="C397" s="8" t="s">
        <v>49</v>
      </c>
      <c r="D397" s="9">
        <v>14</v>
      </c>
      <c r="E397" s="10" t="s">
        <v>253</v>
      </c>
      <c r="F397" s="52"/>
      <c r="G397" s="12">
        <f t="shared" si="13"/>
        <v>1905</v>
      </c>
      <c r="H397" s="12">
        <f t="shared" si="14"/>
        <v>939</v>
      </c>
      <c r="I397" s="13">
        <f>1422*2</f>
        <v>2844</v>
      </c>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row>
    <row r="398" spans="1:55" s="6" customFormat="1" ht="17" x14ac:dyDescent="0.2">
      <c r="A398" s="8" t="s">
        <v>251</v>
      </c>
      <c r="B398" s="8">
        <v>160</v>
      </c>
      <c r="C398" s="8" t="s">
        <v>49</v>
      </c>
      <c r="D398" s="9">
        <v>14</v>
      </c>
      <c r="E398" s="10" t="s">
        <v>254</v>
      </c>
      <c r="F398" s="52"/>
      <c r="G398" s="12">
        <f t="shared" si="13"/>
        <v>63335</v>
      </c>
      <c r="H398" s="12">
        <f t="shared" si="14"/>
        <v>31195</v>
      </c>
      <c r="I398" s="13">
        <f>47265*2</f>
        <v>94530</v>
      </c>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row>
    <row r="399" spans="1:55" s="6" customFormat="1" ht="34" x14ac:dyDescent="0.2">
      <c r="A399" s="8">
        <v>9100</v>
      </c>
      <c r="B399" s="8">
        <v>210</v>
      </c>
      <c r="C399" s="8" t="s">
        <v>49</v>
      </c>
      <c r="D399" s="9">
        <v>13</v>
      </c>
      <c r="E399" s="10" t="s">
        <v>444</v>
      </c>
      <c r="F399" s="11"/>
      <c r="G399" s="12">
        <f t="shared" si="13"/>
        <v>14847</v>
      </c>
      <c r="H399" s="12">
        <f t="shared" si="14"/>
        <v>7313</v>
      </c>
      <c r="I399" s="13">
        <v>22160</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row>
    <row r="400" spans="1:55" s="6" customFormat="1" ht="17" x14ac:dyDescent="0.2">
      <c r="A400" s="8">
        <v>9100</v>
      </c>
      <c r="B400" s="8">
        <v>220</v>
      </c>
      <c r="C400" s="8" t="s">
        <v>49</v>
      </c>
      <c r="D400" s="9">
        <v>13</v>
      </c>
      <c r="E400" s="10" t="s">
        <v>445</v>
      </c>
      <c r="F400" s="11"/>
      <c r="G400" s="12">
        <f t="shared" si="13"/>
        <v>8676</v>
      </c>
      <c r="H400" s="12">
        <f t="shared" si="14"/>
        <v>4273</v>
      </c>
      <c r="I400" s="13">
        <v>12949</v>
      </c>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row>
    <row r="401" spans="1:55" s="6" customFormat="1" ht="34" x14ac:dyDescent="0.2">
      <c r="A401" s="8">
        <v>9100</v>
      </c>
      <c r="B401" s="8">
        <v>220</v>
      </c>
      <c r="C401" s="8" t="s">
        <v>49</v>
      </c>
      <c r="D401" s="9">
        <v>13</v>
      </c>
      <c r="E401" s="10" t="s">
        <v>446</v>
      </c>
      <c r="F401" s="11"/>
      <c r="G401" s="12">
        <f t="shared" si="13"/>
        <v>2029</v>
      </c>
      <c r="H401" s="12">
        <f t="shared" si="14"/>
        <v>1000</v>
      </c>
      <c r="I401" s="13">
        <v>3029</v>
      </c>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row>
    <row r="402" spans="1:55" s="6" customFormat="1" ht="34" x14ac:dyDescent="0.2">
      <c r="A402" s="8" t="s">
        <v>251</v>
      </c>
      <c r="B402" s="8">
        <v>220</v>
      </c>
      <c r="C402" s="8" t="s">
        <v>49</v>
      </c>
      <c r="D402" s="9">
        <v>14</v>
      </c>
      <c r="E402" s="10" t="s">
        <v>255</v>
      </c>
      <c r="F402" s="52"/>
      <c r="G402" s="12">
        <f t="shared" si="13"/>
        <v>5151</v>
      </c>
      <c r="H402" s="12">
        <f t="shared" si="14"/>
        <v>2537</v>
      </c>
      <c r="I402" s="13">
        <f>3844*2</f>
        <v>7688</v>
      </c>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row>
    <row r="403" spans="1:55" s="6" customFormat="1" ht="34" x14ac:dyDescent="0.2">
      <c r="A403" s="8">
        <v>9100</v>
      </c>
      <c r="B403" s="8">
        <v>231</v>
      </c>
      <c r="C403" s="8" t="s">
        <v>49</v>
      </c>
      <c r="D403" s="9">
        <v>13</v>
      </c>
      <c r="E403" s="10" t="s">
        <v>447</v>
      </c>
      <c r="F403" s="11"/>
      <c r="G403" s="12">
        <f t="shared" si="13"/>
        <v>33052</v>
      </c>
      <c r="H403" s="12">
        <f t="shared" si="14"/>
        <v>16279</v>
      </c>
      <c r="I403" s="13">
        <v>49331</v>
      </c>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row>
    <row r="404" spans="1:55" s="6" customFormat="1" ht="34" x14ac:dyDescent="0.2">
      <c r="A404" s="8">
        <v>9100</v>
      </c>
      <c r="B404" s="8">
        <v>232</v>
      </c>
      <c r="C404" s="8" t="s">
        <v>49</v>
      </c>
      <c r="D404" s="9">
        <v>13</v>
      </c>
      <c r="E404" s="10" t="s">
        <v>448</v>
      </c>
      <c r="F404" s="11"/>
      <c r="G404" s="12">
        <f t="shared" si="13"/>
        <v>364</v>
      </c>
      <c r="H404" s="12">
        <f t="shared" si="14"/>
        <v>180</v>
      </c>
      <c r="I404" s="13">
        <v>544</v>
      </c>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row>
    <row r="405" spans="1:55" s="6" customFormat="1" ht="17" x14ac:dyDescent="0.2">
      <c r="A405" s="8" t="s">
        <v>251</v>
      </c>
      <c r="B405" s="8">
        <v>240</v>
      </c>
      <c r="C405" s="8" t="s">
        <v>49</v>
      </c>
      <c r="D405" s="9">
        <v>14</v>
      </c>
      <c r="E405" s="10" t="s">
        <v>256</v>
      </c>
      <c r="F405" s="52"/>
      <c r="G405" s="12">
        <f t="shared" si="13"/>
        <v>760</v>
      </c>
      <c r="H405" s="12">
        <f t="shared" si="14"/>
        <v>374</v>
      </c>
      <c r="I405" s="13">
        <f>567*2</f>
        <v>1134</v>
      </c>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row>
    <row r="406" spans="1:55" s="6" customFormat="1" ht="34" x14ac:dyDescent="0.2">
      <c r="A406" s="8">
        <v>9100</v>
      </c>
      <c r="B406" s="8">
        <v>310</v>
      </c>
      <c r="C406" s="8" t="s">
        <v>49</v>
      </c>
      <c r="D406" s="9">
        <v>13</v>
      </c>
      <c r="E406" s="10" t="s">
        <v>94</v>
      </c>
      <c r="F406" s="11"/>
      <c r="G406" s="12">
        <f t="shared" si="13"/>
        <v>16750</v>
      </c>
      <c r="H406" s="12">
        <f t="shared" si="14"/>
        <v>8250</v>
      </c>
      <c r="I406" s="13">
        <v>25000</v>
      </c>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row>
    <row r="407" spans="1:55" s="6" customFormat="1" ht="17" x14ac:dyDescent="0.2">
      <c r="A407" s="8">
        <v>9100</v>
      </c>
      <c r="B407" s="8">
        <v>369</v>
      </c>
      <c r="C407" s="8" t="s">
        <v>49</v>
      </c>
      <c r="D407" s="9">
        <v>13</v>
      </c>
      <c r="E407" s="10" t="s">
        <v>450</v>
      </c>
      <c r="F407" s="11"/>
      <c r="G407" s="12">
        <f t="shared" si="13"/>
        <v>3350</v>
      </c>
      <c r="H407" s="12">
        <f t="shared" si="14"/>
        <v>1650</v>
      </c>
      <c r="I407" s="13">
        <v>5000</v>
      </c>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row>
    <row r="408" spans="1:55" s="6" customFormat="1" ht="68" x14ac:dyDescent="0.2">
      <c r="A408" s="20">
        <v>5900</v>
      </c>
      <c r="B408" s="20">
        <v>394</v>
      </c>
      <c r="C408" s="20" t="s">
        <v>488</v>
      </c>
      <c r="D408" s="21" t="s">
        <v>93</v>
      </c>
      <c r="E408" s="22" t="s">
        <v>449</v>
      </c>
      <c r="F408" s="5"/>
      <c r="G408" s="12">
        <f t="shared" si="13"/>
        <v>25416</v>
      </c>
      <c r="H408" s="12">
        <f t="shared" si="14"/>
        <v>12518</v>
      </c>
      <c r="I408" s="13">
        <v>37934</v>
      </c>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row>
    <row r="409" spans="1:55" s="6" customFormat="1" x14ac:dyDescent="0.2">
      <c r="A409" s="58"/>
      <c r="B409" s="70"/>
      <c r="C409" s="59"/>
      <c r="D409" s="59"/>
      <c r="E409" s="60"/>
      <c r="F409" s="61" t="s">
        <v>260</v>
      </c>
      <c r="G409" s="62">
        <f>SUM(G2:G408)</f>
        <v>85173830</v>
      </c>
      <c r="H409" s="62">
        <f>SUM(H2:H408)</f>
        <v>41951306</v>
      </c>
      <c r="I409" s="63">
        <f>SUM(G409:H409)</f>
        <v>127125136</v>
      </c>
      <c r="J409" s="105">
        <f>127125136-I409</f>
        <v>0</v>
      </c>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row>
    <row r="410" spans="1:55" s="6" customFormat="1" x14ac:dyDescent="0.2">
      <c r="A410" s="7"/>
      <c r="B410" s="71"/>
      <c r="C410" s="7"/>
      <c r="D410" s="7"/>
      <c r="E410" s="64"/>
      <c r="F410" s="7"/>
      <c r="G410" s="7"/>
      <c r="H410" s="7"/>
      <c r="I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row>
    <row r="411" spans="1:55" s="6" customFormat="1" x14ac:dyDescent="0.2">
      <c r="A411" s="44" t="s">
        <v>261</v>
      </c>
      <c r="B411" s="72" t="s">
        <v>262</v>
      </c>
      <c r="C411" s="44"/>
      <c r="D411" s="44"/>
      <c r="E411" s="64"/>
      <c r="F411" s="44"/>
      <c r="G411" s="44"/>
      <c r="H411" s="44"/>
      <c r="I411" s="44"/>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row>
    <row r="412" spans="1:55" s="6" customFormat="1" x14ac:dyDescent="0.2">
      <c r="A412" s="44" t="s">
        <v>263</v>
      </c>
      <c r="B412" s="72"/>
      <c r="C412" s="44"/>
      <c r="D412" s="44"/>
      <c r="E412" s="65"/>
      <c r="F412" s="44"/>
      <c r="G412" s="44"/>
      <c r="H412" s="44"/>
      <c r="I412" s="44"/>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row>
    <row r="415" spans="1:55" s="6" customFormat="1" x14ac:dyDescent="0.2">
      <c r="A415" s="66"/>
      <c r="B415" s="73"/>
      <c r="C415" s="66"/>
      <c r="D415" s="66"/>
      <c r="E415" s="67"/>
      <c r="F415" s="44"/>
      <c r="G415" s="44"/>
      <c r="H415" s="44"/>
      <c r="I415" s="44"/>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row>
  </sheetData>
  <autoFilter ref="A1:BC409" xr:uid="{00000000-0009-0000-0000-000001000000}"/>
  <pageMargins left="0.23" right="0.23" top="0.32" bottom="0.25" header="0" footer="0"/>
  <pageSetup paperSize="5" fitToWidth="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417"/>
  <sheetViews>
    <sheetView tabSelected="1" zoomScaleNormal="100" workbookViewId="0">
      <pane ySplit="1" topLeftCell="A2" activePane="bottomLeft" state="frozen"/>
      <selection pane="bottomLeft" activeCell="J1" sqref="J1"/>
    </sheetView>
  </sheetViews>
  <sheetFormatPr baseColWidth="10" defaultColWidth="9.1640625" defaultRowHeight="16" x14ac:dyDescent="0.2"/>
  <cols>
    <col min="1" max="1" width="9.5" style="15" customWidth="1"/>
    <col min="2" max="2" width="7.1640625" style="120" bestFit="1" customWidth="1"/>
    <col min="3" max="3" width="11" style="15" customWidth="1"/>
    <col min="4" max="4" width="11.33203125" style="15" customWidth="1"/>
    <col min="5" max="5" width="63.33203125" style="1" customWidth="1"/>
    <col min="6" max="6" width="14.33203125" style="15" customWidth="1"/>
    <col min="7" max="7" width="17" style="15" customWidth="1"/>
    <col min="8" max="8" width="16.83203125" style="15" customWidth="1"/>
    <col min="9" max="9" width="20.5" style="15" hidden="1" customWidth="1"/>
    <col min="10" max="10" width="18.1640625" style="14" bestFit="1" customWidth="1"/>
    <col min="11" max="11" width="54.6640625" style="14" hidden="1" customWidth="1"/>
    <col min="12" max="12" width="18.33203125" style="15" hidden="1" customWidth="1"/>
    <col min="13" max="13" width="12.6640625" style="15" bestFit="1" customWidth="1"/>
    <col min="14" max="14" width="30" style="15" bestFit="1" customWidth="1"/>
    <col min="15" max="16384" width="9.1640625" style="15"/>
  </cols>
  <sheetData>
    <row r="1" spans="1:12" ht="51" x14ac:dyDescent="0.2">
      <c r="A1" s="53" t="s">
        <v>0</v>
      </c>
      <c r="B1" s="111" t="s">
        <v>1</v>
      </c>
      <c r="C1" s="112" t="s">
        <v>2</v>
      </c>
      <c r="D1" s="113" t="s">
        <v>3</v>
      </c>
      <c r="E1" s="112" t="s">
        <v>4</v>
      </c>
      <c r="F1" s="11" t="s">
        <v>5</v>
      </c>
      <c r="G1" s="112" t="s">
        <v>6</v>
      </c>
      <c r="H1" s="112" t="s">
        <v>7</v>
      </c>
      <c r="I1" s="53" t="s">
        <v>8</v>
      </c>
      <c r="J1" s="14" t="s">
        <v>509</v>
      </c>
      <c r="K1" s="14" t="s">
        <v>508</v>
      </c>
      <c r="L1" s="15" t="s">
        <v>525</v>
      </c>
    </row>
    <row r="2" spans="1:12" ht="153" x14ac:dyDescent="0.2">
      <c r="A2" s="8">
        <v>5100</v>
      </c>
      <c r="B2" s="8">
        <v>120</v>
      </c>
      <c r="C2" s="8">
        <v>1</v>
      </c>
      <c r="D2" s="9">
        <v>2</v>
      </c>
      <c r="E2" s="10" t="s">
        <v>265</v>
      </c>
      <c r="F2" s="11">
        <v>5</v>
      </c>
      <c r="G2" s="12">
        <f t="shared" ref="G2:G77" si="0">ROUND(I2*0.67,0)</f>
        <v>2017311</v>
      </c>
      <c r="H2" s="12">
        <f>ROUND(I2*0.33,0)</f>
        <v>993601</v>
      </c>
      <c r="I2" s="13">
        <v>3010912</v>
      </c>
      <c r="J2" s="14">
        <f>46350*32+47741*32</f>
        <v>3010912</v>
      </c>
    </row>
    <row r="3" spans="1:12" ht="17" x14ac:dyDescent="0.2">
      <c r="A3" s="8" t="s">
        <v>96</v>
      </c>
      <c r="B3" s="8">
        <v>120</v>
      </c>
      <c r="C3" s="8" t="s">
        <v>49</v>
      </c>
      <c r="D3" s="9">
        <v>14</v>
      </c>
      <c r="E3" s="10" t="s">
        <v>97</v>
      </c>
      <c r="F3" s="52"/>
      <c r="G3" s="12">
        <f t="shared" si="0"/>
        <v>123809</v>
      </c>
      <c r="H3" s="12">
        <f>ROUND(I3*0.33,0)</f>
        <v>60981</v>
      </c>
      <c r="I3" s="13">
        <f>92395*2</f>
        <v>184790</v>
      </c>
      <c r="J3" s="13">
        <v>184790</v>
      </c>
    </row>
    <row r="4" spans="1:12" ht="51" x14ac:dyDescent="0.2">
      <c r="A4" s="8">
        <v>5100</v>
      </c>
      <c r="B4" s="8">
        <v>120</v>
      </c>
      <c r="C4" s="8" t="s">
        <v>49</v>
      </c>
      <c r="D4" s="9">
        <v>16</v>
      </c>
      <c r="E4" s="1" t="s">
        <v>578</v>
      </c>
      <c r="F4" s="11"/>
      <c r="G4" s="12">
        <f t="shared" si="0"/>
        <v>763800</v>
      </c>
      <c r="H4" s="12">
        <f>ROUND(I4*0.33,0)</f>
        <v>376200</v>
      </c>
      <c r="I4" s="13">
        <v>1140000</v>
      </c>
      <c r="J4" s="13">
        <f>(47500)*12*2</f>
        <v>1140000</v>
      </c>
    </row>
    <row r="5" spans="1:12" ht="17" x14ac:dyDescent="0.2">
      <c r="A5" s="8">
        <v>5100</v>
      </c>
      <c r="B5" s="8">
        <v>210</v>
      </c>
      <c r="C5" s="8" t="s">
        <v>49</v>
      </c>
      <c r="D5" s="9">
        <v>16</v>
      </c>
      <c r="E5" s="10" t="s">
        <v>579</v>
      </c>
      <c r="F5" s="11"/>
      <c r="G5" s="12">
        <f t="shared" si="0"/>
        <v>87150</v>
      </c>
      <c r="H5" s="12">
        <f>ROUND(I5*0.33,0)</f>
        <v>42924</v>
      </c>
      <c r="I5" s="13">
        <f>I4*0.1141</f>
        <v>130073.99999999999</v>
      </c>
      <c r="J5" s="13">
        <f>ROUNDUP($J$4*Retirement,0)</f>
        <v>130074</v>
      </c>
    </row>
    <row r="6" spans="1:12" ht="17" x14ac:dyDescent="0.2">
      <c r="A6" s="8">
        <v>5100</v>
      </c>
      <c r="B6" s="8">
        <v>220</v>
      </c>
      <c r="C6" s="8" t="s">
        <v>49</v>
      </c>
      <c r="D6" s="9">
        <v>16</v>
      </c>
      <c r="E6" s="10" t="s">
        <v>580</v>
      </c>
      <c r="F6" s="11"/>
      <c r="G6" s="12">
        <f t="shared" si="0"/>
        <v>47356</v>
      </c>
      <c r="H6" s="12">
        <f>ROUND(I6*0.33,0)</f>
        <v>23324</v>
      </c>
      <c r="I6" s="13">
        <f>I4*0.062</f>
        <v>70680</v>
      </c>
      <c r="J6" s="13">
        <f>ROUNDUP($J$4*FICA,0)</f>
        <v>70680</v>
      </c>
    </row>
    <row r="7" spans="1:12" ht="34" x14ac:dyDescent="0.2">
      <c r="A7" s="8">
        <v>5100</v>
      </c>
      <c r="B7" s="8">
        <v>220</v>
      </c>
      <c r="C7" s="8" t="s">
        <v>49</v>
      </c>
      <c r="D7" s="9">
        <v>16</v>
      </c>
      <c r="E7" s="10" t="s">
        <v>581</v>
      </c>
      <c r="F7" s="11"/>
      <c r="G7" s="12">
        <f t="shared" ref="G7" si="1">ROUND(I7*0.67,0)</f>
        <v>11075</v>
      </c>
      <c r="H7" s="12">
        <f t="shared" ref="H7" si="2">ROUND(I7*0.33,0)</f>
        <v>5455</v>
      </c>
      <c r="I7" s="13">
        <f>I4*0.0145</f>
        <v>16530</v>
      </c>
      <c r="J7" s="13">
        <f>ROUNDUP($J$4*Medicare,0)</f>
        <v>16530</v>
      </c>
    </row>
    <row r="8" spans="1:12" ht="34" x14ac:dyDescent="0.2">
      <c r="A8" s="8">
        <v>5100</v>
      </c>
      <c r="B8" s="8">
        <v>231</v>
      </c>
      <c r="C8" s="8" t="s">
        <v>49</v>
      </c>
      <c r="D8" s="9">
        <v>16</v>
      </c>
      <c r="E8" s="10" t="s">
        <v>582</v>
      </c>
      <c r="F8" s="11"/>
      <c r="G8" s="12">
        <f t="shared" ref="G8:G9" si="3">ROUND(I8*0.67,0)</f>
        <v>130533</v>
      </c>
      <c r="H8" s="12">
        <f>ROUND(I8*0.33,0)</f>
        <v>64293</v>
      </c>
      <c r="I8" s="13">
        <f>I4*0.1709</f>
        <v>194826</v>
      </c>
      <c r="J8" s="13">
        <f>ROUNDUP(Health*$J$4,0)</f>
        <v>194826</v>
      </c>
    </row>
    <row r="9" spans="1:12" ht="34" x14ac:dyDescent="0.2">
      <c r="A9" s="8">
        <v>5100</v>
      </c>
      <c r="B9" s="8">
        <v>232</v>
      </c>
      <c r="C9" s="8" t="s">
        <v>49</v>
      </c>
      <c r="D9" s="9">
        <v>16</v>
      </c>
      <c r="E9" s="10" t="s">
        <v>583</v>
      </c>
      <c r="F9" s="11"/>
      <c r="G9" s="12">
        <f t="shared" si="3"/>
        <v>1680</v>
      </c>
      <c r="H9" s="12">
        <f>ROUND(I9*0.33,0)</f>
        <v>828</v>
      </c>
      <c r="I9" s="13">
        <f>I4*0.0022</f>
        <v>2508</v>
      </c>
      <c r="J9" s="13">
        <f>ROUNDUP($J$4*Life,0)</f>
        <v>2508</v>
      </c>
    </row>
    <row r="10" spans="1:12" ht="34" x14ac:dyDescent="0.2">
      <c r="A10" s="8">
        <v>5100</v>
      </c>
      <c r="B10" s="8">
        <v>240</v>
      </c>
      <c r="C10" s="8" t="s">
        <v>49</v>
      </c>
      <c r="D10" s="9">
        <v>16</v>
      </c>
      <c r="E10" s="10" t="s">
        <v>584</v>
      </c>
      <c r="F10" s="11"/>
      <c r="G10" s="12">
        <f t="shared" ref="G10" si="4">ROUND(I10*0.67,0)</f>
        <v>8631</v>
      </c>
      <c r="H10" s="12">
        <f>ROUND(I10*0.33,0)</f>
        <v>4251</v>
      </c>
      <c r="I10" s="13">
        <f>I4*0.0113</f>
        <v>12882</v>
      </c>
      <c r="J10" s="13">
        <f>ROUNDUP(Work_Comp*$J$4,0)</f>
        <v>12882</v>
      </c>
    </row>
    <row r="11" spans="1:12" ht="68" x14ac:dyDescent="0.2">
      <c r="A11" s="8">
        <v>5100</v>
      </c>
      <c r="B11" s="8">
        <v>140</v>
      </c>
      <c r="C11" s="8">
        <v>1</v>
      </c>
      <c r="D11" s="9">
        <v>1</v>
      </c>
      <c r="E11" s="10" t="s">
        <v>266</v>
      </c>
      <c r="F11" s="11">
        <v>48</v>
      </c>
      <c r="G11" s="12">
        <f t="shared" si="0"/>
        <v>1422052</v>
      </c>
      <c r="H11" s="12">
        <f>ROUND(I11*0.33,0)</f>
        <v>700413</v>
      </c>
      <c r="I11" s="13">
        <v>2122465</v>
      </c>
      <c r="J11" s="13">
        <f>ROUNDUP(16.64*1309*48+17.14*1309*48,0)</f>
        <v>2122465</v>
      </c>
    </row>
    <row r="12" spans="1:12" ht="51" x14ac:dyDescent="0.2">
      <c r="A12" s="8">
        <v>5100</v>
      </c>
      <c r="B12" s="8">
        <v>150</v>
      </c>
      <c r="C12" s="8">
        <v>1</v>
      </c>
      <c r="D12" s="9">
        <v>3</v>
      </c>
      <c r="E12" s="10" t="s">
        <v>267</v>
      </c>
      <c r="F12" s="11">
        <v>7</v>
      </c>
      <c r="G12" s="12">
        <f t="shared" si="0"/>
        <v>177757</v>
      </c>
      <c r="H12" s="12">
        <v>86842</v>
      </c>
      <c r="I12" s="13">
        <v>265309</v>
      </c>
      <c r="J12" s="13">
        <f>ROUNDUP((187*6*16.64*7)+(17.14*6*187*7),0)</f>
        <v>265309</v>
      </c>
    </row>
    <row r="13" spans="1:12" ht="17" x14ac:dyDescent="0.2">
      <c r="A13" s="8" t="s">
        <v>96</v>
      </c>
      <c r="B13" s="8">
        <v>150</v>
      </c>
      <c r="C13" s="8" t="s">
        <v>49</v>
      </c>
      <c r="D13" s="9">
        <v>14</v>
      </c>
      <c r="E13" s="10" t="s">
        <v>99</v>
      </c>
      <c r="F13" s="52"/>
      <c r="G13" s="12">
        <f t="shared" si="0"/>
        <v>835237</v>
      </c>
      <c r="H13" s="12">
        <f>ROUND(I13*0.33,0)</f>
        <v>411385</v>
      </c>
      <c r="I13" s="13">
        <f>623311*2</f>
        <v>1246622</v>
      </c>
      <c r="J13" s="13">
        <v>1246622</v>
      </c>
    </row>
    <row r="14" spans="1:12" ht="34" x14ac:dyDescent="0.2">
      <c r="A14" s="8">
        <v>5100</v>
      </c>
      <c r="B14" s="8">
        <v>120</v>
      </c>
      <c r="C14" s="8" t="s">
        <v>49</v>
      </c>
      <c r="D14" s="9">
        <v>15</v>
      </c>
      <c r="E14" s="10" t="s">
        <v>585</v>
      </c>
      <c r="F14" s="11"/>
      <c r="G14" s="12">
        <f t="shared" si="0"/>
        <v>599585</v>
      </c>
      <c r="H14" s="12">
        <f>ROUND(I14*0.33,0)</f>
        <v>295318</v>
      </c>
      <c r="I14" s="13">
        <v>894903</v>
      </c>
      <c r="J14" s="13">
        <f>ROUNDUP(17*52641.35,0)</f>
        <v>894903</v>
      </c>
      <c r="K14" s="126"/>
    </row>
    <row r="15" spans="1:12" ht="17" x14ac:dyDescent="0.2">
      <c r="A15" s="8">
        <v>5100</v>
      </c>
      <c r="B15" s="8">
        <v>210</v>
      </c>
      <c r="C15" s="8" t="s">
        <v>49</v>
      </c>
      <c r="D15" s="9">
        <v>15</v>
      </c>
      <c r="E15" s="10" t="s">
        <v>579</v>
      </c>
      <c r="F15" s="11"/>
      <c r="G15" s="12">
        <f t="shared" ref="G15:G20" si="5">ROUND(I15*0.67,0)</f>
        <v>68413</v>
      </c>
      <c r="H15" s="12">
        <f>ROUND(I15*0.33,0)</f>
        <v>33696</v>
      </c>
      <c r="I15" s="13">
        <v>102109</v>
      </c>
      <c r="J15" s="13">
        <f>ROUNDUP($J$14*Retirement,0)</f>
        <v>102109</v>
      </c>
    </row>
    <row r="16" spans="1:12" ht="17" x14ac:dyDescent="0.2">
      <c r="A16" s="8">
        <v>5100</v>
      </c>
      <c r="B16" s="8">
        <v>220</v>
      </c>
      <c r="C16" s="8" t="s">
        <v>49</v>
      </c>
      <c r="D16" s="9">
        <v>15</v>
      </c>
      <c r="E16" s="10" t="s">
        <v>580</v>
      </c>
      <c r="F16" s="11"/>
      <c r="G16" s="12">
        <f t="shared" si="5"/>
        <v>37174</v>
      </c>
      <c r="H16" s="12">
        <f>ROUND(I16*0.33,0)</f>
        <v>18310</v>
      </c>
      <c r="I16" s="13">
        <v>55484</v>
      </c>
      <c r="J16" s="13">
        <f>ROUNDUP($J$14*FICA,0)</f>
        <v>55484</v>
      </c>
    </row>
    <row r="17" spans="1:10" ht="34" x14ac:dyDescent="0.2">
      <c r="A17" s="8">
        <v>5100</v>
      </c>
      <c r="B17" s="8">
        <v>220</v>
      </c>
      <c r="C17" s="8" t="s">
        <v>49</v>
      </c>
      <c r="D17" s="9">
        <v>15</v>
      </c>
      <c r="E17" s="10" t="s">
        <v>581</v>
      </c>
      <c r="F17" s="11"/>
      <c r="G17" s="12">
        <f t="shared" si="5"/>
        <v>8695</v>
      </c>
      <c r="H17" s="12">
        <f t="shared" ref="H17" si="6">ROUND(I17*0.33,0)</f>
        <v>4282</v>
      </c>
      <c r="I17" s="13">
        <v>12977</v>
      </c>
      <c r="J17" s="13">
        <f>ROUNDUP($J$14*Medicare,0)</f>
        <v>12977</v>
      </c>
    </row>
    <row r="18" spans="1:10" ht="34" x14ac:dyDescent="0.2">
      <c r="A18" s="8">
        <v>5100</v>
      </c>
      <c r="B18" s="8">
        <v>231</v>
      </c>
      <c r="C18" s="8" t="s">
        <v>49</v>
      </c>
      <c r="D18" s="9">
        <v>15</v>
      </c>
      <c r="E18" s="10" t="s">
        <v>582</v>
      </c>
      <c r="F18" s="11"/>
      <c r="G18" s="12">
        <f t="shared" si="5"/>
        <v>102469</v>
      </c>
      <c r="H18" s="12">
        <f>ROUND(I18*0.33,0)</f>
        <v>50470</v>
      </c>
      <c r="I18" s="13">
        <v>152939</v>
      </c>
      <c r="J18" s="13">
        <f>ROUNDUP($J$14*Health,0)</f>
        <v>152939</v>
      </c>
    </row>
    <row r="19" spans="1:10" ht="34" x14ac:dyDescent="0.2">
      <c r="A19" s="8">
        <v>5100</v>
      </c>
      <c r="B19" s="8">
        <v>232</v>
      </c>
      <c r="C19" s="8" t="s">
        <v>49</v>
      </c>
      <c r="D19" s="9">
        <v>15</v>
      </c>
      <c r="E19" s="10" t="s">
        <v>583</v>
      </c>
      <c r="F19" s="11"/>
      <c r="G19" s="12">
        <f t="shared" si="5"/>
        <v>1319</v>
      </c>
      <c r="H19" s="12">
        <f>ROUND(I19*0.33,0)</f>
        <v>650</v>
      </c>
      <c r="I19" s="13">
        <v>1969</v>
      </c>
      <c r="J19" s="13">
        <f>ROUNDUP($J$14*Life,0)</f>
        <v>1969</v>
      </c>
    </row>
    <row r="20" spans="1:10" ht="34" x14ac:dyDescent="0.2">
      <c r="A20" s="8">
        <v>5100</v>
      </c>
      <c r="B20" s="8">
        <v>240</v>
      </c>
      <c r="C20" s="8" t="s">
        <v>49</v>
      </c>
      <c r="D20" s="9">
        <v>15</v>
      </c>
      <c r="E20" s="10" t="s">
        <v>584</v>
      </c>
      <c r="F20" s="11"/>
      <c r="G20" s="12">
        <f t="shared" si="5"/>
        <v>6776</v>
      </c>
      <c r="H20" s="12">
        <f>ROUND(I20*0.33,0)</f>
        <v>3337</v>
      </c>
      <c r="I20" s="13">
        <v>10113</v>
      </c>
      <c r="J20" s="13">
        <f>ROUNDUP($J$14*Work_Comp,0)</f>
        <v>10113</v>
      </c>
    </row>
    <row r="21" spans="1:10" ht="17" x14ac:dyDescent="0.2">
      <c r="A21" s="8">
        <v>5100</v>
      </c>
      <c r="B21" s="8">
        <v>210</v>
      </c>
      <c r="C21" s="8">
        <v>1</v>
      </c>
      <c r="D21" s="9">
        <v>1</v>
      </c>
      <c r="E21" s="10" t="s">
        <v>268</v>
      </c>
      <c r="F21" s="11"/>
      <c r="G21" s="12">
        <f t="shared" si="0"/>
        <v>162257</v>
      </c>
      <c r="H21" s="12">
        <v>304331</v>
      </c>
      <c r="I21" s="13">
        <v>242174</v>
      </c>
      <c r="J21" s="13">
        <f>ROUNDUP(Retirement*$J$11,0)</f>
        <v>242174</v>
      </c>
    </row>
    <row r="22" spans="1:10" ht="34" x14ac:dyDescent="0.2">
      <c r="A22" s="8">
        <v>5100</v>
      </c>
      <c r="B22" s="8">
        <v>210</v>
      </c>
      <c r="C22" s="8">
        <v>1</v>
      </c>
      <c r="D22" s="9">
        <v>2</v>
      </c>
      <c r="E22" s="10" t="s">
        <v>269</v>
      </c>
      <c r="F22" s="11"/>
      <c r="G22" s="12">
        <f t="shared" si="0"/>
        <v>230176</v>
      </c>
      <c r="H22" s="12">
        <f t="shared" ref="H22:H85" si="7">ROUND(I22*0.33,0)</f>
        <v>113370</v>
      </c>
      <c r="I22" s="13">
        <v>343546</v>
      </c>
      <c r="J22" s="13">
        <f>ROUNDUP(Retirement*$J$2,0)</f>
        <v>343546</v>
      </c>
    </row>
    <row r="23" spans="1:10" ht="17" x14ac:dyDescent="0.2">
      <c r="A23" s="8">
        <v>5100</v>
      </c>
      <c r="B23" s="8">
        <v>210</v>
      </c>
      <c r="C23" s="8">
        <v>1</v>
      </c>
      <c r="D23" s="9">
        <v>3</v>
      </c>
      <c r="E23" s="10" t="s">
        <v>270</v>
      </c>
      <c r="F23" s="11"/>
      <c r="G23" s="12">
        <f t="shared" si="0"/>
        <v>20282</v>
      </c>
      <c r="H23" s="12">
        <f t="shared" si="7"/>
        <v>9990</v>
      </c>
      <c r="I23" s="13">
        <v>30272</v>
      </c>
      <c r="J23" s="13">
        <f>ROUNDUP(Retirement*$J$12,0)</f>
        <v>30272</v>
      </c>
    </row>
    <row r="24" spans="1:10" ht="17" x14ac:dyDescent="0.2">
      <c r="A24" s="8">
        <v>5100</v>
      </c>
      <c r="B24" s="8">
        <v>220</v>
      </c>
      <c r="C24" s="8">
        <v>1</v>
      </c>
      <c r="D24" s="9">
        <v>1</v>
      </c>
      <c r="E24" s="10" t="s">
        <v>271</v>
      </c>
      <c r="F24" s="11"/>
      <c r="G24" s="12">
        <f t="shared" si="0"/>
        <v>88167</v>
      </c>
      <c r="H24" s="12">
        <f t="shared" si="7"/>
        <v>43426</v>
      </c>
      <c r="I24" s="13">
        <v>131593</v>
      </c>
      <c r="J24" s="13">
        <f>ROUNDUP(FICA*$J$11,0)</f>
        <v>131593</v>
      </c>
    </row>
    <row r="25" spans="1:10" ht="34" x14ac:dyDescent="0.2">
      <c r="A25" s="8">
        <v>5100</v>
      </c>
      <c r="B25" s="8">
        <v>220</v>
      </c>
      <c r="C25" s="8">
        <v>1</v>
      </c>
      <c r="D25" s="9">
        <v>1</v>
      </c>
      <c r="E25" s="10" t="s">
        <v>272</v>
      </c>
      <c r="F25" s="11"/>
      <c r="G25" s="12">
        <f t="shared" si="0"/>
        <v>20620</v>
      </c>
      <c r="H25" s="12">
        <f t="shared" si="7"/>
        <v>10156</v>
      </c>
      <c r="I25" s="13">
        <v>30776</v>
      </c>
      <c r="J25" s="13">
        <f>ROUNDUP(Medicare*$J$11,0)</f>
        <v>30776</v>
      </c>
    </row>
    <row r="26" spans="1:10" ht="34" x14ac:dyDescent="0.2">
      <c r="A26" s="8">
        <v>5100</v>
      </c>
      <c r="B26" s="8">
        <v>220</v>
      </c>
      <c r="C26" s="8">
        <v>1</v>
      </c>
      <c r="D26" s="9">
        <v>2</v>
      </c>
      <c r="E26" s="10" t="s">
        <v>273</v>
      </c>
      <c r="F26" s="11"/>
      <c r="G26" s="12">
        <f t="shared" si="0"/>
        <v>125074</v>
      </c>
      <c r="H26" s="12">
        <f t="shared" si="7"/>
        <v>61603</v>
      </c>
      <c r="I26" s="13">
        <v>186677</v>
      </c>
      <c r="J26" s="13">
        <f>ROUNDUP(FICA*$J$2,0)</f>
        <v>186677</v>
      </c>
    </row>
    <row r="27" spans="1:10" ht="34" x14ac:dyDescent="0.2">
      <c r="A27" s="8">
        <v>5100</v>
      </c>
      <c r="B27" s="8">
        <v>220</v>
      </c>
      <c r="C27" s="8">
        <v>1</v>
      </c>
      <c r="D27" s="9">
        <v>2</v>
      </c>
      <c r="E27" s="10" t="s">
        <v>274</v>
      </c>
      <c r="F27" s="11"/>
      <c r="G27" s="12">
        <f t="shared" si="0"/>
        <v>29252</v>
      </c>
      <c r="H27" s="12">
        <f t="shared" si="7"/>
        <v>14407</v>
      </c>
      <c r="I27" s="13">
        <v>43659</v>
      </c>
      <c r="J27" s="13">
        <f>ROUNDUP(Medicare*$J$2,0)</f>
        <v>43659</v>
      </c>
    </row>
    <row r="28" spans="1:10" ht="17" x14ac:dyDescent="0.2">
      <c r="A28" s="8">
        <v>5100</v>
      </c>
      <c r="B28" s="8">
        <v>220</v>
      </c>
      <c r="C28" s="8">
        <v>1</v>
      </c>
      <c r="D28" s="9">
        <v>3</v>
      </c>
      <c r="E28" s="10" t="s">
        <v>521</v>
      </c>
      <c r="F28" s="11"/>
      <c r="G28" s="12">
        <f t="shared" si="0"/>
        <v>11022</v>
      </c>
      <c r="H28" s="12">
        <f t="shared" si="7"/>
        <v>5429</v>
      </c>
      <c r="I28" s="13">
        <v>16450</v>
      </c>
      <c r="J28" s="13">
        <f>ROUNDUP(FICA*$J$12,0)</f>
        <v>16450</v>
      </c>
    </row>
    <row r="29" spans="1:10" ht="34" x14ac:dyDescent="0.2">
      <c r="A29" s="8">
        <v>5100</v>
      </c>
      <c r="B29" s="8">
        <v>220</v>
      </c>
      <c r="C29" s="8">
        <v>1</v>
      </c>
      <c r="D29" s="9">
        <v>3</v>
      </c>
      <c r="E29" s="10" t="s">
        <v>276</v>
      </c>
      <c r="F29" s="11"/>
      <c r="G29" s="12">
        <f t="shared" si="0"/>
        <v>2577</v>
      </c>
      <c r="H29" s="12">
        <f t="shared" si="7"/>
        <v>1270</v>
      </c>
      <c r="I29" s="13">
        <v>3847</v>
      </c>
      <c r="J29" s="13">
        <f>ROUNDUP(Medicare*$J$12,0)</f>
        <v>3847</v>
      </c>
    </row>
    <row r="30" spans="1:10" ht="34" x14ac:dyDescent="0.2">
      <c r="A30" s="8" t="s">
        <v>96</v>
      </c>
      <c r="B30" s="8">
        <v>220</v>
      </c>
      <c r="C30" s="8" t="s">
        <v>49</v>
      </c>
      <c r="D30" s="9">
        <v>14</v>
      </c>
      <c r="E30" s="10" t="s">
        <v>451</v>
      </c>
      <c r="F30" s="52"/>
      <c r="G30" s="12">
        <f t="shared" si="0"/>
        <v>127068</v>
      </c>
      <c r="H30" s="12">
        <f t="shared" si="7"/>
        <v>62586</v>
      </c>
      <c r="I30" s="13">
        <f>56577*2+62000+14500</f>
        <v>189654</v>
      </c>
      <c r="J30" s="13">
        <v>189654</v>
      </c>
    </row>
    <row r="31" spans="1:10" ht="34" x14ac:dyDescent="0.2">
      <c r="A31" s="8">
        <v>5100</v>
      </c>
      <c r="B31" s="8">
        <v>231</v>
      </c>
      <c r="C31" s="8">
        <v>1</v>
      </c>
      <c r="D31" s="9">
        <v>1</v>
      </c>
      <c r="E31" s="10" t="s">
        <v>277</v>
      </c>
      <c r="F31" s="11"/>
      <c r="G31" s="12">
        <f t="shared" si="0"/>
        <v>243029</v>
      </c>
      <c r="H31" s="12">
        <f t="shared" si="7"/>
        <v>119701</v>
      </c>
      <c r="I31" s="13">
        <v>362730</v>
      </c>
      <c r="J31" s="13">
        <f>ROUNDUP(Health*$J$11,0)</f>
        <v>362730</v>
      </c>
    </row>
    <row r="32" spans="1:10" ht="34" x14ac:dyDescent="0.2">
      <c r="A32" s="8">
        <v>5100</v>
      </c>
      <c r="B32" s="8">
        <v>231</v>
      </c>
      <c r="C32" s="8">
        <v>1</v>
      </c>
      <c r="D32" s="9">
        <v>2</v>
      </c>
      <c r="E32" s="10" t="s">
        <v>278</v>
      </c>
      <c r="F32" s="11"/>
      <c r="G32" s="12">
        <f t="shared" si="0"/>
        <v>344759</v>
      </c>
      <c r="H32" s="12">
        <f t="shared" si="7"/>
        <v>169806</v>
      </c>
      <c r="I32" s="13">
        <v>514565</v>
      </c>
      <c r="J32" s="13">
        <f>ROUNDUP($J$2*Health,0)</f>
        <v>514565</v>
      </c>
    </row>
    <row r="33" spans="1:12" ht="34" x14ac:dyDescent="0.2">
      <c r="A33" s="8">
        <v>5100</v>
      </c>
      <c r="B33" s="8">
        <v>231</v>
      </c>
      <c r="C33" s="8">
        <v>1</v>
      </c>
      <c r="D33" s="9">
        <v>3</v>
      </c>
      <c r="E33" s="10" t="s">
        <v>279</v>
      </c>
      <c r="F33" s="11"/>
      <c r="G33" s="12">
        <f t="shared" si="0"/>
        <v>30379</v>
      </c>
      <c r="H33" s="12">
        <f t="shared" si="7"/>
        <v>14963</v>
      </c>
      <c r="I33" s="13">
        <v>45342</v>
      </c>
      <c r="J33" s="13">
        <f>ROUNDUP(Health*$J$12,0)</f>
        <v>45342</v>
      </c>
    </row>
    <row r="34" spans="1:12" ht="34" x14ac:dyDescent="0.2">
      <c r="A34" s="8">
        <v>5100</v>
      </c>
      <c r="B34" s="8">
        <v>232</v>
      </c>
      <c r="C34" s="8">
        <v>1</v>
      </c>
      <c r="D34" s="9">
        <v>1</v>
      </c>
      <c r="E34" s="10" t="s">
        <v>280</v>
      </c>
      <c r="F34" s="11"/>
      <c r="G34" s="12">
        <f t="shared" si="0"/>
        <v>3129</v>
      </c>
      <c r="H34" s="12">
        <f t="shared" si="7"/>
        <v>1541</v>
      </c>
      <c r="I34" s="13">
        <v>4670</v>
      </c>
      <c r="J34" s="13">
        <f>ROUNDUP(Life*$J$11,0)</f>
        <v>4670</v>
      </c>
    </row>
    <row r="35" spans="1:12" ht="34" x14ac:dyDescent="0.2">
      <c r="A35" s="9">
        <v>5100</v>
      </c>
      <c r="B35" s="8">
        <v>232</v>
      </c>
      <c r="C35" s="8">
        <v>1</v>
      </c>
      <c r="D35" s="9">
        <v>2</v>
      </c>
      <c r="E35" s="10" t="s">
        <v>281</v>
      </c>
      <c r="F35" s="11"/>
      <c r="G35" s="12">
        <f t="shared" si="0"/>
        <v>4439</v>
      </c>
      <c r="H35" s="12">
        <f t="shared" si="7"/>
        <v>2186</v>
      </c>
      <c r="I35" s="13">
        <v>6625</v>
      </c>
      <c r="J35" s="13">
        <f>ROUNDUP(Life*$J$2,0)</f>
        <v>6625</v>
      </c>
    </row>
    <row r="36" spans="1:12" ht="34" x14ac:dyDescent="0.2">
      <c r="A36" s="8">
        <v>5100</v>
      </c>
      <c r="B36" s="8">
        <v>232</v>
      </c>
      <c r="C36" s="8">
        <v>1</v>
      </c>
      <c r="D36" s="9">
        <v>3</v>
      </c>
      <c r="E36" s="10" t="s">
        <v>522</v>
      </c>
      <c r="F36" s="11"/>
      <c r="G36" s="12">
        <f t="shared" si="0"/>
        <v>391</v>
      </c>
      <c r="H36" s="12">
        <f t="shared" si="7"/>
        <v>193</v>
      </c>
      <c r="I36" s="13">
        <v>584</v>
      </c>
      <c r="J36" s="13">
        <f>ROUNDUP(Life*$J$12,0)</f>
        <v>584</v>
      </c>
    </row>
    <row r="37" spans="1:12" ht="34" x14ac:dyDescent="0.2">
      <c r="A37" s="8">
        <v>5100</v>
      </c>
      <c r="B37" s="8">
        <v>240</v>
      </c>
      <c r="C37" s="8">
        <v>1</v>
      </c>
      <c r="D37" s="9">
        <v>1</v>
      </c>
      <c r="E37" s="10" t="s">
        <v>283</v>
      </c>
      <c r="F37" s="11"/>
      <c r="G37" s="12">
        <f t="shared" si="0"/>
        <v>16069</v>
      </c>
      <c r="H37" s="12">
        <f t="shared" si="7"/>
        <v>7915</v>
      </c>
      <c r="I37" s="13">
        <v>23984</v>
      </c>
      <c r="J37" s="13">
        <f>ROUNDUP(Work_Comp*$J$11,0)</f>
        <v>23984</v>
      </c>
    </row>
    <row r="38" spans="1:12" ht="51" x14ac:dyDescent="0.2">
      <c r="A38" s="8">
        <v>5100</v>
      </c>
      <c r="B38" s="8">
        <v>240</v>
      </c>
      <c r="C38" s="8">
        <v>1</v>
      </c>
      <c r="D38" s="9">
        <v>2</v>
      </c>
      <c r="E38" s="10" t="s">
        <v>284</v>
      </c>
      <c r="F38" s="11"/>
      <c r="G38" s="12">
        <f t="shared" si="0"/>
        <v>22796</v>
      </c>
      <c r="H38" s="12">
        <f t="shared" si="7"/>
        <v>11228</v>
      </c>
      <c r="I38" s="13">
        <v>34024</v>
      </c>
      <c r="J38" s="13">
        <f>ROUNDUP(Work_Comp*$J$2,0)</f>
        <v>34024</v>
      </c>
    </row>
    <row r="39" spans="1:12" ht="34" x14ac:dyDescent="0.2">
      <c r="A39" s="9">
        <v>5100</v>
      </c>
      <c r="B39" s="8">
        <v>240</v>
      </c>
      <c r="C39" s="8">
        <v>1</v>
      </c>
      <c r="D39" s="9">
        <v>3</v>
      </c>
      <c r="E39" s="10" t="s">
        <v>285</v>
      </c>
      <c r="F39" s="11"/>
      <c r="G39" s="12">
        <f t="shared" si="0"/>
        <v>2009</v>
      </c>
      <c r="H39" s="12">
        <f t="shared" si="7"/>
        <v>989</v>
      </c>
      <c r="I39" s="13">
        <f>ROUNDUP(Work_Comp*$J$12,0)</f>
        <v>2998</v>
      </c>
      <c r="J39" s="13">
        <f>ROUNDUP(Work_Comp*$J$12,0)</f>
        <v>2998</v>
      </c>
      <c r="L39" s="14"/>
    </row>
    <row r="40" spans="1:12" ht="51" x14ac:dyDescent="0.2">
      <c r="A40" s="8" t="s">
        <v>96</v>
      </c>
      <c r="B40" s="8">
        <v>240</v>
      </c>
      <c r="C40" s="8" t="s">
        <v>49</v>
      </c>
      <c r="D40" s="9">
        <v>14</v>
      </c>
      <c r="E40" s="10" t="s">
        <v>452</v>
      </c>
      <c r="F40" s="52"/>
      <c r="G40" s="12">
        <f t="shared" si="0"/>
        <v>19417</v>
      </c>
      <c r="H40" s="12">
        <f t="shared" si="7"/>
        <v>9563</v>
      </c>
      <c r="I40" s="13">
        <f>8840*2+11300</f>
        <v>28980</v>
      </c>
      <c r="J40" s="49">
        <v>28980</v>
      </c>
    </row>
    <row r="41" spans="1:12" ht="34" x14ac:dyDescent="0.2">
      <c r="A41" s="8">
        <v>5100</v>
      </c>
      <c r="B41" s="8">
        <v>330</v>
      </c>
      <c r="C41" s="8" t="s">
        <v>49</v>
      </c>
      <c r="D41" s="9">
        <v>16</v>
      </c>
      <c r="E41" s="10" t="s">
        <v>586</v>
      </c>
      <c r="F41" s="52"/>
      <c r="G41" s="12">
        <f t="shared" si="0"/>
        <v>522600</v>
      </c>
      <c r="H41" s="12">
        <f t="shared" si="7"/>
        <v>257400</v>
      </c>
      <c r="I41" s="13">
        <v>780000</v>
      </c>
      <c r="J41" s="13">
        <f>6500*10*12</f>
        <v>780000</v>
      </c>
    </row>
    <row r="42" spans="1:12" ht="34" x14ac:dyDescent="0.2">
      <c r="A42" s="8">
        <v>5100</v>
      </c>
      <c r="B42" s="8">
        <v>369</v>
      </c>
      <c r="C42" s="8">
        <v>1</v>
      </c>
      <c r="D42" s="9">
        <v>5</v>
      </c>
      <c r="E42" s="10" t="s">
        <v>286</v>
      </c>
      <c r="F42" s="11"/>
      <c r="G42" s="12">
        <f t="shared" si="0"/>
        <v>167500</v>
      </c>
      <c r="H42" s="12">
        <f t="shared" si="7"/>
        <v>82500</v>
      </c>
      <c r="I42" s="13">
        <v>250000</v>
      </c>
      <c r="J42" s="13">
        <v>250000</v>
      </c>
    </row>
    <row r="43" spans="1:12" ht="68" x14ac:dyDescent="0.2">
      <c r="A43" s="8">
        <v>5100</v>
      </c>
      <c r="B43" s="8">
        <v>369</v>
      </c>
      <c r="C43" s="8">
        <v>1</v>
      </c>
      <c r="D43" s="9">
        <v>12</v>
      </c>
      <c r="E43" s="10" t="s">
        <v>587</v>
      </c>
      <c r="F43" s="11"/>
      <c r="G43" s="12">
        <f t="shared" si="0"/>
        <v>301500</v>
      </c>
      <c r="H43" s="12">
        <f t="shared" si="7"/>
        <v>148500</v>
      </c>
      <c r="I43" s="13">
        <v>450000</v>
      </c>
      <c r="J43" s="13">
        <f>50*30*150*2</f>
        <v>450000</v>
      </c>
      <c r="L43" s="14"/>
    </row>
    <row r="44" spans="1:12" ht="68" x14ac:dyDescent="0.2">
      <c r="A44" s="8">
        <v>5100</v>
      </c>
      <c r="B44" s="8">
        <v>369</v>
      </c>
      <c r="C44" s="8" t="s">
        <v>9</v>
      </c>
      <c r="D44" s="9">
        <v>2</v>
      </c>
      <c r="E44" s="10" t="s">
        <v>588</v>
      </c>
      <c r="F44" s="11"/>
      <c r="G44" s="12">
        <f t="shared" si="0"/>
        <v>989328</v>
      </c>
      <c r="H44" s="12">
        <f t="shared" si="7"/>
        <v>487281</v>
      </c>
      <c r="I44" s="13">
        <f>1286000+190609</f>
        <v>1476609</v>
      </c>
      <c r="J44" s="14">
        <f>ROUNDUP(36662.23*13,0)+1000000</f>
        <v>1476609</v>
      </c>
    </row>
    <row r="45" spans="1:12" ht="102" x14ac:dyDescent="0.2">
      <c r="A45" s="8">
        <v>5100</v>
      </c>
      <c r="B45" s="8">
        <v>394</v>
      </c>
      <c r="C45" s="8">
        <v>1</v>
      </c>
      <c r="D45" s="16" t="s">
        <v>12</v>
      </c>
      <c r="E45" s="17" t="s">
        <v>523</v>
      </c>
      <c r="F45" s="11"/>
      <c r="G45" s="12">
        <f t="shared" si="0"/>
        <v>43344</v>
      </c>
      <c r="H45" s="12">
        <f t="shared" si="7"/>
        <v>21348</v>
      </c>
      <c r="I45" s="13">
        <v>64692</v>
      </c>
      <c r="J45" s="13">
        <f>ROUNDUP(26414+24778.31+12500+999,0)</f>
        <v>64692</v>
      </c>
    </row>
    <row r="46" spans="1:12" ht="51" x14ac:dyDescent="0.2">
      <c r="A46" s="8">
        <v>5100</v>
      </c>
      <c r="B46" s="8">
        <v>394</v>
      </c>
      <c r="C46" s="8">
        <v>1</v>
      </c>
      <c r="D46" s="9" t="s">
        <v>10</v>
      </c>
      <c r="E46" s="10" t="s">
        <v>287</v>
      </c>
      <c r="F46" s="11"/>
      <c r="G46" s="12">
        <f t="shared" si="0"/>
        <v>36662</v>
      </c>
      <c r="H46" s="12">
        <f t="shared" si="7"/>
        <v>18058</v>
      </c>
      <c r="I46" s="13">
        <v>54720</v>
      </c>
      <c r="J46" s="13">
        <v>54720</v>
      </c>
    </row>
    <row r="47" spans="1:12" ht="85" x14ac:dyDescent="0.2">
      <c r="A47" s="8">
        <v>5100</v>
      </c>
      <c r="B47" s="8">
        <v>394</v>
      </c>
      <c r="C47" s="8">
        <v>1</v>
      </c>
      <c r="D47" s="16" t="s">
        <v>515</v>
      </c>
      <c r="E47" s="10" t="s">
        <v>288</v>
      </c>
      <c r="F47" s="11"/>
      <c r="G47" s="12">
        <f t="shared" si="0"/>
        <v>129782</v>
      </c>
      <c r="H47" s="12">
        <f t="shared" si="7"/>
        <v>63923</v>
      </c>
      <c r="I47" s="13">
        <v>193705</v>
      </c>
      <c r="J47" s="13">
        <f>62565+35640+95500</f>
        <v>193705</v>
      </c>
    </row>
    <row r="48" spans="1:12" ht="34" x14ac:dyDescent="0.2">
      <c r="A48" s="8">
        <v>5100</v>
      </c>
      <c r="B48" s="8">
        <v>510</v>
      </c>
      <c r="C48" s="8" t="s">
        <v>13</v>
      </c>
      <c r="D48" s="9">
        <v>1</v>
      </c>
      <c r="E48" s="10" t="s">
        <v>14</v>
      </c>
      <c r="F48" s="11"/>
      <c r="G48" s="12">
        <f t="shared" si="0"/>
        <v>457253</v>
      </c>
      <c r="H48" s="12">
        <f t="shared" si="7"/>
        <v>225214</v>
      </c>
      <c r="I48" s="13">
        <v>682467</v>
      </c>
      <c r="J48" s="13">
        <v>682467</v>
      </c>
    </row>
    <row r="49" spans="1:13" ht="17" x14ac:dyDescent="0.2">
      <c r="A49" s="8">
        <v>5100</v>
      </c>
      <c r="B49" s="8">
        <v>590</v>
      </c>
      <c r="C49" s="8">
        <v>1</v>
      </c>
      <c r="D49" s="9">
        <v>5</v>
      </c>
      <c r="E49" s="10" t="s">
        <v>563</v>
      </c>
      <c r="F49" s="11"/>
      <c r="G49" s="12">
        <f t="shared" si="0"/>
        <v>166750</v>
      </c>
      <c r="H49" s="12">
        <f t="shared" si="7"/>
        <v>82130</v>
      </c>
      <c r="I49" s="13">
        <v>248880</v>
      </c>
      <c r="J49" s="13">
        <v>248880</v>
      </c>
    </row>
    <row r="50" spans="1:13" ht="51" x14ac:dyDescent="0.2">
      <c r="A50" s="8">
        <v>5100</v>
      </c>
      <c r="B50" s="8">
        <v>590</v>
      </c>
      <c r="C50" s="8">
        <v>1</v>
      </c>
      <c r="D50" s="9">
        <v>12</v>
      </c>
      <c r="E50" s="10" t="s">
        <v>589</v>
      </c>
      <c r="F50" s="11"/>
      <c r="G50" s="12">
        <f t="shared" si="0"/>
        <v>301500</v>
      </c>
      <c r="H50" s="12">
        <f t="shared" si="7"/>
        <v>148500</v>
      </c>
      <c r="I50" s="13">
        <v>450000</v>
      </c>
      <c r="J50" s="13">
        <f>30*50*150*2</f>
        <v>450000</v>
      </c>
      <c r="L50" s="14"/>
    </row>
    <row r="51" spans="1:13" ht="68" x14ac:dyDescent="0.2">
      <c r="A51" s="8">
        <v>5100</v>
      </c>
      <c r="B51" s="8">
        <v>643</v>
      </c>
      <c r="C51" s="8" t="s">
        <v>9</v>
      </c>
      <c r="D51" s="9">
        <v>6</v>
      </c>
      <c r="E51" s="19" t="s">
        <v>590</v>
      </c>
      <c r="F51" s="18"/>
      <c r="G51" s="12">
        <f t="shared" si="0"/>
        <v>2534806</v>
      </c>
      <c r="H51" s="12">
        <f t="shared" si="7"/>
        <v>1248486</v>
      </c>
      <c r="I51" s="13">
        <v>3783292</v>
      </c>
      <c r="J51" s="13">
        <f>ROUNDUP(1140*96+1978.38*1857,0)</f>
        <v>3783292</v>
      </c>
    </row>
    <row r="52" spans="1:13" ht="34" x14ac:dyDescent="0.2">
      <c r="A52" s="8">
        <v>5100</v>
      </c>
      <c r="B52" s="8">
        <v>644</v>
      </c>
      <c r="C52" s="8" t="s">
        <v>9</v>
      </c>
      <c r="D52" s="9">
        <v>1</v>
      </c>
      <c r="E52" s="10" t="s">
        <v>591</v>
      </c>
      <c r="F52" s="18"/>
      <c r="G52" s="12">
        <f t="shared" si="0"/>
        <v>473095</v>
      </c>
      <c r="H52" s="12">
        <f t="shared" si="7"/>
        <v>233017</v>
      </c>
      <c r="I52" s="13">
        <v>706112</v>
      </c>
      <c r="J52" s="13">
        <f>2596*272</f>
        <v>706112</v>
      </c>
      <c r="K52" s="14" t="s">
        <v>520</v>
      </c>
    </row>
    <row r="53" spans="1:13" ht="68" x14ac:dyDescent="0.2">
      <c r="A53" s="8">
        <v>5100</v>
      </c>
      <c r="B53" s="8">
        <v>649</v>
      </c>
      <c r="C53" s="8" t="s">
        <v>9</v>
      </c>
      <c r="D53" s="9">
        <v>3</v>
      </c>
      <c r="E53" s="10" t="s">
        <v>524</v>
      </c>
      <c r="F53" s="11"/>
      <c r="G53" s="12">
        <f t="shared" si="0"/>
        <v>594589</v>
      </c>
      <c r="H53" s="12">
        <f t="shared" si="7"/>
        <v>292858</v>
      </c>
      <c r="I53" s="13">
        <v>887447</v>
      </c>
      <c r="J53" s="13">
        <f>ROUNDUP(1857*321+582.7*500,0)</f>
        <v>887447</v>
      </c>
    </row>
    <row r="54" spans="1:13" ht="17" x14ac:dyDescent="0.2">
      <c r="A54" s="8" t="s">
        <v>96</v>
      </c>
      <c r="B54" s="8">
        <v>751</v>
      </c>
      <c r="C54" s="8" t="s">
        <v>49</v>
      </c>
      <c r="D54" s="9">
        <v>14</v>
      </c>
      <c r="E54" s="10" t="s">
        <v>98</v>
      </c>
      <c r="F54" s="52"/>
      <c r="G54" s="12">
        <f t="shared" si="0"/>
        <v>89357</v>
      </c>
      <c r="H54" s="12">
        <f t="shared" si="7"/>
        <v>44011</v>
      </c>
      <c r="I54" s="13">
        <f>66684*2</f>
        <v>133368</v>
      </c>
      <c r="J54" s="13">
        <v>133368</v>
      </c>
    </row>
    <row r="55" spans="1:13" s="14" customFormat="1" ht="51" x14ac:dyDescent="0.2">
      <c r="A55" s="8">
        <v>5200</v>
      </c>
      <c r="B55" s="8">
        <v>120</v>
      </c>
      <c r="C55" s="8" t="s">
        <v>16</v>
      </c>
      <c r="D55" s="9">
        <v>2</v>
      </c>
      <c r="E55" s="10" t="s">
        <v>295</v>
      </c>
      <c r="F55" s="11"/>
      <c r="G55" s="12">
        <f t="shared" si="0"/>
        <v>235803</v>
      </c>
      <c r="H55" s="12">
        <f t="shared" si="7"/>
        <v>116142</v>
      </c>
      <c r="I55" s="13">
        <v>351945</v>
      </c>
      <c r="J55" s="13">
        <f>ROUNDUP(30*6*30.51*27+31.43*6*30*36,0)</f>
        <v>351945</v>
      </c>
      <c r="M55" s="15"/>
    </row>
    <row r="56" spans="1:13" s="14" customFormat="1" ht="68" x14ac:dyDescent="0.2">
      <c r="A56" s="8">
        <v>5200</v>
      </c>
      <c r="B56" s="8">
        <v>130</v>
      </c>
      <c r="C56" s="8">
        <v>1</v>
      </c>
      <c r="D56" s="9">
        <v>4</v>
      </c>
      <c r="E56" s="10" t="s">
        <v>296</v>
      </c>
      <c r="F56" s="11">
        <v>4</v>
      </c>
      <c r="G56" s="12">
        <f t="shared" si="0"/>
        <v>351369</v>
      </c>
      <c r="H56" s="12">
        <f t="shared" si="7"/>
        <v>173063</v>
      </c>
      <c r="I56" s="13">
        <v>524432</v>
      </c>
      <c r="J56" s="13">
        <f>64585*4+66523*4</f>
        <v>524432</v>
      </c>
      <c r="M56" s="15"/>
    </row>
    <row r="57" spans="1:13" s="14" customFormat="1" ht="51" x14ac:dyDescent="0.2">
      <c r="A57" s="8">
        <v>5200</v>
      </c>
      <c r="B57" s="8">
        <v>150</v>
      </c>
      <c r="C57" s="8" t="s">
        <v>16</v>
      </c>
      <c r="D57" s="9">
        <v>2</v>
      </c>
      <c r="E57" s="10" t="s">
        <v>297</v>
      </c>
      <c r="F57" s="11"/>
      <c r="G57" s="12">
        <f t="shared" si="0"/>
        <v>122704</v>
      </c>
      <c r="H57" s="12">
        <f t="shared" si="7"/>
        <v>60437</v>
      </c>
      <c r="I57" s="13">
        <v>183141</v>
      </c>
      <c r="J57" s="13">
        <f>ROUNDUP((16.15*6*27*30)+(30*16.15*6*36),0)</f>
        <v>183141</v>
      </c>
      <c r="M57" s="15"/>
    </row>
    <row r="58" spans="1:13" s="14" customFormat="1" ht="17" x14ac:dyDescent="0.2">
      <c r="A58" s="8" t="s">
        <v>100</v>
      </c>
      <c r="B58" s="8">
        <v>150</v>
      </c>
      <c r="C58" s="8" t="s">
        <v>49</v>
      </c>
      <c r="D58" s="9">
        <v>14</v>
      </c>
      <c r="E58" s="10" t="s">
        <v>101</v>
      </c>
      <c r="F58" s="52"/>
      <c r="G58" s="12">
        <f t="shared" si="0"/>
        <v>561940</v>
      </c>
      <c r="H58" s="12">
        <f t="shared" si="7"/>
        <v>276776</v>
      </c>
      <c r="I58" s="13">
        <f>419358*2</f>
        <v>838716</v>
      </c>
      <c r="J58" s="13">
        <v>838716</v>
      </c>
      <c r="M58" s="15"/>
    </row>
    <row r="59" spans="1:13" s="14" customFormat="1" ht="17" x14ac:dyDescent="0.2">
      <c r="A59" s="8" t="s">
        <v>100</v>
      </c>
      <c r="B59" s="8">
        <v>160</v>
      </c>
      <c r="C59" s="8" t="s">
        <v>49</v>
      </c>
      <c r="D59" s="9">
        <v>14</v>
      </c>
      <c r="E59" s="10" t="s">
        <v>102</v>
      </c>
      <c r="F59" s="52"/>
      <c r="G59" s="12">
        <f t="shared" si="0"/>
        <v>1905</v>
      </c>
      <c r="H59" s="12">
        <f t="shared" si="7"/>
        <v>939</v>
      </c>
      <c r="I59" s="13">
        <f>1422*2</f>
        <v>2844</v>
      </c>
      <c r="J59" s="13">
        <v>2844</v>
      </c>
      <c r="M59" s="15"/>
    </row>
    <row r="60" spans="1:13" s="14" customFormat="1" ht="17" x14ac:dyDescent="0.2">
      <c r="A60" s="8">
        <v>5200</v>
      </c>
      <c r="B60" s="8">
        <v>210</v>
      </c>
      <c r="C60" s="8">
        <v>1</v>
      </c>
      <c r="D60" s="9">
        <v>4</v>
      </c>
      <c r="E60" s="10" t="s">
        <v>298</v>
      </c>
      <c r="F60" s="11"/>
      <c r="G60" s="12">
        <f t="shared" si="0"/>
        <v>40091</v>
      </c>
      <c r="H60" s="12">
        <f t="shared" si="7"/>
        <v>19747</v>
      </c>
      <c r="I60" s="13">
        <v>59838</v>
      </c>
      <c r="J60" s="13">
        <f>ROUNDUP(Retirement*$J$56,0)</f>
        <v>59838</v>
      </c>
      <c r="M60" s="15"/>
    </row>
    <row r="61" spans="1:13" s="14" customFormat="1" ht="17" x14ac:dyDescent="0.2">
      <c r="A61" s="8">
        <v>5200</v>
      </c>
      <c r="B61" s="8">
        <v>210</v>
      </c>
      <c r="C61" s="8" t="s">
        <v>16</v>
      </c>
      <c r="D61" s="9">
        <v>2</v>
      </c>
      <c r="E61" s="10" t="s">
        <v>299</v>
      </c>
      <c r="F61" s="11"/>
      <c r="G61" s="12">
        <f t="shared" si="0"/>
        <v>40906</v>
      </c>
      <c r="H61" s="12">
        <f t="shared" si="7"/>
        <v>20148</v>
      </c>
      <c r="I61" s="13">
        <v>61054</v>
      </c>
      <c r="J61" s="13">
        <f>ROUNDUP(($J$55+$J$57)*Retirement,0)</f>
        <v>61054</v>
      </c>
      <c r="M61" s="15"/>
    </row>
    <row r="62" spans="1:13" s="14" customFormat="1" ht="17" x14ac:dyDescent="0.2">
      <c r="A62" s="8">
        <v>5200</v>
      </c>
      <c r="B62" s="8">
        <v>220</v>
      </c>
      <c r="C62" s="8">
        <v>1</v>
      </c>
      <c r="D62" s="9">
        <v>4</v>
      </c>
      <c r="E62" s="10" t="s">
        <v>17</v>
      </c>
      <c r="F62" s="11"/>
      <c r="G62" s="12">
        <f t="shared" si="0"/>
        <v>21785</v>
      </c>
      <c r="H62" s="12">
        <f t="shared" si="7"/>
        <v>10730</v>
      </c>
      <c r="I62" s="13">
        <v>32515</v>
      </c>
      <c r="J62" s="13">
        <f>ROUNDUP(FICA*$J$56,0)</f>
        <v>32515</v>
      </c>
      <c r="M62" s="15"/>
    </row>
    <row r="63" spans="1:13" s="14" customFormat="1" ht="34" x14ac:dyDescent="0.2">
      <c r="A63" s="8">
        <v>5200</v>
      </c>
      <c r="B63" s="8">
        <v>220</v>
      </c>
      <c r="C63" s="8">
        <v>1</v>
      </c>
      <c r="D63" s="9">
        <v>4</v>
      </c>
      <c r="E63" s="10" t="s">
        <v>300</v>
      </c>
      <c r="F63" s="11"/>
      <c r="G63" s="12">
        <f t="shared" si="0"/>
        <v>5095</v>
      </c>
      <c r="H63" s="12">
        <f t="shared" si="7"/>
        <v>2510</v>
      </c>
      <c r="I63" s="13">
        <v>7605</v>
      </c>
      <c r="J63" s="13">
        <f>ROUNDUP(Medicare*$J$56,0)</f>
        <v>7605</v>
      </c>
      <c r="M63" s="15"/>
    </row>
    <row r="64" spans="1:13" s="14" customFormat="1" ht="17" x14ac:dyDescent="0.2">
      <c r="A64" s="8">
        <v>5200</v>
      </c>
      <c r="B64" s="8">
        <v>220</v>
      </c>
      <c r="C64" s="8" t="s">
        <v>16</v>
      </c>
      <c r="D64" s="9">
        <v>2</v>
      </c>
      <c r="E64" s="10" t="s">
        <v>301</v>
      </c>
      <c r="F64" s="11"/>
      <c r="G64" s="12">
        <f t="shared" si="0"/>
        <v>21785</v>
      </c>
      <c r="H64" s="12">
        <f t="shared" si="7"/>
        <v>10730</v>
      </c>
      <c r="I64" s="13">
        <v>32515</v>
      </c>
      <c r="J64" s="13">
        <f>ROUNDUP(FICA*$J$56,0)</f>
        <v>32515</v>
      </c>
      <c r="M64" s="15"/>
    </row>
    <row r="65" spans="1:13" s="14" customFormat="1" ht="17" x14ac:dyDescent="0.2">
      <c r="A65" s="8">
        <v>5200</v>
      </c>
      <c r="B65" s="8">
        <v>220</v>
      </c>
      <c r="C65" s="8" t="s">
        <v>16</v>
      </c>
      <c r="D65" s="9">
        <v>2</v>
      </c>
      <c r="E65" s="10" t="s">
        <v>302</v>
      </c>
      <c r="F65" s="11"/>
      <c r="G65" s="12">
        <f t="shared" si="0"/>
        <v>5199</v>
      </c>
      <c r="H65" s="12">
        <f t="shared" si="7"/>
        <v>2560</v>
      </c>
      <c r="I65" s="13">
        <v>7759</v>
      </c>
      <c r="J65" s="13">
        <f>ROUNDUP(Medicare*($J$55+$J$57),0)</f>
        <v>7759</v>
      </c>
      <c r="M65" s="15"/>
    </row>
    <row r="66" spans="1:13" s="14" customFormat="1" ht="34" x14ac:dyDescent="0.2">
      <c r="A66" s="8" t="s">
        <v>100</v>
      </c>
      <c r="B66" s="8">
        <v>220</v>
      </c>
      <c r="C66" s="8" t="s">
        <v>49</v>
      </c>
      <c r="D66" s="9">
        <v>14</v>
      </c>
      <c r="E66" s="10" t="s">
        <v>453</v>
      </c>
      <c r="F66" s="11"/>
      <c r="G66" s="12">
        <f t="shared" si="0"/>
        <v>43014</v>
      </c>
      <c r="H66" s="12">
        <f t="shared" si="7"/>
        <v>21186</v>
      </c>
      <c r="I66" s="13">
        <f>32100*2</f>
        <v>64200</v>
      </c>
      <c r="J66" s="13">
        <v>64200</v>
      </c>
      <c r="M66" s="15"/>
    </row>
    <row r="67" spans="1:13" s="14" customFormat="1" ht="34" x14ac:dyDescent="0.2">
      <c r="A67" s="9">
        <v>5200</v>
      </c>
      <c r="B67" s="8">
        <v>231</v>
      </c>
      <c r="C67" s="8">
        <v>1</v>
      </c>
      <c r="D67" s="9">
        <v>4</v>
      </c>
      <c r="E67" s="10" t="s">
        <v>303</v>
      </c>
      <c r="F67" s="11"/>
      <c r="G67" s="12">
        <f t="shared" si="0"/>
        <v>60049</v>
      </c>
      <c r="H67" s="12">
        <f t="shared" si="7"/>
        <v>29577</v>
      </c>
      <c r="I67" s="13">
        <v>89626</v>
      </c>
      <c r="J67" s="13">
        <f>ROUNDUP(Health*($J$56),0)</f>
        <v>89626</v>
      </c>
      <c r="M67" s="15"/>
    </row>
    <row r="68" spans="1:13" s="14" customFormat="1" ht="34" x14ac:dyDescent="0.2">
      <c r="A68" s="9">
        <v>5200</v>
      </c>
      <c r="B68" s="8">
        <v>232</v>
      </c>
      <c r="C68" s="8">
        <v>1</v>
      </c>
      <c r="D68" s="9">
        <v>4</v>
      </c>
      <c r="E68" s="10" t="s">
        <v>304</v>
      </c>
      <c r="F68" s="11"/>
      <c r="G68" s="12">
        <f t="shared" si="0"/>
        <v>773</v>
      </c>
      <c r="H68" s="12">
        <f t="shared" si="7"/>
        <v>381</v>
      </c>
      <c r="I68" s="13">
        <v>1154</v>
      </c>
      <c r="J68" s="13">
        <f>ROUNDUP(Life*$J$56,0)</f>
        <v>1154</v>
      </c>
      <c r="M68" s="15"/>
    </row>
    <row r="69" spans="1:13" ht="34" x14ac:dyDescent="0.2">
      <c r="A69" s="9">
        <v>5200</v>
      </c>
      <c r="B69" s="8">
        <v>240</v>
      </c>
      <c r="C69" s="8">
        <v>1</v>
      </c>
      <c r="D69" s="9">
        <v>4</v>
      </c>
      <c r="E69" s="10" t="s">
        <v>305</v>
      </c>
      <c r="F69" s="11"/>
      <c r="G69" s="12">
        <f t="shared" si="0"/>
        <v>3971</v>
      </c>
      <c r="H69" s="12">
        <f t="shared" si="7"/>
        <v>1956</v>
      </c>
      <c r="I69" s="13">
        <v>5927</v>
      </c>
      <c r="J69" s="13">
        <f>ROUNDUP(Work_Comp*$J$56,0)</f>
        <v>5927</v>
      </c>
    </row>
    <row r="70" spans="1:13" ht="34" x14ac:dyDescent="0.2">
      <c r="A70" s="9">
        <v>5200</v>
      </c>
      <c r="B70" s="8">
        <v>240</v>
      </c>
      <c r="C70" s="8" t="s">
        <v>16</v>
      </c>
      <c r="D70" s="9">
        <v>2</v>
      </c>
      <c r="E70" s="10" t="s">
        <v>306</v>
      </c>
      <c r="F70" s="11"/>
      <c r="G70" s="12">
        <f t="shared" si="0"/>
        <v>4051</v>
      </c>
      <c r="H70" s="12">
        <f t="shared" si="7"/>
        <v>1996</v>
      </c>
      <c r="I70" s="13">
        <v>6047</v>
      </c>
      <c r="J70" s="13">
        <f>ROUNDUP(Work_Comp*($J$55+$J$57),0)</f>
        <v>6047</v>
      </c>
    </row>
    <row r="71" spans="1:13" ht="34" x14ac:dyDescent="0.2">
      <c r="A71" s="51" t="s">
        <v>100</v>
      </c>
      <c r="B71" s="8">
        <v>240</v>
      </c>
      <c r="C71" s="8" t="s">
        <v>49</v>
      </c>
      <c r="D71" s="9">
        <v>14</v>
      </c>
      <c r="E71" s="10" t="s">
        <v>454</v>
      </c>
      <c r="F71" s="11"/>
      <c r="G71" s="12">
        <f t="shared" si="0"/>
        <v>3186</v>
      </c>
      <c r="H71" s="12">
        <f t="shared" si="7"/>
        <v>1569</v>
      </c>
      <c r="I71" s="13">
        <v>4755</v>
      </c>
      <c r="J71" s="13">
        <v>4755</v>
      </c>
    </row>
    <row r="72" spans="1:13" ht="102" x14ac:dyDescent="0.2">
      <c r="A72" s="51">
        <v>5200</v>
      </c>
      <c r="B72" s="8">
        <v>310</v>
      </c>
      <c r="C72" s="8" t="s">
        <v>16</v>
      </c>
      <c r="D72" s="9">
        <v>1</v>
      </c>
      <c r="E72" s="10" t="s">
        <v>307</v>
      </c>
      <c r="F72" s="11"/>
      <c r="G72" s="12">
        <f t="shared" si="0"/>
        <v>19296</v>
      </c>
      <c r="H72" s="12">
        <f t="shared" si="7"/>
        <v>9504</v>
      </c>
      <c r="I72" s="13">
        <v>28800</v>
      </c>
      <c r="J72" s="13">
        <v>28800</v>
      </c>
    </row>
    <row r="73" spans="1:13" ht="34" x14ac:dyDescent="0.2">
      <c r="A73" s="8">
        <v>5200</v>
      </c>
      <c r="B73" s="8">
        <v>369</v>
      </c>
      <c r="C73" s="8" t="s">
        <v>16</v>
      </c>
      <c r="D73" s="9">
        <v>3</v>
      </c>
      <c r="E73" s="19" t="s">
        <v>565</v>
      </c>
      <c r="F73" s="11"/>
      <c r="G73" s="12">
        <f t="shared" si="0"/>
        <v>14070</v>
      </c>
      <c r="H73" s="12">
        <f t="shared" si="7"/>
        <v>6930</v>
      </c>
      <c r="I73" s="13">
        <v>21000</v>
      </c>
      <c r="J73" s="13">
        <v>21000</v>
      </c>
    </row>
    <row r="74" spans="1:13" ht="51" x14ac:dyDescent="0.2">
      <c r="A74" s="8">
        <v>5200</v>
      </c>
      <c r="B74" s="8">
        <v>510</v>
      </c>
      <c r="C74" s="8" t="s">
        <v>18</v>
      </c>
      <c r="D74" s="9">
        <v>5</v>
      </c>
      <c r="E74" s="114" t="s">
        <v>526</v>
      </c>
      <c r="F74" s="11"/>
      <c r="G74" s="12">
        <f t="shared" si="0"/>
        <v>33500</v>
      </c>
      <c r="H74" s="12">
        <f t="shared" si="7"/>
        <v>16500</v>
      </c>
      <c r="I74" s="13">
        <v>50000</v>
      </c>
      <c r="J74" s="13">
        <v>50000</v>
      </c>
    </row>
    <row r="75" spans="1:13" ht="34" x14ac:dyDescent="0.2">
      <c r="A75" s="9">
        <v>5200</v>
      </c>
      <c r="B75" s="8">
        <v>510</v>
      </c>
      <c r="C75" s="8" t="s">
        <v>16</v>
      </c>
      <c r="D75" s="9">
        <v>3</v>
      </c>
      <c r="E75" s="19" t="s">
        <v>564</v>
      </c>
      <c r="F75" s="11"/>
      <c r="G75" s="12">
        <f t="shared" si="0"/>
        <v>14070</v>
      </c>
      <c r="H75" s="12">
        <f t="shared" si="7"/>
        <v>6930</v>
      </c>
      <c r="I75" s="13">
        <v>21000</v>
      </c>
      <c r="J75" s="13">
        <v>21000</v>
      </c>
    </row>
    <row r="76" spans="1:13" ht="34" x14ac:dyDescent="0.2">
      <c r="A76" s="8">
        <v>5200</v>
      </c>
      <c r="B76" s="8">
        <v>590</v>
      </c>
      <c r="C76" s="8" t="s">
        <v>16</v>
      </c>
      <c r="D76" s="9">
        <v>3</v>
      </c>
      <c r="E76" s="19" t="s">
        <v>566</v>
      </c>
      <c r="F76" s="11"/>
      <c r="G76" s="12">
        <f t="shared" si="0"/>
        <v>14070</v>
      </c>
      <c r="H76" s="12">
        <f t="shared" si="7"/>
        <v>6930</v>
      </c>
      <c r="I76" s="13">
        <v>21000</v>
      </c>
      <c r="J76" s="13">
        <v>21000</v>
      </c>
    </row>
    <row r="77" spans="1:13" ht="34" x14ac:dyDescent="0.2">
      <c r="A77" s="8">
        <v>5300</v>
      </c>
      <c r="B77" s="8">
        <v>120</v>
      </c>
      <c r="C77" s="8" t="s">
        <v>29</v>
      </c>
      <c r="D77" s="9">
        <v>5</v>
      </c>
      <c r="E77" s="1" t="s">
        <v>257</v>
      </c>
      <c r="F77" s="11"/>
      <c r="G77" s="12">
        <f t="shared" si="0"/>
        <v>643983</v>
      </c>
      <c r="H77" s="12">
        <f t="shared" si="7"/>
        <v>317186</v>
      </c>
      <c r="I77" s="13">
        <v>961169</v>
      </c>
      <c r="J77" s="13">
        <v>961169</v>
      </c>
    </row>
    <row r="78" spans="1:13" ht="17" x14ac:dyDescent="0.2">
      <c r="A78" s="8" t="s">
        <v>103</v>
      </c>
      <c r="B78" s="8">
        <v>120</v>
      </c>
      <c r="C78" s="8" t="s">
        <v>49</v>
      </c>
      <c r="D78" s="9">
        <v>14</v>
      </c>
      <c r="E78" s="10" t="s">
        <v>530</v>
      </c>
      <c r="F78" s="52"/>
      <c r="G78" s="12">
        <f t="shared" ref="G78:G143" si="8">ROUND(I78*0.67,0)</f>
        <v>162860</v>
      </c>
      <c r="H78" s="12">
        <f t="shared" si="7"/>
        <v>80214</v>
      </c>
      <c r="I78" s="13">
        <f>121537*2</f>
        <v>243074</v>
      </c>
      <c r="J78" s="13">
        <v>243074</v>
      </c>
    </row>
    <row r="79" spans="1:13" ht="17" x14ac:dyDescent="0.2">
      <c r="A79" s="8" t="s">
        <v>103</v>
      </c>
      <c r="B79" s="8">
        <v>160</v>
      </c>
      <c r="C79" s="8" t="s">
        <v>49</v>
      </c>
      <c r="D79" s="9">
        <v>14</v>
      </c>
      <c r="E79" s="10" t="s">
        <v>529</v>
      </c>
      <c r="F79" s="52"/>
      <c r="G79" s="12">
        <f t="shared" si="8"/>
        <v>21905</v>
      </c>
      <c r="H79" s="12">
        <f t="shared" si="7"/>
        <v>10789</v>
      </c>
      <c r="I79" s="13">
        <f>16347*2</f>
        <v>32694</v>
      </c>
      <c r="J79" s="13">
        <v>32694</v>
      </c>
    </row>
    <row r="80" spans="1:13" ht="17" x14ac:dyDescent="0.2">
      <c r="A80" s="9">
        <v>5300</v>
      </c>
      <c r="B80" s="8">
        <v>210</v>
      </c>
      <c r="C80" s="8" t="s">
        <v>29</v>
      </c>
      <c r="D80" s="9">
        <v>5</v>
      </c>
      <c r="E80" s="10" t="s">
        <v>528</v>
      </c>
      <c r="F80" s="11"/>
      <c r="G80" s="12">
        <f t="shared" si="8"/>
        <v>73479</v>
      </c>
      <c r="H80" s="12">
        <f t="shared" si="7"/>
        <v>36191</v>
      </c>
      <c r="I80" s="13">
        <v>109670</v>
      </c>
      <c r="J80" s="13">
        <f>ROUNDUP(Retirement*$J$77,0)</f>
        <v>109670</v>
      </c>
    </row>
    <row r="81" spans="1:13" ht="17" x14ac:dyDescent="0.2">
      <c r="A81" s="9">
        <v>5300</v>
      </c>
      <c r="B81" s="8">
        <v>220</v>
      </c>
      <c r="C81" s="8" t="s">
        <v>29</v>
      </c>
      <c r="D81" s="9">
        <v>5</v>
      </c>
      <c r="E81" s="10" t="s">
        <v>527</v>
      </c>
      <c r="F81" s="11"/>
      <c r="G81" s="12">
        <f t="shared" si="8"/>
        <v>39927</v>
      </c>
      <c r="H81" s="12">
        <f t="shared" si="7"/>
        <v>19666</v>
      </c>
      <c r="I81" s="13">
        <v>59593</v>
      </c>
      <c r="J81" s="13">
        <f>ROUNDUP($J$77*FICA,0)</f>
        <v>59593</v>
      </c>
    </row>
    <row r="82" spans="1:13" s="14" customFormat="1" ht="17" x14ac:dyDescent="0.2">
      <c r="A82" s="8">
        <v>5300</v>
      </c>
      <c r="B82" s="8">
        <v>220</v>
      </c>
      <c r="C82" s="8" t="s">
        <v>29</v>
      </c>
      <c r="D82" s="9">
        <v>5</v>
      </c>
      <c r="E82" s="10" t="s">
        <v>532</v>
      </c>
      <c r="F82" s="11"/>
      <c r="G82" s="12">
        <f t="shared" si="8"/>
        <v>9338</v>
      </c>
      <c r="H82" s="12">
        <f t="shared" si="7"/>
        <v>4599</v>
      </c>
      <c r="I82" s="13">
        <v>13937</v>
      </c>
      <c r="J82" s="13">
        <f>ROUNDUP(Medicare*$J$77,0)</f>
        <v>13937</v>
      </c>
      <c r="L82" s="15"/>
      <c r="M82" s="15"/>
    </row>
    <row r="83" spans="1:13" s="14" customFormat="1" ht="17" x14ac:dyDescent="0.2">
      <c r="A83" s="8" t="s">
        <v>103</v>
      </c>
      <c r="B83" s="8">
        <v>220</v>
      </c>
      <c r="C83" s="8" t="s">
        <v>49</v>
      </c>
      <c r="D83" s="9">
        <v>14</v>
      </c>
      <c r="E83" s="10" t="s">
        <v>531</v>
      </c>
      <c r="F83" s="52"/>
      <c r="G83" s="12">
        <f t="shared" si="8"/>
        <v>14137</v>
      </c>
      <c r="H83" s="12">
        <f t="shared" si="7"/>
        <v>6963</v>
      </c>
      <c r="I83" s="13">
        <f>10550*2</f>
        <v>21100</v>
      </c>
      <c r="J83" s="13">
        <v>21100</v>
      </c>
      <c r="L83" s="15"/>
      <c r="M83" s="15"/>
    </row>
    <row r="84" spans="1:13" s="14" customFormat="1" ht="17" x14ac:dyDescent="0.2">
      <c r="A84" s="9">
        <v>5300</v>
      </c>
      <c r="B84" s="8">
        <v>231</v>
      </c>
      <c r="C84" s="8" t="s">
        <v>29</v>
      </c>
      <c r="D84" s="9">
        <v>5</v>
      </c>
      <c r="E84" s="10" t="s">
        <v>533</v>
      </c>
      <c r="F84" s="11"/>
      <c r="G84" s="12">
        <f t="shared" si="8"/>
        <v>110057</v>
      </c>
      <c r="H84" s="12">
        <f t="shared" si="7"/>
        <v>54207</v>
      </c>
      <c r="I84" s="13">
        <v>164264</v>
      </c>
      <c r="J84" s="13">
        <f>ROUNDUP(Health*$J$77,0)</f>
        <v>164264</v>
      </c>
      <c r="L84" s="15"/>
      <c r="M84" s="15"/>
    </row>
    <row r="85" spans="1:13" s="14" customFormat="1" ht="17" x14ac:dyDescent="0.2">
      <c r="A85" s="8">
        <v>5300</v>
      </c>
      <c r="B85" s="8">
        <v>232</v>
      </c>
      <c r="C85" s="8" t="s">
        <v>29</v>
      </c>
      <c r="D85" s="9">
        <v>5</v>
      </c>
      <c r="E85" s="10" t="s">
        <v>535</v>
      </c>
      <c r="F85" s="11"/>
      <c r="G85" s="12">
        <f t="shared" si="8"/>
        <v>1417</v>
      </c>
      <c r="H85" s="12">
        <f t="shared" si="7"/>
        <v>698</v>
      </c>
      <c r="I85" s="13">
        <v>2115</v>
      </c>
      <c r="J85" s="13">
        <f>ROUNDUP(Life*$J$77,0)</f>
        <v>2115</v>
      </c>
      <c r="L85" s="15"/>
      <c r="M85" s="15"/>
    </row>
    <row r="86" spans="1:13" s="14" customFormat="1" ht="17" x14ac:dyDescent="0.2">
      <c r="A86" s="8">
        <v>5300</v>
      </c>
      <c r="B86" s="8">
        <v>240</v>
      </c>
      <c r="C86" s="8" t="s">
        <v>29</v>
      </c>
      <c r="D86" s="9">
        <v>5</v>
      </c>
      <c r="E86" s="10" t="s">
        <v>534</v>
      </c>
      <c r="F86" s="11"/>
      <c r="G86" s="12">
        <f t="shared" si="8"/>
        <v>7278</v>
      </c>
      <c r="H86" s="12">
        <f t="shared" ref="H86:H151" si="9">ROUND(I86*0.33,0)</f>
        <v>3584</v>
      </c>
      <c r="I86" s="13">
        <v>10862</v>
      </c>
      <c r="J86" s="13">
        <f>ROUNDUP(Work_Comp*$J$77,0)</f>
        <v>10862</v>
      </c>
      <c r="L86" s="15"/>
      <c r="M86" s="15"/>
    </row>
    <row r="87" spans="1:13" s="14" customFormat="1" ht="17" x14ac:dyDescent="0.2">
      <c r="A87" s="8" t="s">
        <v>103</v>
      </c>
      <c r="B87" s="8">
        <v>240</v>
      </c>
      <c r="C87" s="8" t="s">
        <v>49</v>
      </c>
      <c r="D87" s="9">
        <v>14</v>
      </c>
      <c r="E87" s="10" t="s">
        <v>536</v>
      </c>
      <c r="F87" s="52"/>
      <c r="G87" s="12">
        <f t="shared" si="8"/>
        <v>20881</v>
      </c>
      <c r="H87" s="12">
        <f t="shared" si="9"/>
        <v>10285</v>
      </c>
      <c r="I87" s="13">
        <v>31166</v>
      </c>
      <c r="J87" s="13">
        <v>31166</v>
      </c>
      <c r="L87" s="15"/>
      <c r="M87" s="15"/>
    </row>
    <row r="88" spans="1:13" s="14" customFormat="1" ht="34" x14ac:dyDescent="0.2">
      <c r="A88" s="8">
        <v>5300</v>
      </c>
      <c r="B88" s="8">
        <v>369</v>
      </c>
      <c r="C88" s="8" t="s">
        <v>20</v>
      </c>
      <c r="D88" s="9">
        <v>1</v>
      </c>
      <c r="E88" s="10" t="s">
        <v>567</v>
      </c>
      <c r="F88" s="11"/>
      <c r="G88" s="12">
        <f t="shared" si="8"/>
        <v>286961</v>
      </c>
      <c r="H88" s="12">
        <f t="shared" si="9"/>
        <v>141339</v>
      </c>
      <c r="I88" s="13">
        <v>428300</v>
      </c>
      <c r="J88" s="13">
        <v>428300</v>
      </c>
      <c r="M88" s="15"/>
    </row>
    <row r="89" spans="1:13" s="14" customFormat="1" ht="17" x14ac:dyDescent="0.2">
      <c r="A89" s="8" t="s">
        <v>108</v>
      </c>
      <c r="B89" s="8">
        <v>120</v>
      </c>
      <c r="C89" s="8" t="s">
        <v>49</v>
      </c>
      <c r="D89" s="9">
        <v>14</v>
      </c>
      <c r="E89" s="10" t="s">
        <v>109</v>
      </c>
      <c r="F89" s="52"/>
      <c r="G89" s="12">
        <f t="shared" si="8"/>
        <v>9525</v>
      </c>
      <c r="H89" s="12">
        <f t="shared" si="9"/>
        <v>4691</v>
      </c>
      <c r="I89" s="13">
        <f>7108*2</f>
        <v>14216</v>
      </c>
      <c r="J89" s="13">
        <v>14216</v>
      </c>
      <c r="M89" s="15"/>
    </row>
    <row r="90" spans="1:13" s="14" customFormat="1" ht="17" x14ac:dyDescent="0.2">
      <c r="A90" s="8" t="s">
        <v>108</v>
      </c>
      <c r="B90" s="8">
        <v>150</v>
      </c>
      <c r="C90" s="8" t="s">
        <v>49</v>
      </c>
      <c r="D90" s="9">
        <v>14</v>
      </c>
      <c r="E90" s="10" t="s">
        <v>110</v>
      </c>
      <c r="F90" s="52"/>
      <c r="G90" s="12">
        <f t="shared" si="8"/>
        <v>7619</v>
      </c>
      <c r="H90" s="12">
        <f t="shared" si="9"/>
        <v>3753</v>
      </c>
      <c r="I90" s="13">
        <f>5686*2</f>
        <v>11372</v>
      </c>
      <c r="J90" s="13">
        <v>11372</v>
      </c>
      <c r="M90" s="15"/>
    </row>
    <row r="91" spans="1:13" s="14" customFormat="1" ht="17" x14ac:dyDescent="0.2">
      <c r="A91" s="8" t="s">
        <v>108</v>
      </c>
      <c r="B91" s="8">
        <v>220</v>
      </c>
      <c r="C91" s="8" t="s">
        <v>49</v>
      </c>
      <c r="D91" s="9">
        <v>14</v>
      </c>
      <c r="E91" s="10" t="s">
        <v>111</v>
      </c>
      <c r="F91" s="52"/>
      <c r="G91" s="12">
        <f t="shared" si="8"/>
        <v>1682</v>
      </c>
      <c r="H91" s="12">
        <f t="shared" si="9"/>
        <v>829</v>
      </c>
      <c r="I91" s="13">
        <f>9*279</f>
        <v>2511</v>
      </c>
      <c r="J91" s="13">
        <v>2511</v>
      </c>
      <c r="M91" s="15"/>
    </row>
    <row r="92" spans="1:13" s="14" customFormat="1" ht="17" x14ac:dyDescent="0.2">
      <c r="A92" s="8" t="s">
        <v>108</v>
      </c>
      <c r="B92" s="8">
        <v>240</v>
      </c>
      <c r="C92" s="8" t="s">
        <v>49</v>
      </c>
      <c r="D92" s="9">
        <v>14</v>
      </c>
      <c r="E92" s="10" t="s">
        <v>112</v>
      </c>
      <c r="F92" s="52"/>
      <c r="G92" s="12">
        <f t="shared" si="8"/>
        <v>194</v>
      </c>
      <c r="H92" s="12">
        <f t="shared" si="9"/>
        <v>96</v>
      </c>
      <c r="I92" s="13">
        <f>145*2</f>
        <v>290</v>
      </c>
      <c r="J92" s="13">
        <v>290</v>
      </c>
      <c r="M92" s="15"/>
    </row>
    <row r="93" spans="1:13" s="14" customFormat="1" ht="34" x14ac:dyDescent="0.2">
      <c r="A93" s="8">
        <v>5500</v>
      </c>
      <c r="B93" s="8">
        <v>120</v>
      </c>
      <c r="C93" s="8">
        <v>1</v>
      </c>
      <c r="D93" s="9">
        <v>7</v>
      </c>
      <c r="E93" s="10" t="s">
        <v>21</v>
      </c>
      <c r="F93" s="11">
        <v>7</v>
      </c>
      <c r="G93" s="12">
        <f t="shared" si="8"/>
        <v>441287</v>
      </c>
      <c r="H93" s="12">
        <f t="shared" si="9"/>
        <v>217350</v>
      </c>
      <c r="I93" s="13">
        <v>658637</v>
      </c>
      <c r="J93" s="13">
        <f>7*46350+7*47741</f>
        <v>658637</v>
      </c>
      <c r="M93" s="15"/>
    </row>
    <row r="94" spans="1:13" s="14" customFormat="1" ht="17" x14ac:dyDescent="0.2">
      <c r="A94" s="8" t="s">
        <v>113</v>
      </c>
      <c r="B94" s="8">
        <v>130</v>
      </c>
      <c r="C94" s="8" t="s">
        <v>49</v>
      </c>
      <c r="D94" s="9">
        <v>14</v>
      </c>
      <c r="E94" s="10" t="s">
        <v>114</v>
      </c>
      <c r="F94" s="52"/>
      <c r="G94" s="12">
        <f t="shared" si="8"/>
        <v>3810</v>
      </c>
      <c r="H94" s="12">
        <f t="shared" si="9"/>
        <v>1876</v>
      </c>
      <c r="I94" s="13">
        <f>2843*2</f>
        <v>5686</v>
      </c>
      <c r="J94" s="13">
        <v>5686</v>
      </c>
      <c r="M94" s="15"/>
    </row>
    <row r="95" spans="1:13" s="14" customFormat="1" ht="51" x14ac:dyDescent="0.2">
      <c r="A95" s="8">
        <v>5500</v>
      </c>
      <c r="B95" s="8">
        <v>150</v>
      </c>
      <c r="C95" s="8">
        <v>1</v>
      </c>
      <c r="D95" s="9">
        <v>8</v>
      </c>
      <c r="E95" s="10" t="s">
        <v>312</v>
      </c>
      <c r="F95" s="11">
        <v>7</v>
      </c>
      <c r="G95" s="12">
        <f t="shared" si="8"/>
        <v>177757</v>
      </c>
      <c r="H95" s="12">
        <f t="shared" si="9"/>
        <v>87552</v>
      </c>
      <c r="I95" s="13">
        <v>265309</v>
      </c>
      <c r="J95" s="13">
        <f>ROUNDUP(187*6*16.64*7+17.14*187*6*7,0)</f>
        <v>265309</v>
      </c>
      <c r="M95" s="15"/>
    </row>
    <row r="96" spans="1:13" s="14" customFormat="1" ht="17" x14ac:dyDescent="0.2">
      <c r="A96" s="8" t="s">
        <v>113</v>
      </c>
      <c r="B96" s="8">
        <v>150</v>
      </c>
      <c r="C96" s="8" t="s">
        <v>49</v>
      </c>
      <c r="D96" s="9">
        <v>14</v>
      </c>
      <c r="E96" s="10" t="s">
        <v>115</v>
      </c>
      <c r="F96" s="11"/>
      <c r="G96" s="12">
        <f t="shared" si="8"/>
        <v>7619</v>
      </c>
      <c r="H96" s="12">
        <f t="shared" si="9"/>
        <v>3753</v>
      </c>
      <c r="I96" s="13">
        <f>5686*2</f>
        <v>11372</v>
      </c>
      <c r="J96" s="13">
        <v>11372</v>
      </c>
      <c r="M96" s="15"/>
    </row>
    <row r="97" spans="1:13" s="14" customFormat="1" ht="17" x14ac:dyDescent="0.2">
      <c r="A97" s="8" t="s">
        <v>113</v>
      </c>
      <c r="B97" s="8">
        <v>160</v>
      </c>
      <c r="C97" s="8" t="s">
        <v>49</v>
      </c>
      <c r="D97" s="9">
        <v>14</v>
      </c>
      <c r="E97" s="10" t="s">
        <v>116</v>
      </c>
      <c r="F97" s="11"/>
      <c r="G97" s="12">
        <f t="shared" si="8"/>
        <v>9525</v>
      </c>
      <c r="H97" s="12">
        <f t="shared" si="9"/>
        <v>4691</v>
      </c>
      <c r="I97" s="13">
        <f>7108*2</f>
        <v>14216</v>
      </c>
      <c r="J97" s="13">
        <v>14216</v>
      </c>
      <c r="M97" s="15"/>
    </row>
    <row r="98" spans="1:13" s="14" customFormat="1" ht="17" x14ac:dyDescent="0.2">
      <c r="A98" s="8">
        <v>5500</v>
      </c>
      <c r="B98" s="8">
        <v>210</v>
      </c>
      <c r="C98" s="8">
        <v>1</v>
      </c>
      <c r="D98" s="9">
        <v>7</v>
      </c>
      <c r="E98" s="10" t="s">
        <v>313</v>
      </c>
      <c r="F98" s="11"/>
      <c r="G98" s="12">
        <f t="shared" si="8"/>
        <v>50351</v>
      </c>
      <c r="H98" s="12">
        <f t="shared" si="9"/>
        <v>24800</v>
      </c>
      <c r="I98" s="13">
        <v>75151</v>
      </c>
      <c r="J98" s="13">
        <f>ROUNDUP(Retirement*$J$93,0)</f>
        <v>75151</v>
      </c>
      <c r="M98" s="15"/>
    </row>
    <row r="99" spans="1:13" s="14" customFormat="1" ht="17" x14ac:dyDescent="0.2">
      <c r="A99" s="8">
        <v>5500</v>
      </c>
      <c r="B99" s="8">
        <v>210</v>
      </c>
      <c r="C99" s="8">
        <v>1</v>
      </c>
      <c r="D99" s="9">
        <v>8</v>
      </c>
      <c r="E99" s="10" t="s">
        <v>314</v>
      </c>
      <c r="F99" s="11"/>
      <c r="G99" s="12">
        <f t="shared" si="8"/>
        <v>20282</v>
      </c>
      <c r="H99" s="12">
        <f t="shared" si="9"/>
        <v>9990</v>
      </c>
      <c r="I99" s="13">
        <v>30272</v>
      </c>
      <c r="J99" s="13">
        <f>ROUNDUP(Retirement*$J$95,0)</f>
        <v>30272</v>
      </c>
      <c r="M99" s="15"/>
    </row>
    <row r="100" spans="1:13" s="14" customFormat="1" ht="17" x14ac:dyDescent="0.2">
      <c r="A100" s="8">
        <v>5500</v>
      </c>
      <c r="B100" s="8">
        <v>220</v>
      </c>
      <c r="C100" s="8">
        <v>1</v>
      </c>
      <c r="D100" s="9">
        <v>7</v>
      </c>
      <c r="E100" s="10" t="s">
        <v>22</v>
      </c>
      <c r="F100" s="11"/>
      <c r="G100" s="12">
        <f t="shared" si="8"/>
        <v>27360</v>
      </c>
      <c r="H100" s="12">
        <f t="shared" si="9"/>
        <v>13476</v>
      </c>
      <c r="I100" s="13">
        <v>40836</v>
      </c>
      <c r="J100" s="13">
        <f>ROUNDUP(FICA*$J$93,0)</f>
        <v>40836</v>
      </c>
      <c r="M100" s="15"/>
    </row>
    <row r="101" spans="1:13" s="14" customFormat="1" ht="34" x14ac:dyDescent="0.2">
      <c r="A101" s="8">
        <v>5500</v>
      </c>
      <c r="B101" s="8">
        <v>220</v>
      </c>
      <c r="C101" s="8">
        <v>1</v>
      </c>
      <c r="D101" s="9">
        <v>7</v>
      </c>
      <c r="E101" s="10" t="s">
        <v>315</v>
      </c>
      <c r="F101" s="11"/>
      <c r="G101" s="12">
        <f t="shared" si="8"/>
        <v>6399</v>
      </c>
      <c r="H101" s="12">
        <f t="shared" si="9"/>
        <v>3152</v>
      </c>
      <c r="I101" s="13">
        <v>9551</v>
      </c>
      <c r="J101" s="13">
        <f>ROUNDUP(Medicare*$J$93,0)</f>
        <v>9551</v>
      </c>
      <c r="M101" s="15"/>
    </row>
    <row r="102" spans="1:13" s="14" customFormat="1" ht="17" x14ac:dyDescent="0.2">
      <c r="A102" s="8">
        <v>5500</v>
      </c>
      <c r="B102" s="8">
        <v>220</v>
      </c>
      <c r="C102" s="8">
        <v>1</v>
      </c>
      <c r="D102" s="9">
        <v>8</v>
      </c>
      <c r="E102" s="10" t="s">
        <v>23</v>
      </c>
      <c r="F102" s="11"/>
      <c r="G102" s="12">
        <f t="shared" si="8"/>
        <v>11022</v>
      </c>
      <c r="H102" s="12">
        <f t="shared" si="9"/>
        <v>5429</v>
      </c>
      <c r="I102" s="13">
        <v>16450</v>
      </c>
      <c r="J102" s="13">
        <f>ROUNDUP(FICA*$J$95,0)</f>
        <v>16450</v>
      </c>
      <c r="M102" s="15"/>
    </row>
    <row r="103" spans="1:13" s="14" customFormat="1" ht="34" x14ac:dyDescent="0.2">
      <c r="A103" s="8">
        <v>5500</v>
      </c>
      <c r="B103" s="8">
        <v>220</v>
      </c>
      <c r="C103" s="8">
        <v>1</v>
      </c>
      <c r="D103" s="9">
        <v>8</v>
      </c>
      <c r="E103" s="10" t="s">
        <v>316</v>
      </c>
      <c r="F103" s="11"/>
      <c r="G103" s="12">
        <f t="shared" si="8"/>
        <v>2577</v>
      </c>
      <c r="H103" s="12">
        <f t="shared" si="9"/>
        <v>1270</v>
      </c>
      <c r="I103" s="13">
        <v>3847</v>
      </c>
      <c r="J103" s="13">
        <f>ROUNDUP(Medicare*$J$95,0)</f>
        <v>3847</v>
      </c>
      <c r="M103" s="15"/>
    </row>
    <row r="104" spans="1:13" s="14" customFormat="1" ht="17" x14ac:dyDescent="0.2">
      <c r="A104" s="9" t="s">
        <v>113</v>
      </c>
      <c r="B104" s="8">
        <v>220</v>
      </c>
      <c r="C104" s="9" t="s">
        <v>49</v>
      </c>
      <c r="D104" s="9">
        <v>14</v>
      </c>
      <c r="E104" s="10" t="s">
        <v>117</v>
      </c>
      <c r="F104" s="52"/>
      <c r="G104" s="12">
        <f t="shared" si="8"/>
        <v>1604</v>
      </c>
      <c r="H104" s="12">
        <f t="shared" si="9"/>
        <v>790</v>
      </c>
      <c r="I104" s="13">
        <f>1197*2</f>
        <v>2394</v>
      </c>
      <c r="J104" s="13">
        <v>2394</v>
      </c>
      <c r="M104" s="15"/>
    </row>
    <row r="105" spans="1:13" s="14" customFormat="1" ht="34" x14ac:dyDescent="0.2">
      <c r="A105" s="9">
        <v>5500</v>
      </c>
      <c r="B105" s="8">
        <v>231</v>
      </c>
      <c r="C105" s="9">
        <v>1</v>
      </c>
      <c r="D105" s="9">
        <v>7</v>
      </c>
      <c r="E105" s="10" t="s">
        <v>317</v>
      </c>
      <c r="F105" s="11"/>
      <c r="G105" s="12">
        <f t="shared" si="8"/>
        <v>75417</v>
      </c>
      <c r="H105" s="12">
        <f t="shared" si="9"/>
        <v>37145</v>
      </c>
      <c r="I105" s="13">
        <v>112562</v>
      </c>
      <c r="J105" s="13">
        <f>ROUNDUP(Health*$J$93,0)</f>
        <v>112562</v>
      </c>
      <c r="M105" s="15"/>
    </row>
    <row r="106" spans="1:13" s="14" customFormat="1" ht="34" x14ac:dyDescent="0.2">
      <c r="A106" s="9">
        <v>5500</v>
      </c>
      <c r="B106" s="8">
        <v>231</v>
      </c>
      <c r="C106" s="9">
        <v>1</v>
      </c>
      <c r="D106" s="9">
        <v>8</v>
      </c>
      <c r="E106" s="10" t="s">
        <v>318</v>
      </c>
      <c r="F106" s="11"/>
      <c r="G106" s="12">
        <f t="shared" si="8"/>
        <v>30379</v>
      </c>
      <c r="H106" s="12">
        <f t="shared" si="9"/>
        <v>14963</v>
      </c>
      <c r="I106" s="13">
        <v>45342</v>
      </c>
      <c r="J106" s="13">
        <f>ROUNDUP(Health*$J$95,0)</f>
        <v>45342</v>
      </c>
      <c r="M106" s="15"/>
    </row>
    <row r="107" spans="1:13" s="14" customFormat="1" ht="17" x14ac:dyDescent="0.2">
      <c r="A107" s="9">
        <v>5500</v>
      </c>
      <c r="B107" s="8">
        <v>232</v>
      </c>
      <c r="C107" s="9">
        <v>1</v>
      </c>
      <c r="D107" s="9">
        <v>7</v>
      </c>
      <c r="E107" s="10" t="s">
        <v>319</v>
      </c>
      <c r="F107" s="11"/>
      <c r="G107" s="12">
        <f t="shared" si="8"/>
        <v>972</v>
      </c>
      <c r="H107" s="12">
        <f t="shared" si="9"/>
        <v>479</v>
      </c>
      <c r="I107" s="13">
        <v>1450</v>
      </c>
      <c r="J107" s="13">
        <f>ROUNDUP(Life*$J$93,0)</f>
        <v>1450</v>
      </c>
      <c r="M107" s="15"/>
    </row>
    <row r="108" spans="1:13" s="14" customFormat="1" ht="34" x14ac:dyDescent="0.2">
      <c r="A108" s="9">
        <v>5500</v>
      </c>
      <c r="B108" s="8">
        <v>232</v>
      </c>
      <c r="C108" s="9">
        <v>1</v>
      </c>
      <c r="D108" s="9">
        <v>8</v>
      </c>
      <c r="E108" s="10" t="s">
        <v>320</v>
      </c>
      <c r="F108" s="11"/>
      <c r="G108" s="12">
        <f t="shared" si="8"/>
        <v>391</v>
      </c>
      <c r="H108" s="12">
        <f t="shared" si="9"/>
        <v>193</v>
      </c>
      <c r="I108" s="13">
        <v>584</v>
      </c>
      <c r="J108" s="13">
        <f>ROUNDUP(Life*$J$95,0)</f>
        <v>584</v>
      </c>
      <c r="M108" s="15"/>
    </row>
    <row r="109" spans="1:13" s="14" customFormat="1" ht="34" x14ac:dyDescent="0.2">
      <c r="A109" s="9">
        <v>5500</v>
      </c>
      <c r="B109" s="8">
        <v>240</v>
      </c>
      <c r="C109" s="9">
        <v>1</v>
      </c>
      <c r="D109" s="9">
        <v>7</v>
      </c>
      <c r="E109" s="10" t="s">
        <v>321</v>
      </c>
      <c r="F109" s="11"/>
      <c r="G109" s="12">
        <f t="shared" si="8"/>
        <v>4987</v>
      </c>
      <c r="H109" s="12">
        <f t="shared" si="9"/>
        <v>2456</v>
      </c>
      <c r="I109" s="13">
        <v>7443</v>
      </c>
      <c r="J109" s="13">
        <f>ROUNDUP(Work_Comp*$J$93,0)</f>
        <v>7443</v>
      </c>
      <c r="M109" s="15"/>
    </row>
    <row r="110" spans="1:13" s="14" customFormat="1" ht="34" x14ac:dyDescent="0.2">
      <c r="A110" s="9">
        <v>5500</v>
      </c>
      <c r="B110" s="8">
        <v>240</v>
      </c>
      <c r="C110" s="9">
        <v>1</v>
      </c>
      <c r="D110" s="9">
        <v>8</v>
      </c>
      <c r="E110" s="10" t="s">
        <v>322</v>
      </c>
      <c r="F110" s="11"/>
      <c r="G110" s="12">
        <f t="shared" si="8"/>
        <v>2009</v>
      </c>
      <c r="H110" s="12">
        <f t="shared" si="9"/>
        <v>989</v>
      </c>
      <c r="I110" s="13">
        <v>2998</v>
      </c>
      <c r="J110" s="13">
        <f>ROUNDUP(Work_Comp*$J$95,0)</f>
        <v>2998</v>
      </c>
      <c r="M110" s="15"/>
    </row>
    <row r="111" spans="1:13" s="14" customFormat="1" ht="17" x14ac:dyDescent="0.2">
      <c r="A111" s="9" t="s">
        <v>113</v>
      </c>
      <c r="B111" s="8">
        <v>240</v>
      </c>
      <c r="C111" s="9" t="s">
        <v>49</v>
      </c>
      <c r="D111" s="9">
        <v>14</v>
      </c>
      <c r="E111" s="10" t="s">
        <v>118</v>
      </c>
      <c r="F111" s="52"/>
      <c r="G111" s="12">
        <f t="shared" si="8"/>
        <v>237</v>
      </c>
      <c r="H111" s="12">
        <f t="shared" si="9"/>
        <v>117</v>
      </c>
      <c r="I111" s="13">
        <f>177*2</f>
        <v>354</v>
      </c>
      <c r="J111" s="13">
        <v>354</v>
      </c>
      <c r="M111" s="15"/>
    </row>
    <row r="112" spans="1:13" s="14" customFormat="1" ht="17" x14ac:dyDescent="0.2">
      <c r="A112" s="9">
        <v>5500</v>
      </c>
      <c r="B112" s="8">
        <v>590</v>
      </c>
      <c r="C112" s="9">
        <v>1</v>
      </c>
      <c r="D112" s="9">
        <v>9</v>
      </c>
      <c r="E112" s="10" t="s">
        <v>323</v>
      </c>
      <c r="F112" s="11"/>
      <c r="G112" s="12">
        <f t="shared" si="8"/>
        <v>116078</v>
      </c>
      <c r="H112" s="12">
        <f t="shared" si="9"/>
        <v>57173</v>
      </c>
      <c r="I112" s="13">
        <v>173250</v>
      </c>
      <c r="J112" s="13">
        <f>45*3850</f>
        <v>173250</v>
      </c>
      <c r="M112" s="15"/>
    </row>
    <row r="113" spans="1:13" s="14" customFormat="1" ht="51" x14ac:dyDescent="0.2">
      <c r="A113" s="8">
        <v>5900</v>
      </c>
      <c r="B113" s="8">
        <v>120</v>
      </c>
      <c r="C113" s="8" t="s">
        <v>16</v>
      </c>
      <c r="D113" s="9">
        <v>4</v>
      </c>
      <c r="E113" s="10" t="s">
        <v>324</v>
      </c>
      <c r="F113" s="11"/>
      <c r="G113" s="12">
        <f t="shared" si="8"/>
        <v>2260683</v>
      </c>
      <c r="H113" s="12">
        <f t="shared" si="9"/>
        <v>1113470</v>
      </c>
      <c r="I113" s="13">
        <v>3374153</v>
      </c>
      <c r="J113" s="13">
        <f>ROUNDUP(250*6*30.51*27+31.43*6*315*36,0)</f>
        <v>3374153</v>
      </c>
      <c r="M113" s="15"/>
    </row>
    <row r="114" spans="1:13" s="14" customFormat="1" ht="17" x14ac:dyDescent="0.2">
      <c r="A114" s="8" t="s">
        <v>119</v>
      </c>
      <c r="B114" s="8">
        <v>120</v>
      </c>
      <c r="C114" s="8" t="s">
        <v>49</v>
      </c>
      <c r="D114" s="9">
        <v>14</v>
      </c>
      <c r="E114" s="10" t="s">
        <v>120</v>
      </c>
      <c r="F114" s="52"/>
      <c r="G114" s="12">
        <f t="shared" si="8"/>
        <v>5715</v>
      </c>
      <c r="H114" s="12">
        <f t="shared" si="9"/>
        <v>2815</v>
      </c>
      <c r="I114" s="13">
        <f>4265*2</f>
        <v>8530</v>
      </c>
      <c r="J114" s="13">
        <v>8530</v>
      </c>
      <c r="M114" s="15"/>
    </row>
    <row r="115" spans="1:13" s="14" customFormat="1" ht="51" x14ac:dyDescent="0.2">
      <c r="A115" s="8">
        <v>5900</v>
      </c>
      <c r="B115" s="8">
        <v>150</v>
      </c>
      <c r="C115" s="8" t="s">
        <v>16</v>
      </c>
      <c r="D115" s="9">
        <v>4</v>
      </c>
      <c r="E115" s="10" t="s">
        <v>325</v>
      </c>
      <c r="F115" s="11"/>
      <c r="G115" s="12">
        <f t="shared" si="8"/>
        <v>409015</v>
      </c>
      <c r="H115" s="12">
        <f t="shared" si="9"/>
        <v>201455</v>
      </c>
      <c r="I115" s="13">
        <v>610470</v>
      </c>
      <c r="J115" s="13">
        <f>100*16.15*6*27+100*16.15*6*36</f>
        <v>610469.99999999988</v>
      </c>
      <c r="M115" s="15"/>
    </row>
    <row r="116" spans="1:13" s="14" customFormat="1" ht="17" x14ac:dyDescent="0.2">
      <c r="A116" s="8" t="s">
        <v>119</v>
      </c>
      <c r="B116" s="8">
        <v>150</v>
      </c>
      <c r="C116" s="8" t="s">
        <v>49</v>
      </c>
      <c r="D116" s="9">
        <v>14</v>
      </c>
      <c r="E116" s="10" t="s">
        <v>121</v>
      </c>
      <c r="F116" s="52"/>
      <c r="G116" s="12">
        <f t="shared" si="8"/>
        <v>1905</v>
      </c>
      <c r="H116" s="12">
        <f t="shared" si="9"/>
        <v>939</v>
      </c>
      <c r="I116" s="13">
        <f>1422*2</f>
        <v>2844</v>
      </c>
      <c r="J116" s="13">
        <v>2844</v>
      </c>
      <c r="M116" s="15"/>
    </row>
    <row r="117" spans="1:13" s="14" customFormat="1" ht="17" x14ac:dyDescent="0.2">
      <c r="A117" s="8" t="s">
        <v>119</v>
      </c>
      <c r="B117" s="8">
        <v>160</v>
      </c>
      <c r="C117" s="8" t="s">
        <v>49</v>
      </c>
      <c r="D117" s="9">
        <v>14</v>
      </c>
      <c r="E117" s="10" t="s">
        <v>122</v>
      </c>
      <c r="F117" s="52"/>
      <c r="G117" s="12">
        <f t="shared" si="8"/>
        <v>13334</v>
      </c>
      <c r="H117" s="12">
        <f t="shared" si="9"/>
        <v>6568</v>
      </c>
      <c r="I117" s="13">
        <f>9951*2</f>
        <v>19902</v>
      </c>
      <c r="J117" s="13">
        <v>19902</v>
      </c>
      <c r="M117" s="15"/>
    </row>
    <row r="118" spans="1:13" s="14" customFormat="1" ht="17" x14ac:dyDescent="0.2">
      <c r="A118" s="8">
        <v>5900</v>
      </c>
      <c r="B118" s="8">
        <v>210</v>
      </c>
      <c r="C118" s="8" t="s">
        <v>16</v>
      </c>
      <c r="D118" s="9">
        <v>4</v>
      </c>
      <c r="E118" s="10" t="s">
        <v>326</v>
      </c>
      <c r="F118" s="11"/>
      <c r="G118" s="12">
        <f t="shared" si="8"/>
        <v>304613</v>
      </c>
      <c r="H118" s="12">
        <f t="shared" si="9"/>
        <v>150033</v>
      </c>
      <c r="I118" s="13">
        <v>454646</v>
      </c>
      <c r="J118" s="13">
        <f>ROUNDUP(Retirement*($J$113+$J$115),0)</f>
        <v>454646</v>
      </c>
      <c r="M118" s="15"/>
    </row>
    <row r="119" spans="1:13" s="14" customFormat="1" ht="17" x14ac:dyDescent="0.2">
      <c r="A119" s="8">
        <v>5900</v>
      </c>
      <c r="B119" s="8">
        <v>220</v>
      </c>
      <c r="C119" s="8" t="s">
        <v>16</v>
      </c>
      <c r="D119" s="9">
        <v>4</v>
      </c>
      <c r="E119" s="33" t="s">
        <v>327</v>
      </c>
      <c r="F119" s="11"/>
      <c r="G119" s="12">
        <f t="shared" si="8"/>
        <v>165521</v>
      </c>
      <c r="H119" s="12">
        <f t="shared" si="9"/>
        <v>81526</v>
      </c>
      <c r="I119" s="13">
        <v>247047</v>
      </c>
      <c r="J119" s="13">
        <f>ROUNDUP(FICA*($J$113+$J$115),0)</f>
        <v>247047</v>
      </c>
      <c r="M119" s="15"/>
    </row>
    <row r="120" spans="1:13" s="14" customFormat="1" ht="17" x14ac:dyDescent="0.2">
      <c r="A120" s="9">
        <v>5900</v>
      </c>
      <c r="B120" s="8">
        <v>220</v>
      </c>
      <c r="C120" s="8" t="s">
        <v>16</v>
      </c>
      <c r="D120" s="9">
        <v>4</v>
      </c>
      <c r="E120" s="10" t="s">
        <v>328</v>
      </c>
      <c r="F120" s="11"/>
      <c r="G120" s="12">
        <f t="shared" si="8"/>
        <v>38711</v>
      </c>
      <c r="H120" s="12">
        <f t="shared" si="9"/>
        <v>19067</v>
      </c>
      <c r="I120" s="49">
        <v>57778</v>
      </c>
      <c r="J120" s="13">
        <f>ROUNDUP(Medicare*($J$115+$J$113),0)</f>
        <v>57778</v>
      </c>
      <c r="M120" s="15"/>
    </row>
    <row r="121" spans="1:13" s="14" customFormat="1" ht="17" x14ac:dyDescent="0.2">
      <c r="A121" s="9" t="s">
        <v>119</v>
      </c>
      <c r="B121" s="8">
        <v>220</v>
      </c>
      <c r="C121" s="8" t="s">
        <v>49</v>
      </c>
      <c r="D121" s="9">
        <v>14</v>
      </c>
      <c r="E121" s="10" t="s">
        <v>123</v>
      </c>
      <c r="F121" s="11"/>
      <c r="G121" s="12">
        <f t="shared" si="8"/>
        <v>1604</v>
      </c>
      <c r="H121" s="12">
        <f t="shared" si="9"/>
        <v>790</v>
      </c>
      <c r="I121" s="49">
        <f>1197*2</f>
        <v>2394</v>
      </c>
      <c r="J121" s="13">
        <v>2394</v>
      </c>
      <c r="M121" s="15"/>
    </row>
    <row r="122" spans="1:13" s="14" customFormat="1" ht="34" x14ac:dyDescent="0.2">
      <c r="A122" s="8">
        <v>5900</v>
      </c>
      <c r="B122" s="8">
        <v>240</v>
      </c>
      <c r="C122" s="8" t="s">
        <v>16</v>
      </c>
      <c r="D122" s="9">
        <v>4</v>
      </c>
      <c r="E122" s="10" t="s">
        <v>490</v>
      </c>
      <c r="F122" s="11"/>
      <c r="G122" s="12">
        <f t="shared" si="8"/>
        <v>30168</v>
      </c>
      <c r="H122" s="12">
        <f t="shared" si="9"/>
        <v>14859</v>
      </c>
      <c r="I122" s="13">
        <v>45027</v>
      </c>
      <c r="J122" s="13">
        <f>ROUNDUP(Work_Comp*($J$113+$J$115),0)</f>
        <v>45027</v>
      </c>
      <c r="M122" s="15"/>
    </row>
    <row r="123" spans="1:13" s="14" customFormat="1" ht="17" x14ac:dyDescent="0.2">
      <c r="A123" s="8" t="s">
        <v>119</v>
      </c>
      <c r="B123" s="8">
        <v>240</v>
      </c>
      <c r="C123" s="8" t="s">
        <v>49</v>
      </c>
      <c r="D123" s="9">
        <v>14</v>
      </c>
      <c r="E123" s="10" t="s">
        <v>124</v>
      </c>
      <c r="F123" s="11"/>
      <c r="G123" s="12">
        <f t="shared" si="8"/>
        <v>237</v>
      </c>
      <c r="H123" s="12">
        <f t="shared" si="9"/>
        <v>117</v>
      </c>
      <c r="I123" s="13">
        <f>177*2</f>
        <v>354</v>
      </c>
      <c r="J123" s="13">
        <v>354</v>
      </c>
      <c r="M123" s="15"/>
    </row>
    <row r="124" spans="1:13" s="14" customFormat="1" ht="68" x14ac:dyDescent="0.2">
      <c r="A124" s="8">
        <v>5900</v>
      </c>
      <c r="B124" s="8">
        <v>310</v>
      </c>
      <c r="C124" s="8" t="s">
        <v>16</v>
      </c>
      <c r="D124" s="9">
        <v>4</v>
      </c>
      <c r="E124" s="33" t="s">
        <v>505</v>
      </c>
      <c r="F124" s="11"/>
      <c r="G124" s="12">
        <f t="shared" si="8"/>
        <v>26800</v>
      </c>
      <c r="H124" s="12">
        <f t="shared" si="9"/>
        <v>13200</v>
      </c>
      <c r="I124" s="115">
        <v>40000</v>
      </c>
      <c r="J124" s="13">
        <f>5*4000*2</f>
        <v>40000</v>
      </c>
      <c r="M124" s="15"/>
    </row>
    <row r="125" spans="1:13" s="14" customFormat="1" ht="34" x14ac:dyDescent="0.2">
      <c r="A125" s="8">
        <v>5900</v>
      </c>
      <c r="B125" s="8">
        <v>369</v>
      </c>
      <c r="C125" s="8" t="s">
        <v>16</v>
      </c>
      <c r="D125" s="9">
        <v>6</v>
      </c>
      <c r="E125" s="33" t="s">
        <v>506</v>
      </c>
      <c r="F125" s="11"/>
      <c r="G125" s="12">
        <f t="shared" si="8"/>
        <v>84915</v>
      </c>
      <c r="H125" s="12">
        <f t="shared" si="9"/>
        <v>41824</v>
      </c>
      <c r="I125" s="13">
        <v>126739</v>
      </c>
      <c r="J125" s="13">
        <v>126739</v>
      </c>
      <c r="M125" s="15"/>
    </row>
    <row r="126" spans="1:13" s="14" customFormat="1" ht="51" x14ac:dyDescent="0.2">
      <c r="A126" s="8">
        <v>5900</v>
      </c>
      <c r="B126" s="8">
        <v>394</v>
      </c>
      <c r="C126" s="8">
        <v>1</v>
      </c>
      <c r="D126" s="9" t="s">
        <v>24</v>
      </c>
      <c r="E126" s="10" t="s">
        <v>592</v>
      </c>
      <c r="F126" s="11"/>
      <c r="G126" s="12">
        <f t="shared" si="8"/>
        <v>22576</v>
      </c>
      <c r="H126" s="12">
        <f t="shared" si="9"/>
        <v>11120</v>
      </c>
      <c r="I126" s="13">
        <v>33696</v>
      </c>
      <c r="J126" s="14">
        <f>(2*26*36*3*5)+5616</f>
        <v>33696</v>
      </c>
      <c r="M126" s="15"/>
    </row>
    <row r="127" spans="1:13" s="14" customFormat="1" ht="119" x14ac:dyDescent="0.2">
      <c r="A127" s="8">
        <v>5900</v>
      </c>
      <c r="B127" s="8">
        <v>394</v>
      </c>
      <c r="C127" s="8">
        <v>1</v>
      </c>
      <c r="D127" s="9" t="s">
        <v>28</v>
      </c>
      <c r="E127" s="17" t="s">
        <v>335</v>
      </c>
      <c r="F127" s="11"/>
      <c r="G127" s="12">
        <f t="shared" si="8"/>
        <v>65106</v>
      </c>
      <c r="H127" s="12">
        <f t="shared" si="9"/>
        <v>32067</v>
      </c>
      <c r="I127" s="13">
        <v>97173</v>
      </c>
      <c r="J127" s="13">
        <f>ROUNDUP((5*6*30.51*36+31.43*6*5*36+2*16.15*6*36+2*16.15*6*36)*(1+0.1141+0.062+0.0113+0.0145),0)</f>
        <v>97173</v>
      </c>
      <c r="M127" s="15"/>
    </row>
    <row r="128" spans="1:13" s="14" customFormat="1" ht="51" x14ac:dyDescent="0.2">
      <c r="A128" s="8">
        <v>5900</v>
      </c>
      <c r="B128" s="8">
        <v>394</v>
      </c>
      <c r="C128" s="8" t="s">
        <v>9</v>
      </c>
      <c r="D128" s="9" t="s">
        <v>604</v>
      </c>
      <c r="E128" s="10" t="s">
        <v>605</v>
      </c>
      <c r="F128" s="11"/>
      <c r="G128" s="12">
        <v>7181</v>
      </c>
      <c r="H128" s="12">
        <f t="shared" si="9"/>
        <v>12518</v>
      </c>
      <c r="I128" s="13">
        <v>37934</v>
      </c>
      <c r="J128" s="13">
        <f>G128+H128</f>
        <v>19699</v>
      </c>
      <c r="M128" s="15"/>
    </row>
    <row r="129" spans="1:13" s="14" customFormat="1" ht="17" x14ac:dyDescent="0.2">
      <c r="A129" s="8">
        <v>5900</v>
      </c>
      <c r="B129" s="8">
        <v>394</v>
      </c>
      <c r="C129" s="8">
        <v>1</v>
      </c>
      <c r="D129" s="9" t="s">
        <v>600</v>
      </c>
      <c r="E129" s="17" t="s">
        <v>603</v>
      </c>
      <c r="F129" s="11"/>
      <c r="G129" s="12">
        <v>18235</v>
      </c>
      <c r="H129" s="128"/>
      <c r="I129" s="13"/>
      <c r="J129" s="129">
        <v>18235</v>
      </c>
      <c r="M129" s="15"/>
    </row>
    <row r="130" spans="1:13" s="14" customFormat="1" ht="51" x14ac:dyDescent="0.2">
      <c r="A130" s="8">
        <v>5900</v>
      </c>
      <c r="B130" s="8">
        <v>394</v>
      </c>
      <c r="C130" s="8" t="s">
        <v>16</v>
      </c>
      <c r="D130" s="29" t="s">
        <v>599</v>
      </c>
      <c r="E130" s="17" t="s">
        <v>601</v>
      </c>
      <c r="F130" s="11"/>
      <c r="G130" s="12">
        <v>21479</v>
      </c>
      <c r="H130" s="13"/>
      <c r="I130" s="13">
        <v>78781</v>
      </c>
      <c r="J130" s="14">
        <v>21479</v>
      </c>
      <c r="M130" s="15"/>
    </row>
    <row r="131" spans="1:13" s="14" customFormat="1" ht="51" x14ac:dyDescent="0.2">
      <c r="A131" s="8">
        <v>5900</v>
      </c>
      <c r="B131" s="8">
        <v>394</v>
      </c>
      <c r="C131" s="8">
        <v>1</v>
      </c>
      <c r="D131" s="29" t="s">
        <v>48</v>
      </c>
      <c r="E131" s="10" t="s">
        <v>602</v>
      </c>
      <c r="F131" s="11"/>
      <c r="G131" s="12">
        <v>57302</v>
      </c>
      <c r="H131" s="12"/>
      <c r="I131" s="13"/>
      <c r="J131" s="14">
        <f>ROUNDUP(57301.64,0)</f>
        <v>57302</v>
      </c>
      <c r="M131" s="15"/>
    </row>
    <row r="132" spans="1:13" ht="102" x14ac:dyDescent="0.2">
      <c r="A132" s="8">
        <v>5900</v>
      </c>
      <c r="B132" s="8">
        <v>394</v>
      </c>
      <c r="C132" s="8" t="s">
        <v>16</v>
      </c>
      <c r="D132" s="9" t="s">
        <v>25</v>
      </c>
      <c r="E132" s="10" t="s">
        <v>333</v>
      </c>
      <c r="F132" s="11"/>
      <c r="G132" s="12">
        <f t="shared" si="8"/>
        <v>20840</v>
      </c>
      <c r="H132" s="12">
        <f t="shared" si="9"/>
        <v>10264</v>
      </c>
      <c r="I132" s="13">
        <v>31104</v>
      </c>
      <c r="J132" s="13">
        <f>(6*15*4*24+1728)*3</f>
        <v>31104</v>
      </c>
    </row>
    <row r="133" spans="1:13" ht="34" x14ac:dyDescent="0.2">
      <c r="A133" s="8">
        <v>5900</v>
      </c>
      <c r="B133" s="8">
        <v>510</v>
      </c>
      <c r="C133" s="8" t="s">
        <v>16</v>
      </c>
      <c r="D133" s="9">
        <v>6</v>
      </c>
      <c r="E133" s="10" t="s">
        <v>507</v>
      </c>
      <c r="F133" s="11"/>
      <c r="G133" s="12">
        <f t="shared" si="8"/>
        <v>146010</v>
      </c>
      <c r="H133" s="12">
        <f t="shared" si="9"/>
        <v>71916</v>
      </c>
      <c r="I133" s="13">
        <v>217926</v>
      </c>
      <c r="J133" s="13">
        <v>217926</v>
      </c>
    </row>
    <row r="134" spans="1:13" ht="34" x14ac:dyDescent="0.2">
      <c r="A134" s="8">
        <v>5900</v>
      </c>
      <c r="B134" s="8">
        <v>590</v>
      </c>
      <c r="C134" s="8" t="s">
        <v>16</v>
      </c>
      <c r="D134" s="9">
        <v>6</v>
      </c>
      <c r="E134" s="10" t="s">
        <v>337</v>
      </c>
      <c r="F134" s="11"/>
      <c r="G134" s="12">
        <f t="shared" si="8"/>
        <v>267774</v>
      </c>
      <c r="H134" s="12">
        <f t="shared" si="9"/>
        <v>131888</v>
      </c>
      <c r="I134" s="13">
        <v>399662</v>
      </c>
      <c r="J134" s="13">
        <v>399662</v>
      </c>
    </row>
    <row r="135" spans="1:13" ht="17" x14ac:dyDescent="0.2">
      <c r="A135" s="8" t="s">
        <v>125</v>
      </c>
      <c r="B135" s="8">
        <v>110</v>
      </c>
      <c r="C135" s="8" t="s">
        <v>49</v>
      </c>
      <c r="D135" s="9">
        <v>14</v>
      </c>
      <c r="E135" s="10" t="s">
        <v>126</v>
      </c>
      <c r="F135" s="52"/>
      <c r="G135" s="12">
        <f t="shared" si="8"/>
        <v>17144</v>
      </c>
      <c r="H135" s="12">
        <f t="shared" si="9"/>
        <v>8444</v>
      </c>
      <c r="I135" s="13">
        <f>12794*2</f>
        <v>25588</v>
      </c>
      <c r="J135" s="13">
        <v>25588</v>
      </c>
    </row>
    <row r="136" spans="1:13" ht="17" x14ac:dyDescent="0.2">
      <c r="A136" s="8" t="s">
        <v>125</v>
      </c>
      <c r="B136" s="8">
        <v>130</v>
      </c>
      <c r="C136" s="8" t="s">
        <v>49</v>
      </c>
      <c r="D136" s="9">
        <v>14</v>
      </c>
      <c r="E136" s="10" t="s">
        <v>127</v>
      </c>
      <c r="F136" s="52"/>
      <c r="G136" s="12">
        <f t="shared" si="8"/>
        <v>326212</v>
      </c>
      <c r="H136" s="12">
        <f t="shared" si="9"/>
        <v>160672</v>
      </c>
      <c r="I136" s="13">
        <f>243442*2</f>
        <v>486884</v>
      </c>
      <c r="J136" s="13">
        <v>486884</v>
      </c>
    </row>
    <row r="137" spans="1:13" ht="17" x14ac:dyDescent="0.2">
      <c r="A137" s="8" t="s">
        <v>125</v>
      </c>
      <c r="B137" s="8">
        <v>150</v>
      </c>
      <c r="C137" s="8" t="s">
        <v>49</v>
      </c>
      <c r="D137" s="9">
        <v>14</v>
      </c>
      <c r="E137" s="10" t="s">
        <v>128</v>
      </c>
      <c r="F137" s="52"/>
      <c r="G137" s="12">
        <f t="shared" si="8"/>
        <v>24762</v>
      </c>
      <c r="H137" s="12">
        <f t="shared" si="9"/>
        <v>12196</v>
      </c>
      <c r="I137" s="13">
        <f>18479*2</f>
        <v>36958</v>
      </c>
      <c r="J137" s="13">
        <v>36958</v>
      </c>
    </row>
    <row r="138" spans="1:13" ht="17" x14ac:dyDescent="0.2">
      <c r="A138" s="8" t="s">
        <v>125</v>
      </c>
      <c r="B138" s="8">
        <v>160</v>
      </c>
      <c r="C138" s="8" t="s">
        <v>49</v>
      </c>
      <c r="D138" s="9">
        <v>14</v>
      </c>
      <c r="E138" s="10" t="s">
        <v>129</v>
      </c>
      <c r="F138" s="52"/>
      <c r="G138" s="12">
        <f t="shared" si="8"/>
        <v>284762</v>
      </c>
      <c r="H138" s="12">
        <f t="shared" si="9"/>
        <v>140256</v>
      </c>
      <c r="I138" s="13">
        <f>212509*2</f>
        <v>425018</v>
      </c>
      <c r="J138" s="13">
        <v>425018</v>
      </c>
    </row>
    <row r="139" spans="1:13" ht="34" x14ac:dyDescent="0.2">
      <c r="A139" s="8" t="s">
        <v>125</v>
      </c>
      <c r="B139" s="8">
        <v>220</v>
      </c>
      <c r="C139" s="8" t="s">
        <v>49</v>
      </c>
      <c r="D139" s="9">
        <v>14</v>
      </c>
      <c r="E139" s="10" t="s">
        <v>130</v>
      </c>
      <c r="F139" s="11"/>
      <c r="G139" s="12">
        <f t="shared" si="8"/>
        <v>49944</v>
      </c>
      <c r="H139" s="12">
        <f t="shared" si="9"/>
        <v>24600</v>
      </c>
      <c r="I139" s="13">
        <f>37272*2</f>
        <v>74544</v>
      </c>
      <c r="J139" s="13">
        <v>74544</v>
      </c>
    </row>
    <row r="140" spans="1:13" ht="17" x14ac:dyDescent="0.2">
      <c r="A140" s="8" t="s">
        <v>125</v>
      </c>
      <c r="B140" s="8">
        <v>240</v>
      </c>
      <c r="C140" s="8" t="s">
        <v>49</v>
      </c>
      <c r="D140" s="9">
        <v>14</v>
      </c>
      <c r="E140" s="10" t="s">
        <v>131</v>
      </c>
      <c r="F140" s="11"/>
      <c r="G140" s="12">
        <f t="shared" si="8"/>
        <v>7377</v>
      </c>
      <c r="H140" s="12">
        <f t="shared" si="9"/>
        <v>3633</v>
      </c>
      <c r="I140" s="13">
        <f>5505*2</f>
        <v>11010</v>
      </c>
      <c r="J140" s="13">
        <v>11010</v>
      </c>
    </row>
    <row r="141" spans="1:13" ht="34" x14ac:dyDescent="0.2">
      <c r="A141" s="8">
        <v>6100</v>
      </c>
      <c r="B141" s="8">
        <v>394</v>
      </c>
      <c r="C141" s="8" t="s">
        <v>29</v>
      </c>
      <c r="D141" s="9" t="s">
        <v>30</v>
      </c>
      <c r="E141" s="10" t="s">
        <v>338</v>
      </c>
      <c r="F141" s="11"/>
      <c r="G141" s="12">
        <f t="shared" si="8"/>
        <v>95907</v>
      </c>
      <c r="H141" s="12">
        <f t="shared" si="9"/>
        <v>47238</v>
      </c>
      <c r="I141" s="13">
        <v>143145</v>
      </c>
      <c r="J141" s="13">
        <f>51500+53045+38600</f>
        <v>143145</v>
      </c>
    </row>
    <row r="142" spans="1:13" ht="17" x14ac:dyDescent="0.2">
      <c r="A142" s="8" t="s">
        <v>132</v>
      </c>
      <c r="B142" s="8">
        <v>130</v>
      </c>
      <c r="C142" s="8" t="s">
        <v>49</v>
      </c>
      <c r="D142" s="9">
        <v>14</v>
      </c>
      <c r="E142" s="10" t="s">
        <v>133</v>
      </c>
      <c r="F142" s="52"/>
      <c r="G142" s="12">
        <f t="shared" si="8"/>
        <v>38096</v>
      </c>
      <c r="H142" s="12">
        <f t="shared" si="9"/>
        <v>18764</v>
      </c>
      <c r="I142" s="13">
        <f>28430*2</f>
        <v>56860</v>
      </c>
      <c r="J142" s="13">
        <v>56860</v>
      </c>
    </row>
    <row r="143" spans="1:13" ht="17" x14ac:dyDescent="0.2">
      <c r="A143" s="8" t="s">
        <v>132</v>
      </c>
      <c r="B143" s="8">
        <v>150</v>
      </c>
      <c r="C143" s="8" t="s">
        <v>49</v>
      </c>
      <c r="D143" s="9">
        <v>14</v>
      </c>
      <c r="E143" s="10" t="s">
        <v>134</v>
      </c>
      <c r="F143" s="52"/>
      <c r="G143" s="12">
        <f t="shared" si="8"/>
        <v>32381</v>
      </c>
      <c r="H143" s="12">
        <f t="shared" si="9"/>
        <v>15949</v>
      </c>
      <c r="I143" s="13">
        <f>24165*2</f>
        <v>48330</v>
      </c>
      <c r="J143" s="13">
        <v>48330</v>
      </c>
    </row>
    <row r="144" spans="1:13" ht="17" x14ac:dyDescent="0.2">
      <c r="A144" s="8" t="s">
        <v>132</v>
      </c>
      <c r="B144" s="8">
        <v>160</v>
      </c>
      <c r="C144" s="8" t="s">
        <v>49</v>
      </c>
      <c r="D144" s="9">
        <v>14</v>
      </c>
      <c r="E144" s="10" t="s">
        <v>135</v>
      </c>
      <c r="F144" s="52"/>
      <c r="G144" s="12">
        <f t="shared" ref="G144:G212" si="10">ROUND(I144*0.67,0)</f>
        <v>1905</v>
      </c>
      <c r="H144" s="12">
        <f t="shared" si="9"/>
        <v>939</v>
      </c>
      <c r="I144" s="13">
        <f>1422*2</f>
        <v>2844</v>
      </c>
      <c r="J144" s="13">
        <v>2844</v>
      </c>
    </row>
    <row r="145" spans="1:10" ht="34" x14ac:dyDescent="0.2">
      <c r="A145" s="8" t="s">
        <v>132</v>
      </c>
      <c r="B145" s="8">
        <v>220</v>
      </c>
      <c r="C145" s="8" t="s">
        <v>49</v>
      </c>
      <c r="D145" s="9">
        <v>14</v>
      </c>
      <c r="E145" s="10" t="s">
        <v>136</v>
      </c>
      <c r="F145" s="11"/>
      <c r="G145" s="12">
        <f t="shared" si="10"/>
        <v>5538</v>
      </c>
      <c r="H145" s="12">
        <f t="shared" si="9"/>
        <v>2728</v>
      </c>
      <c r="I145" s="13">
        <f>4133*2</f>
        <v>8266</v>
      </c>
      <c r="J145" s="13">
        <v>8266</v>
      </c>
    </row>
    <row r="146" spans="1:10" ht="17" x14ac:dyDescent="0.2">
      <c r="A146" s="8" t="s">
        <v>132</v>
      </c>
      <c r="B146" s="8">
        <v>240</v>
      </c>
      <c r="C146" s="8" t="s">
        <v>49</v>
      </c>
      <c r="D146" s="9">
        <v>14</v>
      </c>
      <c r="E146" s="10" t="s">
        <v>137</v>
      </c>
      <c r="F146" s="11"/>
      <c r="G146" s="12">
        <f t="shared" si="10"/>
        <v>819</v>
      </c>
      <c r="H146" s="12">
        <f t="shared" si="9"/>
        <v>403</v>
      </c>
      <c r="I146" s="13">
        <f>611*2</f>
        <v>1222</v>
      </c>
      <c r="J146" s="13">
        <v>1222</v>
      </c>
    </row>
    <row r="147" spans="1:10" ht="85" x14ac:dyDescent="0.2">
      <c r="A147" s="8">
        <v>6120</v>
      </c>
      <c r="B147" s="8">
        <v>130</v>
      </c>
      <c r="C147" s="8" t="s">
        <v>31</v>
      </c>
      <c r="D147" s="9">
        <v>3</v>
      </c>
      <c r="E147" s="10" t="s">
        <v>32</v>
      </c>
      <c r="F147" s="11"/>
      <c r="G147" s="12">
        <f t="shared" si="10"/>
        <v>447473</v>
      </c>
      <c r="H147" s="12">
        <f t="shared" si="9"/>
        <v>220397</v>
      </c>
      <c r="I147" s="13">
        <f>329000+338870</f>
        <v>667870</v>
      </c>
      <c r="J147" s="13">
        <f>(7*47000)+(7*48410)</f>
        <v>667870</v>
      </c>
    </row>
    <row r="148" spans="1:10" ht="68" x14ac:dyDescent="0.2">
      <c r="A148" s="8">
        <v>6120</v>
      </c>
      <c r="B148" s="8">
        <v>130</v>
      </c>
      <c r="C148" s="8" t="s">
        <v>29</v>
      </c>
      <c r="D148" s="9">
        <v>2</v>
      </c>
      <c r="E148" s="10" t="s">
        <v>593</v>
      </c>
      <c r="F148" s="11"/>
      <c r="G148" s="12">
        <f t="shared" si="10"/>
        <v>539521</v>
      </c>
      <c r="H148" s="12">
        <f t="shared" si="9"/>
        <v>265734</v>
      </c>
      <c r="I148" s="13">
        <v>805255</v>
      </c>
      <c r="J148" s="13">
        <f>ROUNDUP((31.27*7*4*6*67)+(6*40.27*7*4*67),0)</f>
        <v>805255</v>
      </c>
    </row>
    <row r="149" spans="1:10" ht="17" x14ac:dyDescent="0.2">
      <c r="A149" s="8">
        <v>6120</v>
      </c>
      <c r="B149" s="8">
        <v>210</v>
      </c>
      <c r="C149" s="8" t="s">
        <v>31</v>
      </c>
      <c r="D149" s="9" t="s">
        <v>33</v>
      </c>
      <c r="E149" s="10" t="s">
        <v>340</v>
      </c>
      <c r="F149" s="11"/>
      <c r="G149" s="12">
        <f t="shared" si="10"/>
        <v>51057</v>
      </c>
      <c r="H149" s="12">
        <f t="shared" si="9"/>
        <v>25147</v>
      </c>
      <c r="I149" s="13">
        <f>ROUNDUP(Retirement*$I$147,0)</f>
        <v>76204</v>
      </c>
      <c r="J149" s="13">
        <f>ROUNDUP(Retirement*$J$147,0)</f>
        <v>76204</v>
      </c>
    </row>
    <row r="150" spans="1:10" ht="17" x14ac:dyDescent="0.2">
      <c r="A150" s="8">
        <v>6120</v>
      </c>
      <c r="B150" s="8">
        <v>220</v>
      </c>
      <c r="C150" s="8" t="s">
        <v>31</v>
      </c>
      <c r="D150" s="9" t="s">
        <v>33</v>
      </c>
      <c r="E150" s="10" t="s">
        <v>341</v>
      </c>
      <c r="F150" s="11"/>
      <c r="G150" s="12">
        <f t="shared" si="10"/>
        <v>27743</v>
      </c>
      <c r="H150" s="12">
        <f t="shared" si="9"/>
        <v>13665</v>
      </c>
      <c r="I150" s="13">
        <f>ROUNDUP(FICA*$I$147,0)</f>
        <v>41408</v>
      </c>
      <c r="J150" s="13">
        <f>ROUNDUP(FICA*$J$147,0)</f>
        <v>41408</v>
      </c>
    </row>
    <row r="151" spans="1:10" ht="34" x14ac:dyDescent="0.2">
      <c r="A151" s="8">
        <v>6120</v>
      </c>
      <c r="B151" s="8">
        <v>220</v>
      </c>
      <c r="C151" s="8" t="s">
        <v>31</v>
      </c>
      <c r="D151" s="9" t="s">
        <v>33</v>
      </c>
      <c r="E151" s="10" t="s">
        <v>344</v>
      </c>
      <c r="F151" s="11"/>
      <c r="G151" s="12">
        <f t="shared" si="10"/>
        <v>6489</v>
      </c>
      <c r="H151" s="12">
        <f t="shared" si="9"/>
        <v>3196</v>
      </c>
      <c r="I151" s="13">
        <f>ROUNDUP(Medicare*$I$147,0)</f>
        <v>9685</v>
      </c>
      <c r="J151" s="13">
        <f>ROUNDUP(Medicare*$J$147,0)</f>
        <v>9685</v>
      </c>
    </row>
    <row r="152" spans="1:10" ht="17" x14ac:dyDescent="0.2">
      <c r="A152" s="8">
        <v>6120</v>
      </c>
      <c r="B152" s="8">
        <v>231</v>
      </c>
      <c r="C152" s="8" t="s">
        <v>31</v>
      </c>
      <c r="D152" s="9" t="s">
        <v>33</v>
      </c>
      <c r="E152" s="10" t="s">
        <v>342</v>
      </c>
      <c r="F152" s="11"/>
      <c r="G152" s="12">
        <f t="shared" si="10"/>
        <v>76473</v>
      </c>
      <c r="H152" s="12">
        <f t="shared" ref="H152:H220" si="11">ROUND(I152*0.33,0)</f>
        <v>37666</v>
      </c>
      <c r="I152" s="13">
        <f>ROUNDUP(Health*$I$147,0)</f>
        <v>114139</v>
      </c>
      <c r="J152" s="13">
        <f>ROUNDUP(Health*$J$147,0)</f>
        <v>114139</v>
      </c>
    </row>
    <row r="153" spans="1:10" ht="17" x14ac:dyDescent="0.2">
      <c r="A153" s="8">
        <v>6120</v>
      </c>
      <c r="B153" s="8">
        <v>232</v>
      </c>
      <c r="C153" s="8" t="s">
        <v>31</v>
      </c>
      <c r="D153" s="9" t="s">
        <v>33</v>
      </c>
      <c r="E153" s="10" t="s">
        <v>343</v>
      </c>
      <c r="F153" s="11"/>
      <c r="G153" s="12">
        <f t="shared" si="10"/>
        <v>985</v>
      </c>
      <c r="H153" s="12">
        <f t="shared" si="11"/>
        <v>485</v>
      </c>
      <c r="I153" s="14">
        <f>ROUNDUP($I$147*Life,0)</f>
        <v>1470</v>
      </c>
      <c r="J153" s="14">
        <f>ROUNDUP($J$147*Life,0)</f>
        <v>1470</v>
      </c>
    </row>
    <row r="154" spans="1:10" ht="34" x14ac:dyDescent="0.2">
      <c r="A154" s="8">
        <v>6120</v>
      </c>
      <c r="B154" s="8">
        <v>240</v>
      </c>
      <c r="C154" s="8" t="s">
        <v>31</v>
      </c>
      <c r="D154" s="9" t="s">
        <v>33</v>
      </c>
      <c r="E154" s="10" t="s">
        <v>345</v>
      </c>
      <c r="F154" s="11"/>
      <c r="G154" s="12">
        <f t="shared" si="10"/>
        <v>5056</v>
      </c>
      <c r="H154" s="12">
        <f t="shared" si="11"/>
        <v>2491</v>
      </c>
      <c r="I154" s="14">
        <f>ROUNDUP(Work_Comp*$I$147,0)</f>
        <v>7547</v>
      </c>
      <c r="J154" s="14">
        <f>ROUNDUP(Work_Comp*$J$147,0)</f>
        <v>7547</v>
      </c>
    </row>
    <row r="155" spans="1:10" ht="34" x14ac:dyDescent="0.2">
      <c r="A155" s="8">
        <v>6120</v>
      </c>
      <c r="B155" s="8">
        <v>394</v>
      </c>
      <c r="C155" s="8" t="s">
        <v>31</v>
      </c>
      <c r="D155" s="9" t="s">
        <v>487</v>
      </c>
      <c r="E155" s="10" t="s">
        <v>346</v>
      </c>
      <c r="F155" s="11"/>
      <c r="G155" s="12">
        <f t="shared" si="10"/>
        <v>72245</v>
      </c>
      <c r="H155" s="12">
        <f t="shared" si="11"/>
        <v>35583</v>
      </c>
      <c r="I155" s="13">
        <v>107828</v>
      </c>
      <c r="J155" s="14">
        <v>107828</v>
      </c>
    </row>
    <row r="156" spans="1:10" ht="51" x14ac:dyDescent="0.2">
      <c r="A156" s="8">
        <v>6130</v>
      </c>
      <c r="B156" s="8">
        <v>130</v>
      </c>
      <c r="C156" s="8" t="s">
        <v>34</v>
      </c>
      <c r="D156" s="9">
        <v>1</v>
      </c>
      <c r="E156" s="10" t="s">
        <v>347</v>
      </c>
      <c r="F156" s="11"/>
      <c r="G156" s="12">
        <f t="shared" si="10"/>
        <v>15973</v>
      </c>
      <c r="H156" s="12">
        <f t="shared" si="11"/>
        <v>7867</v>
      </c>
      <c r="I156" s="13">
        <v>23840</v>
      </c>
      <c r="J156" s="14">
        <f>40*36.7*8+37.8*8*40</f>
        <v>23840</v>
      </c>
    </row>
    <row r="157" spans="1:10" ht="17" x14ac:dyDescent="0.2">
      <c r="A157" s="8" t="s">
        <v>138</v>
      </c>
      <c r="B157" s="8">
        <v>130</v>
      </c>
      <c r="C157" s="8" t="s">
        <v>49</v>
      </c>
      <c r="D157" s="9">
        <v>14</v>
      </c>
      <c r="E157" s="10" t="s">
        <v>139</v>
      </c>
      <c r="F157" s="52"/>
      <c r="G157" s="12">
        <f t="shared" si="10"/>
        <v>11429</v>
      </c>
      <c r="H157" s="12">
        <f t="shared" si="11"/>
        <v>5629</v>
      </c>
      <c r="I157" s="13">
        <f>8529*2</f>
        <v>17058</v>
      </c>
      <c r="J157" s="14">
        <v>17058</v>
      </c>
    </row>
    <row r="158" spans="1:10" ht="17" x14ac:dyDescent="0.2">
      <c r="A158" s="8" t="s">
        <v>138</v>
      </c>
      <c r="B158" s="8">
        <v>150</v>
      </c>
      <c r="C158" s="8" t="s">
        <v>49</v>
      </c>
      <c r="D158" s="9">
        <v>14</v>
      </c>
      <c r="E158" s="10" t="s">
        <v>140</v>
      </c>
      <c r="F158" s="52"/>
      <c r="G158" s="12">
        <f t="shared" si="10"/>
        <v>72381</v>
      </c>
      <c r="H158" s="12">
        <f t="shared" si="11"/>
        <v>35651</v>
      </c>
      <c r="I158" s="13">
        <f>54016*2</f>
        <v>108032</v>
      </c>
      <c r="J158" s="14">
        <v>108032</v>
      </c>
    </row>
    <row r="159" spans="1:10" ht="34" x14ac:dyDescent="0.2">
      <c r="A159" s="8">
        <v>6130</v>
      </c>
      <c r="B159" s="8">
        <v>160</v>
      </c>
      <c r="C159" s="8" t="s">
        <v>34</v>
      </c>
      <c r="D159" s="9">
        <v>2</v>
      </c>
      <c r="E159" s="10" t="s">
        <v>348</v>
      </c>
      <c r="F159" s="11"/>
      <c r="G159" s="12">
        <f t="shared" si="10"/>
        <v>196619</v>
      </c>
      <c r="H159" s="12">
        <f t="shared" si="11"/>
        <v>96842</v>
      </c>
      <c r="I159" s="13">
        <v>293461</v>
      </c>
      <c r="J159" s="14">
        <f>ROUNDUP(47*16.02*32*6+47*32*6*16.5,0)</f>
        <v>293461</v>
      </c>
    </row>
    <row r="160" spans="1:10" ht="34" x14ac:dyDescent="0.2">
      <c r="A160" s="8">
        <v>6130</v>
      </c>
      <c r="B160" s="8">
        <v>160</v>
      </c>
      <c r="C160" s="8" t="s">
        <v>35</v>
      </c>
      <c r="D160" s="9">
        <v>9</v>
      </c>
      <c r="E160" s="10" t="s">
        <v>594</v>
      </c>
      <c r="F160" s="11"/>
      <c r="G160" s="12">
        <f t="shared" si="10"/>
        <v>65655</v>
      </c>
      <c r="H160" s="12">
        <f t="shared" si="11"/>
        <v>32337</v>
      </c>
      <c r="I160" s="13">
        <v>97992</v>
      </c>
      <c r="J160" s="14">
        <f>ROUNDUP(26.98*8*227*2,0)</f>
        <v>97992</v>
      </c>
    </row>
    <row r="161" spans="1:10" ht="17" x14ac:dyDescent="0.2">
      <c r="A161" s="8">
        <v>6130</v>
      </c>
      <c r="B161" s="8">
        <v>210</v>
      </c>
      <c r="C161" s="8" t="s">
        <v>34</v>
      </c>
      <c r="D161" s="9">
        <v>1</v>
      </c>
      <c r="E161" s="19" t="s">
        <v>349</v>
      </c>
      <c r="F161" s="11"/>
      <c r="G161" s="12">
        <f t="shared" si="10"/>
        <v>1823</v>
      </c>
      <c r="H161" s="12">
        <f t="shared" si="11"/>
        <v>898</v>
      </c>
      <c r="I161" s="13">
        <v>2721</v>
      </c>
      <c r="J161" s="14">
        <f>ROUNDUP(Retirement*$J$156,0)</f>
        <v>2721</v>
      </c>
    </row>
    <row r="162" spans="1:10" ht="34" x14ac:dyDescent="0.2">
      <c r="A162" s="9">
        <v>6130</v>
      </c>
      <c r="B162" s="8">
        <v>210</v>
      </c>
      <c r="C162" s="8" t="s">
        <v>34</v>
      </c>
      <c r="D162" s="9">
        <v>2</v>
      </c>
      <c r="E162" s="10" t="s">
        <v>350</v>
      </c>
      <c r="F162" s="11"/>
      <c r="G162" s="12">
        <f t="shared" si="10"/>
        <v>22434</v>
      </c>
      <c r="H162" s="12">
        <f t="shared" si="11"/>
        <v>11050</v>
      </c>
      <c r="I162" s="13">
        <v>33484</v>
      </c>
      <c r="J162" s="14">
        <f>ROUNDUP($J$159*Retirement,0)</f>
        <v>33484</v>
      </c>
    </row>
    <row r="163" spans="1:10" ht="17" x14ac:dyDescent="0.2">
      <c r="A163" s="9">
        <v>6130</v>
      </c>
      <c r="B163" s="8">
        <v>210</v>
      </c>
      <c r="C163" s="8" t="s">
        <v>35</v>
      </c>
      <c r="D163" s="9">
        <v>9</v>
      </c>
      <c r="E163" s="10" t="s">
        <v>37</v>
      </c>
      <c r="F163" s="11"/>
      <c r="G163" s="12">
        <f t="shared" si="10"/>
        <v>7491</v>
      </c>
      <c r="H163" s="12">
        <f t="shared" si="11"/>
        <v>3690</v>
      </c>
      <c r="I163" s="14">
        <f>ROUNDUP($I$160*Retirement,0)</f>
        <v>11181</v>
      </c>
      <c r="J163" s="14">
        <f>ROUNDUP($J$160*Retirement,0)</f>
        <v>11181</v>
      </c>
    </row>
    <row r="164" spans="1:10" ht="34" x14ac:dyDescent="0.2">
      <c r="A164" s="9">
        <v>6130</v>
      </c>
      <c r="B164" s="8">
        <v>220</v>
      </c>
      <c r="C164" s="8" t="s">
        <v>34</v>
      </c>
      <c r="D164" s="9">
        <v>1</v>
      </c>
      <c r="E164" s="10" t="s">
        <v>351</v>
      </c>
      <c r="F164" s="11"/>
      <c r="G164" s="12">
        <f t="shared" si="10"/>
        <v>991</v>
      </c>
      <c r="H164" s="12">
        <f t="shared" si="11"/>
        <v>488</v>
      </c>
      <c r="I164" s="13">
        <v>1479</v>
      </c>
      <c r="J164" s="14">
        <f>ROUNDUP(FICA*$J$156,0)</f>
        <v>1479</v>
      </c>
    </row>
    <row r="165" spans="1:10" ht="34" x14ac:dyDescent="0.2">
      <c r="A165" s="9">
        <v>6130</v>
      </c>
      <c r="B165" s="8">
        <v>220</v>
      </c>
      <c r="C165" s="8" t="s">
        <v>34</v>
      </c>
      <c r="D165" s="9">
        <v>1</v>
      </c>
      <c r="E165" s="10" t="s">
        <v>352</v>
      </c>
      <c r="F165" s="11"/>
      <c r="G165" s="12">
        <f t="shared" si="10"/>
        <v>232</v>
      </c>
      <c r="H165" s="12">
        <f t="shared" si="11"/>
        <v>114</v>
      </c>
      <c r="I165" s="13">
        <v>346</v>
      </c>
      <c r="J165" s="14">
        <f>ROUNDUP(Medicare*$J$156,0)</f>
        <v>346</v>
      </c>
    </row>
    <row r="166" spans="1:10" ht="34" x14ac:dyDescent="0.2">
      <c r="A166" s="9">
        <v>6130</v>
      </c>
      <c r="B166" s="8">
        <v>220</v>
      </c>
      <c r="C166" s="8" t="s">
        <v>34</v>
      </c>
      <c r="D166" s="9">
        <v>2</v>
      </c>
      <c r="E166" s="10" t="s">
        <v>353</v>
      </c>
      <c r="F166" s="11"/>
      <c r="G166" s="12">
        <f t="shared" si="10"/>
        <v>12191</v>
      </c>
      <c r="H166" s="12">
        <f t="shared" si="11"/>
        <v>6004</v>
      </c>
      <c r="I166" s="13">
        <v>18195</v>
      </c>
      <c r="J166" s="14">
        <f>ROUNDUP(FICA*$J$159,0)</f>
        <v>18195</v>
      </c>
    </row>
    <row r="167" spans="1:10" ht="34" x14ac:dyDescent="0.2">
      <c r="A167" s="9">
        <v>6130</v>
      </c>
      <c r="B167" s="8">
        <v>220</v>
      </c>
      <c r="C167" s="8" t="s">
        <v>34</v>
      </c>
      <c r="D167" s="9">
        <v>2</v>
      </c>
      <c r="E167" s="10" t="s">
        <v>354</v>
      </c>
      <c r="F167" s="11"/>
      <c r="G167" s="12">
        <f t="shared" si="10"/>
        <v>2852</v>
      </c>
      <c r="H167" s="12">
        <f t="shared" si="11"/>
        <v>1404</v>
      </c>
      <c r="I167" s="13">
        <v>4256</v>
      </c>
      <c r="J167" s="14">
        <f>ROUNDUP(Medicare*$J$159,0)</f>
        <v>4256</v>
      </c>
    </row>
    <row r="168" spans="1:10" ht="17" x14ac:dyDescent="0.2">
      <c r="A168" s="9" t="s">
        <v>138</v>
      </c>
      <c r="B168" s="8">
        <v>220</v>
      </c>
      <c r="C168" s="8" t="s">
        <v>49</v>
      </c>
      <c r="D168" s="9">
        <v>14</v>
      </c>
      <c r="E168" s="10" t="s">
        <v>141</v>
      </c>
      <c r="F168" s="11"/>
      <c r="G168" s="12">
        <f t="shared" si="10"/>
        <v>6412</v>
      </c>
      <c r="H168" s="12">
        <f t="shared" si="11"/>
        <v>3158</v>
      </c>
      <c r="I168" s="13">
        <f>4785*2</f>
        <v>9570</v>
      </c>
      <c r="J168" s="14">
        <v>9570</v>
      </c>
    </row>
    <row r="169" spans="1:10" ht="17" x14ac:dyDescent="0.2">
      <c r="A169" s="9">
        <v>6130</v>
      </c>
      <c r="B169" s="8">
        <v>220</v>
      </c>
      <c r="C169" s="8" t="s">
        <v>35</v>
      </c>
      <c r="D169" s="9">
        <v>9</v>
      </c>
      <c r="E169" s="10" t="s">
        <v>38</v>
      </c>
      <c r="F169" s="11"/>
      <c r="G169" s="12">
        <f t="shared" si="10"/>
        <v>4071</v>
      </c>
      <c r="H169" s="12">
        <f t="shared" si="11"/>
        <v>2005</v>
      </c>
      <c r="I169" s="14">
        <f>ROUNDUP(FICA*$I$160,0)</f>
        <v>6076</v>
      </c>
      <c r="J169" s="14">
        <f>ROUNDUP(FICA*$J$160,0)</f>
        <v>6076</v>
      </c>
    </row>
    <row r="170" spans="1:10" ht="17" x14ac:dyDescent="0.2">
      <c r="A170" s="8">
        <v>6130</v>
      </c>
      <c r="B170" s="8">
        <v>220</v>
      </c>
      <c r="C170" s="8" t="s">
        <v>35</v>
      </c>
      <c r="D170" s="9">
        <v>9</v>
      </c>
      <c r="E170" s="10" t="s">
        <v>41</v>
      </c>
      <c r="F170" s="11"/>
      <c r="G170" s="12">
        <f t="shared" si="10"/>
        <v>952</v>
      </c>
      <c r="H170" s="12">
        <f t="shared" si="11"/>
        <v>469</v>
      </c>
      <c r="I170" s="14">
        <f>ROUNDUP(Medicare*$I$160,0)</f>
        <v>1421</v>
      </c>
      <c r="J170" s="14">
        <f>ROUNDUP(Medicare*$J$160,0)</f>
        <v>1421</v>
      </c>
    </row>
    <row r="171" spans="1:10" ht="34" x14ac:dyDescent="0.2">
      <c r="A171" s="8">
        <v>6130</v>
      </c>
      <c r="B171" s="8">
        <v>231</v>
      </c>
      <c r="C171" s="8" t="s">
        <v>35</v>
      </c>
      <c r="D171" s="9">
        <v>9</v>
      </c>
      <c r="E171" s="10" t="s">
        <v>39</v>
      </c>
      <c r="F171" s="11"/>
      <c r="G171" s="12">
        <f t="shared" si="10"/>
        <v>11220</v>
      </c>
      <c r="H171" s="12">
        <f t="shared" si="11"/>
        <v>5527</v>
      </c>
      <c r="I171" s="14">
        <f>ROUNDUP(Health*$I$160,0)</f>
        <v>16747</v>
      </c>
      <c r="J171" s="14">
        <f>ROUNDUP(Health*$J$160,0)</f>
        <v>16747</v>
      </c>
    </row>
    <row r="172" spans="1:10" ht="34" x14ac:dyDescent="0.2">
      <c r="A172" s="8">
        <v>6130</v>
      </c>
      <c r="B172" s="8">
        <v>232</v>
      </c>
      <c r="C172" s="8" t="s">
        <v>35</v>
      </c>
      <c r="D172" s="9">
        <v>9</v>
      </c>
      <c r="E172" s="10" t="s">
        <v>40</v>
      </c>
      <c r="F172" s="11"/>
      <c r="G172" s="12">
        <f t="shared" si="10"/>
        <v>145</v>
      </c>
      <c r="H172" s="12">
        <f t="shared" si="11"/>
        <v>71</v>
      </c>
      <c r="I172" s="14">
        <f>ROUNDUP(Life*$I$160,0)</f>
        <v>216</v>
      </c>
      <c r="J172" s="14">
        <f>ROUNDUP(Life*$J$160,0)</f>
        <v>216</v>
      </c>
    </row>
    <row r="173" spans="1:10" ht="51" x14ac:dyDescent="0.2">
      <c r="A173" s="9">
        <v>6130</v>
      </c>
      <c r="B173" s="8">
        <v>240</v>
      </c>
      <c r="C173" s="8" t="s">
        <v>34</v>
      </c>
      <c r="D173" s="9">
        <v>1</v>
      </c>
      <c r="E173" s="10" t="s">
        <v>355</v>
      </c>
      <c r="F173" s="11"/>
      <c r="G173" s="12">
        <f t="shared" si="10"/>
        <v>181</v>
      </c>
      <c r="H173" s="12">
        <f t="shared" si="11"/>
        <v>89</v>
      </c>
      <c r="I173" s="13">
        <v>270</v>
      </c>
      <c r="J173" s="14">
        <f>ROUNDUP(Work_Comp*$J$156,0)</f>
        <v>270</v>
      </c>
    </row>
    <row r="174" spans="1:10" ht="51" x14ac:dyDescent="0.2">
      <c r="A174" s="9">
        <v>6130</v>
      </c>
      <c r="B174" s="8">
        <v>240</v>
      </c>
      <c r="C174" s="8" t="s">
        <v>34</v>
      </c>
      <c r="D174" s="9">
        <v>2</v>
      </c>
      <c r="E174" s="10" t="s">
        <v>356</v>
      </c>
      <c r="F174" s="11"/>
      <c r="G174" s="12">
        <f t="shared" si="10"/>
        <v>2222</v>
      </c>
      <c r="H174" s="12">
        <f t="shared" si="11"/>
        <v>1095</v>
      </c>
      <c r="I174" s="13">
        <v>3317</v>
      </c>
      <c r="J174" s="14">
        <f>ROUNDUP(Work_Comp*$J$159,0)</f>
        <v>3317</v>
      </c>
    </row>
    <row r="175" spans="1:10" ht="17" x14ac:dyDescent="0.2">
      <c r="A175" s="9" t="s">
        <v>138</v>
      </c>
      <c r="B175" s="8">
        <v>240</v>
      </c>
      <c r="C175" s="8" t="s">
        <v>49</v>
      </c>
      <c r="D175" s="9">
        <v>14</v>
      </c>
      <c r="E175" s="10" t="s">
        <v>142</v>
      </c>
      <c r="F175" s="11"/>
      <c r="G175" s="12">
        <f t="shared" si="10"/>
        <v>947</v>
      </c>
      <c r="H175" s="12">
        <f t="shared" si="11"/>
        <v>467</v>
      </c>
      <c r="I175" s="13">
        <f>707*2</f>
        <v>1414</v>
      </c>
      <c r="J175" s="14">
        <v>1414</v>
      </c>
    </row>
    <row r="176" spans="1:10" ht="34" x14ac:dyDescent="0.2">
      <c r="A176" s="9">
        <v>6130</v>
      </c>
      <c r="B176" s="8">
        <v>240</v>
      </c>
      <c r="C176" s="8" t="s">
        <v>35</v>
      </c>
      <c r="D176" s="9">
        <v>9</v>
      </c>
      <c r="E176" s="10" t="s">
        <v>42</v>
      </c>
      <c r="F176" s="11"/>
      <c r="G176" s="12">
        <f t="shared" si="10"/>
        <v>742</v>
      </c>
      <c r="H176" s="12">
        <f t="shared" si="11"/>
        <v>366</v>
      </c>
      <c r="I176" s="14">
        <f>ROUNDUP(Work_Comp*$I$160,0)</f>
        <v>1108</v>
      </c>
      <c r="J176" s="14">
        <f>ROUNDUP(Work_Comp*$J$160,0)</f>
        <v>1108</v>
      </c>
    </row>
    <row r="177" spans="1:10" ht="51" x14ac:dyDescent="0.2">
      <c r="A177" s="8">
        <v>6130</v>
      </c>
      <c r="B177" s="8">
        <v>310</v>
      </c>
      <c r="C177" s="8" t="s">
        <v>31</v>
      </c>
      <c r="D177" s="9">
        <v>1</v>
      </c>
      <c r="E177" s="10" t="s">
        <v>595</v>
      </c>
      <c r="F177" s="79"/>
      <c r="G177" s="12">
        <f t="shared" si="10"/>
        <v>3962627</v>
      </c>
      <c r="H177" s="12">
        <f t="shared" si="11"/>
        <v>1951741</v>
      </c>
      <c r="I177" s="32">
        <v>5914368</v>
      </c>
      <c r="J177" s="14">
        <f>48*61608*2</f>
        <v>5914368</v>
      </c>
    </row>
    <row r="178" spans="1:10" ht="68" x14ac:dyDescent="0.2">
      <c r="A178" s="8">
        <v>6130</v>
      </c>
      <c r="B178" s="8">
        <v>394</v>
      </c>
      <c r="C178" s="8" t="s">
        <v>31</v>
      </c>
      <c r="D178" s="9" t="s">
        <v>43</v>
      </c>
      <c r="E178" s="10" t="s">
        <v>358</v>
      </c>
      <c r="F178" s="79"/>
      <c r="G178" s="12">
        <f t="shared" si="10"/>
        <v>76030</v>
      </c>
      <c r="H178" s="12">
        <f t="shared" si="11"/>
        <v>37447</v>
      </c>
      <c r="I178" s="32">
        <v>113477</v>
      </c>
      <c r="J178" s="14">
        <f>55900+57577</f>
        <v>113477</v>
      </c>
    </row>
    <row r="179" spans="1:10" ht="17" x14ac:dyDescent="0.2">
      <c r="A179" s="8">
        <v>6130</v>
      </c>
      <c r="B179" s="8">
        <v>510</v>
      </c>
      <c r="C179" s="8" t="s">
        <v>34</v>
      </c>
      <c r="D179" s="9">
        <v>3</v>
      </c>
      <c r="E179" s="10" t="s">
        <v>44</v>
      </c>
      <c r="F179" s="79"/>
      <c r="G179" s="12">
        <f t="shared" si="10"/>
        <v>140700</v>
      </c>
      <c r="H179" s="12">
        <f t="shared" si="11"/>
        <v>69300</v>
      </c>
      <c r="I179" s="32">
        <v>210000</v>
      </c>
      <c r="J179" s="14">
        <v>210000</v>
      </c>
    </row>
    <row r="180" spans="1:10" ht="17" x14ac:dyDescent="0.2">
      <c r="A180" s="9" t="s">
        <v>143</v>
      </c>
      <c r="B180" s="8">
        <v>130</v>
      </c>
      <c r="C180" s="8" t="s">
        <v>49</v>
      </c>
      <c r="D180" s="9">
        <v>14</v>
      </c>
      <c r="E180" s="10" t="s">
        <v>144</v>
      </c>
      <c r="F180" s="52"/>
      <c r="G180" s="12">
        <f t="shared" si="10"/>
        <v>34287</v>
      </c>
      <c r="H180" s="12">
        <f t="shared" si="11"/>
        <v>16887</v>
      </c>
      <c r="I180" s="13">
        <f>25587*2</f>
        <v>51174</v>
      </c>
      <c r="J180" s="14">
        <v>51174</v>
      </c>
    </row>
    <row r="181" spans="1:10" ht="17" x14ac:dyDescent="0.2">
      <c r="A181" s="9" t="s">
        <v>143</v>
      </c>
      <c r="B181" s="8">
        <v>160</v>
      </c>
      <c r="C181" s="8" t="s">
        <v>49</v>
      </c>
      <c r="D181" s="9">
        <v>14</v>
      </c>
      <c r="E181" s="10" t="s">
        <v>145</v>
      </c>
      <c r="F181" s="52"/>
      <c r="G181" s="12">
        <f t="shared" si="10"/>
        <v>5715</v>
      </c>
      <c r="H181" s="12">
        <f t="shared" si="11"/>
        <v>2815</v>
      </c>
      <c r="I181" s="13">
        <f>4265*2</f>
        <v>8530</v>
      </c>
      <c r="J181" s="14">
        <v>8530</v>
      </c>
    </row>
    <row r="182" spans="1:10" ht="34" x14ac:dyDescent="0.2">
      <c r="A182" s="9" t="s">
        <v>143</v>
      </c>
      <c r="B182" s="8">
        <v>220</v>
      </c>
      <c r="C182" s="8" t="s">
        <v>49</v>
      </c>
      <c r="D182" s="9">
        <v>14</v>
      </c>
      <c r="E182" s="10" t="s">
        <v>146</v>
      </c>
      <c r="F182" s="52"/>
      <c r="G182" s="12">
        <f t="shared" si="10"/>
        <v>3061</v>
      </c>
      <c r="H182" s="12">
        <f t="shared" si="11"/>
        <v>1507</v>
      </c>
      <c r="I182" s="13">
        <f>2284*2</f>
        <v>4568</v>
      </c>
      <c r="J182" s="14">
        <v>4568</v>
      </c>
    </row>
    <row r="183" spans="1:10" ht="17" x14ac:dyDescent="0.2">
      <c r="A183" s="9" t="s">
        <v>143</v>
      </c>
      <c r="B183" s="8">
        <v>240</v>
      </c>
      <c r="C183" s="8" t="s">
        <v>49</v>
      </c>
      <c r="D183" s="9">
        <v>14</v>
      </c>
      <c r="E183" s="10" t="s">
        <v>147</v>
      </c>
      <c r="F183" s="52"/>
      <c r="G183" s="12">
        <f t="shared" si="10"/>
        <v>453</v>
      </c>
      <c r="H183" s="12">
        <f t="shared" si="11"/>
        <v>223</v>
      </c>
      <c r="I183" s="13">
        <f>338*2</f>
        <v>676</v>
      </c>
      <c r="J183" s="14">
        <v>676</v>
      </c>
    </row>
    <row r="184" spans="1:10" ht="34" x14ac:dyDescent="0.2">
      <c r="A184" s="9">
        <v>6150</v>
      </c>
      <c r="B184" s="8">
        <v>120</v>
      </c>
      <c r="C184" s="8" t="s">
        <v>45</v>
      </c>
      <c r="D184" s="9">
        <v>6</v>
      </c>
      <c r="E184" s="10" t="s">
        <v>570</v>
      </c>
      <c r="F184" s="52"/>
      <c r="G184" s="12">
        <f t="shared" ref="G184" si="12">ROUND(I184*0.67,0)</f>
        <v>10050</v>
      </c>
      <c r="H184" s="12">
        <f t="shared" ref="H184" si="13">ROUND(I184*0.33,0)</f>
        <v>4950</v>
      </c>
      <c r="I184" s="13">
        <v>15000</v>
      </c>
      <c r="J184" s="14">
        <v>15000</v>
      </c>
    </row>
    <row r="185" spans="1:10" ht="17" x14ac:dyDescent="0.2">
      <c r="A185" s="9">
        <v>6150</v>
      </c>
      <c r="B185" s="8">
        <v>210</v>
      </c>
      <c r="C185" s="8" t="s">
        <v>45</v>
      </c>
      <c r="D185" s="9">
        <v>6</v>
      </c>
      <c r="E185" s="10" t="s">
        <v>571</v>
      </c>
      <c r="F185" s="52"/>
      <c r="G185" s="12">
        <f t="shared" ref="G185:G188" si="14">ROUND(I185*0.67,0)</f>
        <v>1147</v>
      </c>
      <c r="H185" s="12">
        <f t="shared" ref="H185:H188" si="15">ROUND(I185*0.33,0)</f>
        <v>565</v>
      </c>
      <c r="I185" s="13">
        <f>ROUNDUP(I184*0.1141,0)</f>
        <v>1712</v>
      </c>
      <c r="J185" s="14">
        <f>ROUNDUP($J$184*Retirement,0)</f>
        <v>1712</v>
      </c>
    </row>
    <row r="186" spans="1:10" ht="17" x14ac:dyDescent="0.2">
      <c r="A186" s="9">
        <v>6150</v>
      </c>
      <c r="B186" s="8">
        <v>220</v>
      </c>
      <c r="C186" s="8" t="s">
        <v>45</v>
      </c>
      <c r="D186" s="9">
        <v>6</v>
      </c>
      <c r="E186" s="10" t="s">
        <v>572</v>
      </c>
      <c r="F186" s="52"/>
      <c r="G186" s="12">
        <f t="shared" si="14"/>
        <v>623</v>
      </c>
      <c r="H186" s="12">
        <f t="shared" si="15"/>
        <v>307</v>
      </c>
      <c r="I186" s="13">
        <f>ROUNDUP(I184*0.062,0)</f>
        <v>930</v>
      </c>
      <c r="J186" s="14">
        <f>ROUNDUP($J$184*FICA,0)</f>
        <v>930</v>
      </c>
    </row>
    <row r="187" spans="1:10" ht="34" x14ac:dyDescent="0.2">
      <c r="A187" s="9">
        <v>6150</v>
      </c>
      <c r="B187" s="8">
        <v>232</v>
      </c>
      <c r="C187" s="8" t="s">
        <v>45</v>
      </c>
      <c r="D187" s="9">
        <v>6</v>
      </c>
      <c r="E187" s="10" t="s">
        <v>573</v>
      </c>
      <c r="F187" s="52"/>
      <c r="G187" s="12">
        <f t="shared" si="14"/>
        <v>114</v>
      </c>
      <c r="H187" s="12">
        <f t="shared" si="15"/>
        <v>56</v>
      </c>
      <c r="I187" s="13">
        <f>ROUNDUP(I184*0.0113,0)</f>
        <v>170</v>
      </c>
      <c r="J187" s="14">
        <f>ROUNDUP($J$184*Work_Comp,0)</f>
        <v>170</v>
      </c>
    </row>
    <row r="188" spans="1:10" ht="34" x14ac:dyDescent="0.2">
      <c r="A188" s="9">
        <v>6150</v>
      </c>
      <c r="B188" s="8">
        <v>233</v>
      </c>
      <c r="C188" s="8" t="s">
        <v>45</v>
      </c>
      <c r="D188" s="9">
        <v>6</v>
      </c>
      <c r="E188" s="10" t="s">
        <v>574</v>
      </c>
      <c r="F188" s="52"/>
      <c r="G188" s="12">
        <f t="shared" si="14"/>
        <v>146</v>
      </c>
      <c r="H188" s="12">
        <f t="shared" si="15"/>
        <v>72</v>
      </c>
      <c r="I188" s="13">
        <f>ROUNDUP(I184*0.0145,0)</f>
        <v>218</v>
      </c>
      <c r="J188" s="14">
        <f>ROUNDUP($J$184*Medicare,0)</f>
        <v>218</v>
      </c>
    </row>
    <row r="189" spans="1:10" ht="68" x14ac:dyDescent="0.2">
      <c r="A189" s="9">
        <v>6150</v>
      </c>
      <c r="B189" s="8">
        <v>160</v>
      </c>
      <c r="C189" s="8" t="s">
        <v>45</v>
      </c>
      <c r="D189" s="9">
        <v>1</v>
      </c>
      <c r="E189" s="10" t="s">
        <v>359</v>
      </c>
      <c r="F189" s="11">
        <v>48</v>
      </c>
      <c r="G189" s="12">
        <f t="shared" si="10"/>
        <v>1867853</v>
      </c>
      <c r="H189" s="12">
        <f t="shared" si="11"/>
        <v>919987</v>
      </c>
      <c r="I189" s="13">
        <v>2787840</v>
      </c>
      <c r="J189" s="14">
        <f>48*220*16.5*8*2</f>
        <v>2787840</v>
      </c>
    </row>
    <row r="190" spans="1:10" ht="17" x14ac:dyDescent="0.2">
      <c r="A190" s="9" t="s">
        <v>148</v>
      </c>
      <c r="B190" s="8">
        <v>160</v>
      </c>
      <c r="C190" s="8" t="s">
        <v>49</v>
      </c>
      <c r="D190" s="9">
        <v>14</v>
      </c>
      <c r="E190" s="10" t="s">
        <v>149</v>
      </c>
      <c r="F190" s="52"/>
      <c r="G190" s="12">
        <f t="shared" si="10"/>
        <v>3810</v>
      </c>
      <c r="H190" s="12">
        <f t="shared" si="11"/>
        <v>1876</v>
      </c>
      <c r="I190" s="13">
        <f>2843*2</f>
        <v>5686</v>
      </c>
      <c r="J190" s="14">
        <v>5686</v>
      </c>
    </row>
    <row r="191" spans="1:10" ht="17" x14ac:dyDescent="0.2">
      <c r="A191" s="9">
        <v>6150</v>
      </c>
      <c r="B191" s="8">
        <v>210</v>
      </c>
      <c r="C191" s="8" t="s">
        <v>45</v>
      </c>
      <c r="D191" s="9">
        <v>1</v>
      </c>
      <c r="E191" s="10" t="s">
        <v>537</v>
      </c>
      <c r="F191" s="11"/>
      <c r="G191" s="12">
        <f t="shared" si="10"/>
        <v>213122</v>
      </c>
      <c r="H191" s="12">
        <f t="shared" si="11"/>
        <v>104971</v>
      </c>
      <c r="I191" s="32">
        <v>318093</v>
      </c>
      <c r="J191" s="14">
        <f>ROUNDUP((Retirement*$J$189),0)</f>
        <v>318093</v>
      </c>
    </row>
    <row r="192" spans="1:10" ht="17" x14ac:dyDescent="0.2">
      <c r="A192" s="9">
        <v>6150</v>
      </c>
      <c r="B192" s="8">
        <v>220</v>
      </c>
      <c r="C192" s="8" t="s">
        <v>45</v>
      </c>
      <c r="D192" s="9">
        <v>1</v>
      </c>
      <c r="E192" s="10" t="s">
        <v>538</v>
      </c>
      <c r="F192" s="11"/>
      <c r="G192" s="12">
        <f t="shared" si="10"/>
        <v>115807</v>
      </c>
      <c r="H192" s="12">
        <f t="shared" si="11"/>
        <v>57040</v>
      </c>
      <c r="I192" s="32">
        <v>172847</v>
      </c>
      <c r="J192" s="14">
        <f>ROUNDUP(FICA*$J$189,0)</f>
        <v>172847</v>
      </c>
    </row>
    <row r="193" spans="1:10" ht="34" x14ac:dyDescent="0.2">
      <c r="A193" s="9">
        <v>6150</v>
      </c>
      <c r="B193" s="8">
        <v>220</v>
      </c>
      <c r="C193" s="8" t="s">
        <v>45</v>
      </c>
      <c r="D193" s="9">
        <v>1</v>
      </c>
      <c r="E193" s="10" t="s">
        <v>539</v>
      </c>
      <c r="F193" s="11"/>
      <c r="G193" s="12">
        <f t="shared" si="10"/>
        <v>27084</v>
      </c>
      <c r="H193" s="12">
        <f t="shared" si="11"/>
        <v>13340</v>
      </c>
      <c r="I193" s="32">
        <v>40424</v>
      </c>
      <c r="J193" s="14">
        <f>ROUNDUP($J$189*Medicare,0)</f>
        <v>40424</v>
      </c>
    </row>
    <row r="194" spans="1:10" ht="34" x14ac:dyDescent="0.2">
      <c r="A194" s="9" t="s">
        <v>148</v>
      </c>
      <c r="B194" s="8">
        <v>220</v>
      </c>
      <c r="C194" s="8" t="s">
        <v>49</v>
      </c>
      <c r="D194" s="9">
        <v>14</v>
      </c>
      <c r="E194" s="10" t="s">
        <v>150</v>
      </c>
      <c r="F194" s="52"/>
      <c r="G194" s="12">
        <f t="shared" si="10"/>
        <v>292</v>
      </c>
      <c r="H194" s="12">
        <f t="shared" si="11"/>
        <v>144</v>
      </c>
      <c r="I194" s="13">
        <f>218*2</f>
        <v>436</v>
      </c>
      <c r="J194" s="14">
        <v>436</v>
      </c>
    </row>
    <row r="195" spans="1:10" ht="34" x14ac:dyDescent="0.2">
      <c r="A195" s="9">
        <v>6150</v>
      </c>
      <c r="B195" s="8">
        <v>231</v>
      </c>
      <c r="C195" s="8" t="s">
        <v>45</v>
      </c>
      <c r="D195" s="9">
        <v>1</v>
      </c>
      <c r="E195" s="10" t="s">
        <v>540</v>
      </c>
      <c r="F195" s="11"/>
      <c r="G195" s="12">
        <f t="shared" si="10"/>
        <v>319216</v>
      </c>
      <c r="H195" s="12">
        <f t="shared" si="11"/>
        <v>157226</v>
      </c>
      <c r="I195" s="14">
        <f>ROUNDUP((Health*$J$189),0)</f>
        <v>476442</v>
      </c>
      <c r="J195" s="14">
        <f>ROUNDUP((Health*$J$189),0)</f>
        <v>476442</v>
      </c>
    </row>
    <row r="196" spans="1:10" ht="34" x14ac:dyDescent="0.2">
      <c r="A196" s="9">
        <v>6150</v>
      </c>
      <c r="B196" s="8">
        <v>232</v>
      </c>
      <c r="C196" s="8" t="s">
        <v>45</v>
      </c>
      <c r="D196" s="9">
        <v>1</v>
      </c>
      <c r="E196" s="10" t="s">
        <v>541</v>
      </c>
      <c r="F196" s="11"/>
      <c r="G196" s="12">
        <f t="shared" si="10"/>
        <v>4110</v>
      </c>
      <c r="H196" s="12">
        <f t="shared" si="11"/>
        <v>2024</v>
      </c>
      <c r="I196" s="14">
        <f>ROUNDUP((Life*$I$189),0)</f>
        <v>6134</v>
      </c>
      <c r="J196" s="14">
        <f>ROUNDUP((Life*$J$189),0)</f>
        <v>6134</v>
      </c>
    </row>
    <row r="197" spans="1:10" ht="34" x14ac:dyDescent="0.2">
      <c r="A197" s="9">
        <v>6150</v>
      </c>
      <c r="B197" s="8">
        <v>240</v>
      </c>
      <c r="C197" s="8" t="s">
        <v>45</v>
      </c>
      <c r="D197" s="9">
        <v>1</v>
      </c>
      <c r="E197" s="10" t="s">
        <v>542</v>
      </c>
      <c r="F197" s="11"/>
      <c r="G197" s="12">
        <f t="shared" si="10"/>
        <v>21107</v>
      </c>
      <c r="H197" s="12">
        <f t="shared" si="11"/>
        <v>10396</v>
      </c>
      <c r="I197" s="14">
        <f>ROUNDUP((Work_Comp*$I$189),0)</f>
        <v>31503</v>
      </c>
      <c r="J197" s="14">
        <f>ROUNDUP((Work_Comp*$J$189),0)</f>
        <v>31503</v>
      </c>
    </row>
    <row r="198" spans="1:10" ht="17" x14ac:dyDescent="0.2">
      <c r="A198" s="9" t="s">
        <v>148</v>
      </c>
      <c r="B198" s="8">
        <v>240</v>
      </c>
      <c r="C198" s="8" t="s">
        <v>49</v>
      </c>
      <c r="D198" s="9">
        <v>14</v>
      </c>
      <c r="E198" s="10" t="s">
        <v>151</v>
      </c>
      <c r="F198" s="52"/>
      <c r="G198" s="12">
        <f t="shared" si="10"/>
        <v>44</v>
      </c>
      <c r="H198" s="12">
        <f t="shared" si="11"/>
        <v>22</v>
      </c>
      <c r="I198" s="13">
        <f>33*2</f>
        <v>66</v>
      </c>
      <c r="J198" s="14">
        <v>66</v>
      </c>
    </row>
    <row r="199" spans="1:10" ht="34" x14ac:dyDescent="0.2">
      <c r="A199" s="8">
        <v>6150</v>
      </c>
      <c r="B199" s="8">
        <v>330</v>
      </c>
      <c r="C199" s="8" t="s">
        <v>45</v>
      </c>
      <c r="D199" s="9">
        <v>4</v>
      </c>
      <c r="E199" s="10" t="s">
        <v>365</v>
      </c>
      <c r="F199" s="11"/>
      <c r="G199" s="12">
        <f t="shared" si="10"/>
        <v>180096</v>
      </c>
      <c r="H199" s="12">
        <f t="shared" si="11"/>
        <v>88704</v>
      </c>
      <c r="I199" s="13">
        <v>268800</v>
      </c>
      <c r="J199" s="14">
        <f>500*10*0.56*48*2</f>
        <v>268800.00000000006</v>
      </c>
    </row>
    <row r="200" spans="1:10" ht="17" x14ac:dyDescent="0.2">
      <c r="A200" s="8">
        <v>6150</v>
      </c>
      <c r="B200" s="8">
        <v>390</v>
      </c>
      <c r="C200" s="8" t="s">
        <v>47</v>
      </c>
      <c r="D200" s="9">
        <v>2</v>
      </c>
      <c r="E200" s="10" t="s">
        <v>366</v>
      </c>
      <c r="F200" s="11"/>
      <c r="G200" s="12">
        <f t="shared" si="10"/>
        <v>33500</v>
      </c>
      <c r="H200" s="12">
        <f t="shared" si="11"/>
        <v>16500</v>
      </c>
      <c r="I200" s="13">
        <v>50000</v>
      </c>
      <c r="J200" s="14">
        <v>50000</v>
      </c>
    </row>
    <row r="201" spans="1:10" ht="34" x14ac:dyDescent="0.2">
      <c r="A201" s="8">
        <v>6150</v>
      </c>
      <c r="B201" s="8">
        <v>394</v>
      </c>
      <c r="C201" s="8" t="s">
        <v>31</v>
      </c>
      <c r="D201" s="9">
        <v>3</v>
      </c>
      <c r="E201" s="10" t="s">
        <v>368</v>
      </c>
      <c r="F201" s="11"/>
      <c r="G201" s="12">
        <f t="shared" si="10"/>
        <v>38343</v>
      </c>
      <c r="H201" s="12">
        <f t="shared" si="11"/>
        <v>18886</v>
      </c>
      <c r="I201" s="13">
        <v>57229</v>
      </c>
      <c r="J201" s="14">
        <f>20600+21218+15411</f>
        <v>57229</v>
      </c>
    </row>
    <row r="202" spans="1:10" ht="17" x14ac:dyDescent="0.2">
      <c r="A202" s="8">
        <v>6150</v>
      </c>
      <c r="B202" s="8">
        <v>394</v>
      </c>
      <c r="C202" s="8" t="s">
        <v>47</v>
      </c>
      <c r="D202" s="9" t="s">
        <v>48</v>
      </c>
      <c r="E202" s="10" t="s">
        <v>367</v>
      </c>
      <c r="F202" s="11"/>
      <c r="G202" s="12">
        <f t="shared" si="10"/>
        <v>1834</v>
      </c>
      <c r="H202" s="12">
        <f t="shared" si="11"/>
        <v>903</v>
      </c>
      <c r="I202" s="32">
        <v>2737</v>
      </c>
      <c r="J202" s="14">
        <v>2737</v>
      </c>
    </row>
    <row r="203" spans="1:10" ht="34" x14ac:dyDescent="0.2">
      <c r="A203" s="8">
        <v>6150</v>
      </c>
      <c r="B203" s="8">
        <v>510</v>
      </c>
      <c r="C203" s="8" t="s">
        <v>45</v>
      </c>
      <c r="D203" s="9">
        <v>2</v>
      </c>
      <c r="E203" s="10" t="s">
        <v>369</v>
      </c>
      <c r="F203" s="11"/>
      <c r="G203" s="12">
        <f t="shared" si="10"/>
        <v>167500</v>
      </c>
      <c r="H203" s="12">
        <f t="shared" si="11"/>
        <v>82500</v>
      </c>
      <c r="I203" s="13">
        <v>250000</v>
      </c>
      <c r="J203" s="14">
        <f>125000*2</f>
        <v>250000</v>
      </c>
    </row>
    <row r="204" spans="1:10" ht="51" x14ac:dyDescent="0.2">
      <c r="A204" s="8">
        <v>6150</v>
      </c>
      <c r="B204" s="8">
        <v>590</v>
      </c>
      <c r="C204" s="8" t="s">
        <v>45</v>
      </c>
      <c r="D204" s="9">
        <v>2</v>
      </c>
      <c r="E204" s="10" t="s">
        <v>489</v>
      </c>
      <c r="F204" s="11"/>
      <c r="G204" s="12">
        <f t="shared" si="10"/>
        <v>67000</v>
      </c>
      <c r="H204" s="12">
        <f t="shared" si="11"/>
        <v>33000</v>
      </c>
      <c r="I204" s="13">
        <v>100000</v>
      </c>
      <c r="J204" s="14">
        <f>50000*2</f>
        <v>100000</v>
      </c>
    </row>
    <row r="205" spans="1:10" ht="17" x14ac:dyDescent="0.2">
      <c r="A205" s="8" t="s">
        <v>152</v>
      </c>
      <c r="B205" s="8">
        <v>130</v>
      </c>
      <c r="C205" s="8" t="s">
        <v>49</v>
      </c>
      <c r="D205" s="9">
        <v>14</v>
      </c>
      <c r="E205" s="10" t="s">
        <v>153</v>
      </c>
      <c r="F205" s="52"/>
      <c r="G205" s="12">
        <f t="shared" si="10"/>
        <v>9525</v>
      </c>
      <c r="H205" s="12">
        <f t="shared" si="11"/>
        <v>4691</v>
      </c>
      <c r="I205" s="13">
        <f>7108*2</f>
        <v>14216</v>
      </c>
      <c r="J205" s="14">
        <v>14216</v>
      </c>
    </row>
    <row r="206" spans="1:10" ht="34" x14ac:dyDescent="0.2">
      <c r="A206" s="8" t="s">
        <v>152</v>
      </c>
      <c r="B206" s="8">
        <v>220</v>
      </c>
      <c r="C206" s="8" t="s">
        <v>49</v>
      </c>
      <c r="D206" s="9">
        <v>14</v>
      </c>
      <c r="E206" s="10" t="s">
        <v>154</v>
      </c>
      <c r="F206" s="52"/>
      <c r="G206" s="12">
        <f t="shared" si="10"/>
        <v>729</v>
      </c>
      <c r="H206" s="12">
        <f t="shared" si="11"/>
        <v>359</v>
      </c>
      <c r="I206" s="13">
        <f>544*2</f>
        <v>1088</v>
      </c>
      <c r="J206" s="14">
        <v>1088</v>
      </c>
    </row>
    <row r="207" spans="1:10" ht="17" x14ac:dyDescent="0.2">
      <c r="A207" s="8" t="s">
        <v>152</v>
      </c>
      <c r="B207" s="8">
        <v>240</v>
      </c>
      <c r="C207" s="8" t="s">
        <v>49</v>
      </c>
      <c r="D207" s="9">
        <v>14</v>
      </c>
      <c r="E207" s="10" t="s">
        <v>155</v>
      </c>
      <c r="F207" s="52"/>
      <c r="G207" s="12">
        <f t="shared" si="10"/>
        <v>109</v>
      </c>
      <c r="H207" s="12">
        <f t="shared" si="11"/>
        <v>53</v>
      </c>
      <c r="I207" s="13">
        <f>81*2</f>
        <v>162</v>
      </c>
      <c r="J207" s="14">
        <v>162</v>
      </c>
    </row>
    <row r="208" spans="1:10" ht="17" x14ac:dyDescent="0.2">
      <c r="A208" s="8" t="s">
        <v>156</v>
      </c>
      <c r="B208" s="8">
        <v>110</v>
      </c>
      <c r="C208" s="8" t="s">
        <v>49</v>
      </c>
      <c r="D208" s="9">
        <v>14</v>
      </c>
      <c r="E208" s="10" t="s">
        <v>157</v>
      </c>
      <c r="F208" s="52"/>
      <c r="G208" s="12">
        <f t="shared" si="10"/>
        <v>1905</v>
      </c>
      <c r="H208" s="12">
        <f t="shared" si="11"/>
        <v>939</v>
      </c>
      <c r="I208" s="13">
        <f>1422*2</f>
        <v>2844</v>
      </c>
      <c r="J208" s="14">
        <v>2844</v>
      </c>
    </row>
    <row r="209" spans="1:10" ht="17" x14ac:dyDescent="0.2">
      <c r="A209" s="8" t="s">
        <v>156</v>
      </c>
      <c r="B209" s="8">
        <v>130</v>
      </c>
      <c r="C209" s="8" t="s">
        <v>49</v>
      </c>
      <c r="D209" s="9">
        <v>14</v>
      </c>
      <c r="E209" s="10" t="s">
        <v>158</v>
      </c>
      <c r="F209" s="52"/>
      <c r="G209" s="12">
        <f t="shared" si="10"/>
        <v>87620</v>
      </c>
      <c r="H209" s="12">
        <f t="shared" si="11"/>
        <v>43156</v>
      </c>
      <c r="I209" s="13">
        <f>65388*2</f>
        <v>130776</v>
      </c>
      <c r="J209" s="14">
        <v>130776</v>
      </c>
    </row>
    <row r="210" spans="1:10" ht="17" x14ac:dyDescent="0.2">
      <c r="A210" s="8" t="s">
        <v>156</v>
      </c>
      <c r="B210" s="8">
        <v>150</v>
      </c>
      <c r="C210" s="8" t="s">
        <v>49</v>
      </c>
      <c r="D210" s="9">
        <v>14</v>
      </c>
      <c r="E210" s="10" t="s">
        <v>159</v>
      </c>
      <c r="F210" s="52"/>
      <c r="G210" s="12">
        <f t="shared" si="10"/>
        <v>15238</v>
      </c>
      <c r="H210" s="12">
        <f t="shared" si="11"/>
        <v>7506</v>
      </c>
      <c r="I210" s="13">
        <f>11372*2</f>
        <v>22744</v>
      </c>
      <c r="J210" s="14">
        <v>22744</v>
      </c>
    </row>
    <row r="211" spans="1:10" ht="17" x14ac:dyDescent="0.2">
      <c r="A211" s="9" t="s">
        <v>156</v>
      </c>
      <c r="B211" s="8">
        <v>160</v>
      </c>
      <c r="C211" s="8" t="s">
        <v>49</v>
      </c>
      <c r="D211" s="9">
        <v>14</v>
      </c>
      <c r="E211" s="10" t="s">
        <v>160</v>
      </c>
      <c r="F211" s="52"/>
      <c r="G211" s="12">
        <f t="shared" si="10"/>
        <v>9525</v>
      </c>
      <c r="H211" s="12">
        <f t="shared" si="11"/>
        <v>4691</v>
      </c>
      <c r="I211" s="13">
        <f>7108*2</f>
        <v>14216</v>
      </c>
      <c r="J211" s="14">
        <v>14216</v>
      </c>
    </row>
    <row r="212" spans="1:10" ht="34" x14ac:dyDescent="0.2">
      <c r="A212" s="9" t="s">
        <v>156</v>
      </c>
      <c r="B212" s="8">
        <v>220</v>
      </c>
      <c r="C212" s="8" t="s">
        <v>49</v>
      </c>
      <c r="D212" s="9">
        <v>14</v>
      </c>
      <c r="E212" s="10" t="s">
        <v>161</v>
      </c>
      <c r="F212" s="52"/>
      <c r="G212" s="12">
        <f t="shared" si="10"/>
        <v>8744</v>
      </c>
      <c r="H212" s="12">
        <f t="shared" si="11"/>
        <v>4307</v>
      </c>
      <c r="I212" s="13">
        <f>6525*2</f>
        <v>13050</v>
      </c>
      <c r="J212" s="14">
        <v>13050</v>
      </c>
    </row>
    <row r="213" spans="1:10" ht="17" x14ac:dyDescent="0.2">
      <c r="A213" s="9" t="s">
        <v>156</v>
      </c>
      <c r="B213" s="8">
        <v>240</v>
      </c>
      <c r="C213" s="8" t="s">
        <v>49</v>
      </c>
      <c r="D213" s="9">
        <v>14</v>
      </c>
      <c r="E213" s="10" t="s">
        <v>162</v>
      </c>
      <c r="F213" s="52"/>
      <c r="G213" s="12">
        <f t="shared" ref="G213:G275" si="16">ROUND(I213*0.67,0)</f>
        <v>1292</v>
      </c>
      <c r="H213" s="12">
        <f t="shared" si="11"/>
        <v>636</v>
      </c>
      <c r="I213" s="13">
        <f>964*2</f>
        <v>1928</v>
      </c>
      <c r="J213" s="14">
        <v>1928</v>
      </c>
    </row>
    <row r="214" spans="1:10" ht="85" x14ac:dyDescent="0.2">
      <c r="A214" s="9">
        <v>6300</v>
      </c>
      <c r="B214" s="8">
        <v>110</v>
      </c>
      <c r="C214" s="8" t="s">
        <v>49</v>
      </c>
      <c r="D214" s="9">
        <v>1</v>
      </c>
      <c r="E214" s="10" t="s">
        <v>370</v>
      </c>
      <c r="F214" s="11">
        <v>1</v>
      </c>
      <c r="G214" s="12">
        <f t="shared" si="16"/>
        <v>111165</v>
      </c>
      <c r="H214" s="12">
        <f t="shared" si="11"/>
        <v>54753</v>
      </c>
      <c r="I214" s="13">
        <v>165918</v>
      </c>
      <c r="J214" s="14">
        <f>ROUNDUP(79352*1.03,0)+ROUNDUP(81733*1.03,0)</f>
        <v>165918</v>
      </c>
    </row>
    <row r="215" spans="1:10" ht="34" x14ac:dyDescent="0.2">
      <c r="A215" s="9">
        <v>6300</v>
      </c>
      <c r="B215" s="8">
        <v>110</v>
      </c>
      <c r="C215" s="8" t="s">
        <v>49</v>
      </c>
      <c r="D215" s="9">
        <v>10</v>
      </c>
      <c r="E215" s="10" t="s">
        <v>371</v>
      </c>
      <c r="F215" s="11">
        <v>1</v>
      </c>
      <c r="G215" s="12">
        <f t="shared" si="16"/>
        <v>234966</v>
      </c>
      <c r="H215" s="12">
        <f t="shared" si="11"/>
        <v>115730</v>
      </c>
      <c r="I215" s="13">
        <v>350696</v>
      </c>
      <c r="J215" s="14">
        <f>(86378+88970)*2</f>
        <v>350696</v>
      </c>
    </row>
    <row r="216" spans="1:10" ht="34" x14ac:dyDescent="0.2">
      <c r="A216" s="9" t="s">
        <v>163</v>
      </c>
      <c r="B216" s="8">
        <v>110</v>
      </c>
      <c r="C216" s="8" t="s">
        <v>49</v>
      </c>
      <c r="D216" s="9">
        <v>14</v>
      </c>
      <c r="E216" s="10" t="s">
        <v>164</v>
      </c>
      <c r="F216" s="11"/>
      <c r="G216" s="12">
        <f t="shared" si="16"/>
        <v>15715</v>
      </c>
      <c r="H216" s="12">
        <f t="shared" si="11"/>
        <v>7740</v>
      </c>
      <c r="I216" s="13">
        <f>23455*1</f>
        <v>23455</v>
      </c>
      <c r="J216" s="14">
        <v>23455</v>
      </c>
    </row>
    <row r="217" spans="1:10" ht="68" x14ac:dyDescent="0.2">
      <c r="A217" s="8">
        <v>6300</v>
      </c>
      <c r="B217" s="8">
        <v>120</v>
      </c>
      <c r="C217" s="8">
        <v>1</v>
      </c>
      <c r="D217" s="9">
        <v>10</v>
      </c>
      <c r="E217" s="10" t="s">
        <v>372</v>
      </c>
      <c r="F217" s="11"/>
      <c r="G217" s="12">
        <f t="shared" si="16"/>
        <v>15075000</v>
      </c>
      <c r="H217" s="12">
        <f t="shared" si="11"/>
        <v>7425000</v>
      </c>
      <c r="I217" s="13">
        <v>22500000</v>
      </c>
      <c r="J217" s="14">
        <f>2500*25*5*36*2</f>
        <v>22500000</v>
      </c>
    </row>
    <row r="218" spans="1:10" ht="68" x14ac:dyDescent="0.2">
      <c r="A218" s="8">
        <v>6300</v>
      </c>
      <c r="B218" s="8">
        <v>130</v>
      </c>
      <c r="C218" s="8">
        <v>1</v>
      </c>
      <c r="D218" s="9">
        <v>14</v>
      </c>
      <c r="E218" s="10" t="s">
        <v>374</v>
      </c>
      <c r="F218" s="11">
        <v>3</v>
      </c>
      <c r="G218" s="12">
        <f t="shared" si="16"/>
        <v>189123</v>
      </c>
      <c r="H218" s="12">
        <f t="shared" si="11"/>
        <v>93150</v>
      </c>
      <c r="I218" s="13">
        <v>282273</v>
      </c>
      <c r="J218" s="14">
        <f>(46350+47741)*3</f>
        <v>282273</v>
      </c>
    </row>
    <row r="219" spans="1:10" ht="51" x14ac:dyDescent="0.2">
      <c r="A219" s="8">
        <v>6300</v>
      </c>
      <c r="B219" s="8">
        <v>130</v>
      </c>
      <c r="C219" s="50" t="s">
        <v>67</v>
      </c>
      <c r="D219" s="9">
        <v>2</v>
      </c>
      <c r="E219" s="10" t="s">
        <v>373</v>
      </c>
      <c r="F219" s="11">
        <v>1</v>
      </c>
      <c r="G219" s="12">
        <f t="shared" si="16"/>
        <v>127970</v>
      </c>
      <c r="H219" s="12">
        <f t="shared" si="11"/>
        <v>63030</v>
      </c>
      <c r="I219" s="13">
        <v>191000</v>
      </c>
      <c r="J219" s="14">
        <f>106000+85000</f>
        <v>191000</v>
      </c>
    </row>
    <row r="220" spans="1:10" ht="34" x14ac:dyDescent="0.2">
      <c r="A220" s="8" t="s">
        <v>163</v>
      </c>
      <c r="B220" s="8">
        <v>130</v>
      </c>
      <c r="C220" s="8" t="s">
        <v>49</v>
      </c>
      <c r="D220" s="9">
        <v>14</v>
      </c>
      <c r="E220" s="10" t="s">
        <v>165</v>
      </c>
      <c r="F220" s="11"/>
      <c r="G220" s="12">
        <f t="shared" si="16"/>
        <v>67619</v>
      </c>
      <c r="H220" s="12">
        <f t="shared" si="11"/>
        <v>33305</v>
      </c>
      <c r="I220" s="13">
        <f>50462*2</f>
        <v>100924</v>
      </c>
      <c r="J220" s="14">
        <v>100924</v>
      </c>
    </row>
    <row r="221" spans="1:10" ht="51" x14ac:dyDescent="0.2">
      <c r="A221" s="8">
        <v>6300</v>
      </c>
      <c r="B221" s="8">
        <v>160</v>
      </c>
      <c r="C221" s="8" t="s">
        <v>49</v>
      </c>
      <c r="D221" s="9">
        <v>12</v>
      </c>
      <c r="E221" s="10" t="s">
        <v>375</v>
      </c>
      <c r="F221" s="11">
        <v>1</v>
      </c>
      <c r="G221" s="12">
        <f t="shared" si="16"/>
        <v>81055</v>
      </c>
      <c r="H221" s="12">
        <f t="shared" ref="H221:H283" si="17">ROUND(I221*0.33,0)</f>
        <v>39923</v>
      </c>
      <c r="I221" s="13">
        <v>120978</v>
      </c>
      <c r="J221" s="14">
        <f>59595+61383</f>
        <v>120978</v>
      </c>
    </row>
    <row r="222" spans="1:10" ht="34" x14ac:dyDescent="0.2">
      <c r="A222" s="8" t="s">
        <v>163</v>
      </c>
      <c r="B222" s="8">
        <v>160</v>
      </c>
      <c r="C222" s="8" t="s">
        <v>49</v>
      </c>
      <c r="D222" s="9">
        <v>14</v>
      </c>
      <c r="E222" s="10" t="s">
        <v>166</v>
      </c>
      <c r="F222" s="11"/>
      <c r="G222" s="12">
        <f t="shared" si="16"/>
        <v>54286</v>
      </c>
      <c r="H222" s="12">
        <f t="shared" si="17"/>
        <v>26738</v>
      </c>
      <c r="I222" s="13">
        <f>40512*2</f>
        <v>81024</v>
      </c>
      <c r="J222" s="14">
        <v>81024</v>
      </c>
    </row>
    <row r="223" spans="1:10" ht="17" x14ac:dyDescent="0.2">
      <c r="A223" s="8">
        <v>6300</v>
      </c>
      <c r="B223" s="8">
        <v>210</v>
      </c>
      <c r="C223" s="8">
        <v>1</v>
      </c>
      <c r="D223" s="9">
        <v>10</v>
      </c>
      <c r="E223" s="33" t="s">
        <v>381</v>
      </c>
      <c r="F223" s="11"/>
      <c r="G223" s="12">
        <f t="shared" si="16"/>
        <v>1720058</v>
      </c>
      <c r="H223" s="12">
        <f t="shared" si="17"/>
        <v>847193</v>
      </c>
      <c r="I223" s="13">
        <v>2567250</v>
      </c>
      <c r="J223" s="14">
        <f>ROUNDUP(Retirement*$J$217,0)</f>
        <v>2567250</v>
      </c>
    </row>
    <row r="224" spans="1:10" ht="17" x14ac:dyDescent="0.2">
      <c r="A224" s="8">
        <v>6300</v>
      </c>
      <c r="B224" s="8">
        <v>210</v>
      </c>
      <c r="C224" s="8">
        <v>1</v>
      </c>
      <c r="D224" s="9">
        <v>14</v>
      </c>
      <c r="E224" s="33" t="s">
        <v>380</v>
      </c>
      <c r="F224" s="11"/>
      <c r="G224" s="12">
        <f t="shared" si="16"/>
        <v>21579</v>
      </c>
      <c r="H224" s="12">
        <f t="shared" si="17"/>
        <v>10629</v>
      </c>
      <c r="I224" s="13">
        <v>32208</v>
      </c>
      <c r="J224" s="14">
        <f>ROUNDUP(Retirement*$J$218,0)</f>
        <v>32208</v>
      </c>
    </row>
    <row r="225" spans="1:19" ht="17" x14ac:dyDescent="0.2">
      <c r="A225" s="8">
        <v>6300</v>
      </c>
      <c r="B225" s="8">
        <v>210</v>
      </c>
      <c r="C225" s="8" t="s">
        <v>49</v>
      </c>
      <c r="D225" s="9">
        <v>1</v>
      </c>
      <c r="E225" s="10" t="s">
        <v>376</v>
      </c>
      <c r="F225" s="11"/>
      <c r="G225" s="12">
        <f t="shared" si="16"/>
        <v>12684</v>
      </c>
      <c r="H225" s="12">
        <f t="shared" si="17"/>
        <v>6248</v>
      </c>
      <c r="I225" s="13">
        <v>18932</v>
      </c>
      <c r="J225" s="14">
        <f>ROUNDUP($J$214*Retirement,0)</f>
        <v>18932</v>
      </c>
    </row>
    <row r="226" spans="1:19" ht="34" x14ac:dyDescent="0.2">
      <c r="A226" s="8">
        <v>6300</v>
      </c>
      <c r="B226" s="8">
        <v>210</v>
      </c>
      <c r="C226" s="8" t="s">
        <v>49</v>
      </c>
      <c r="D226" s="9">
        <v>2</v>
      </c>
      <c r="E226" s="10" t="s">
        <v>377</v>
      </c>
      <c r="F226" s="11"/>
      <c r="G226" s="12">
        <f t="shared" si="16"/>
        <v>14602</v>
      </c>
      <c r="H226" s="12">
        <f t="shared" si="17"/>
        <v>7192</v>
      </c>
      <c r="I226" s="13">
        <v>21794</v>
      </c>
      <c r="J226" s="14">
        <f>ROUNDUP(Retirement*$J$219,0)</f>
        <v>21794</v>
      </c>
    </row>
    <row r="227" spans="1:19" ht="34" x14ac:dyDescent="0.2">
      <c r="A227" s="8">
        <v>6300</v>
      </c>
      <c r="B227" s="8">
        <v>210</v>
      </c>
      <c r="C227" s="8" t="s">
        <v>49</v>
      </c>
      <c r="D227" s="9">
        <v>10</v>
      </c>
      <c r="E227" s="10" t="s">
        <v>378</v>
      </c>
      <c r="F227" s="11"/>
      <c r="G227" s="12">
        <f t="shared" si="16"/>
        <v>26810</v>
      </c>
      <c r="H227" s="12">
        <f t="shared" si="17"/>
        <v>13205</v>
      </c>
      <c r="I227" s="13">
        <v>40015</v>
      </c>
      <c r="J227" s="14">
        <f>ROUNDUP(Retirement*$J$215,0)</f>
        <v>40015</v>
      </c>
    </row>
    <row r="228" spans="1:19" ht="34" x14ac:dyDescent="0.2">
      <c r="A228" s="8">
        <v>6300</v>
      </c>
      <c r="B228" s="8">
        <v>210</v>
      </c>
      <c r="C228" s="8" t="s">
        <v>49</v>
      </c>
      <c r="D228" s="9">
        <v>12</v>
      </c>
      <c r="E228" s="10" t="s">
        <v>379</v>
      </c>
      <c r="F228" s="11"/>
      <c r="G228" s="12">
        <f t="shared" si="16"/>
        <v>9249</v>
      </c>
      <c r="H228" s="12">
        <f t="shared" si="17"/>
        <v>4555</v>
      </c>
      <c r="I228" s="13">
        <v>13804</v>
      </c>
      <c r="J228" s="14">
        <f>ROUNDUP(Retirement*$J$221,0)</f>
        <v>13804</v>
      </c>
    </row>
    <row r="229" spans="1:19" ht="34" x14ac:dyDescent="0.2">
      <c r="A229" s="8">
        <v>6300</v>
      </c>
      <c r="B229" s="8">
        <v>220</v>
      </c>
      <c r="C229" s="8">
        <v>1</v>
      </c>
      <c r="D229" s="9">
        <v>10</v>
      </c>
      <c r="E229" s="10" t="s">
        <v>382</v>
      </c>
      <c r="F229" s="11"/>
      <c r="G229" s="12">
        <f t="shared" si="16"/>
        <v>934650</v>
      </c>
      <c r="H229" s="12">
        <f t="shared" si="17"/>
        <v>460350</v>
      </c>
      <c r="I229" s="14">
        <f>ROUNDUP(FICA*$J$217,0)</f>
        <v>1395000</v>
      </c>
      <c r="J229" s="14">
        <f>ROUNDUP(FICA*$J$217,0)</f>
        <v>1395000</v>
      </c>
    </row>
    <row r="230" spans="1:19" ht="17" x14ac:dyDescent="0.2">
      <c r="A230" s="8">
        <v>6300</v>
      </c>
      <c r="B230" s="8">
        <v>220</v>
      </c>
      <c r="C230" s="8">
        <v>1</v>
      </c>
      <c r="D230" s="9">
        <v>10</v>
      </c>
      <c r="E230" s="10" t="s">
        <v>561</v>
      </c>
      <c r="F230" s="11"/>
      <c r="G230" s="12">
        <f t="shared" si="16"/>
        <v>218588</v>
      </c>
      <c r="H230" s="12">
        <f t="shared" si="17"/>
        <v>107663</v>
      </c>
      <c r="I230" s="13">
        <v>326250</v>
      </c>
      <c r="J230" s="14">
        <f>ROUNDUP(Medicare*J217,0)</f>
        <v>326250</v>
      </c>
    </row>
    <row r="231" spans="1:19" ht="17" x14ac:dyDescent="0.2">
      <c r="A231" s="8">
        <v>6300</v>
      </c>
      <c r="B231" s="8">
        <v>220</v>
      </c>
      <c r="C231" s="8">
        <v>1</v>
      </c>
      <c r="D231" s="9">
        <v>14</v>
      </c>
      <c r="E231" s="10" t="s">
        <v>53</v>
      </c>
      <c r="F231" s="11"/>
      <c r="G231" s="12">
        <f t="shared" si="16"/>
        <v>11726</v>
      </c>
      <c r="H231" s="12">
        <f t="shared" si="17"/>
        <v>5775</v>
      </c>
      <c r="I231" s="13">
        <v>17501</v>
      </c>
      <c r="J231" s="14">
        <f>ROUNDUP($J$218*FICA,0)</f>
        <v>17501</v>
      </c>
    </row>
    <row r="232" spans="1:19" ht="34" x14ac:dyDescent="0.2">
      <c r="A232" s="39">
        <v>6300</v>
      </c>
      <c r="B232" s="39">
        <v>220</v>
      </c>
      <c r="C232" s="39">
        <v>1</v>
      </c>
      <c r="D232" s="9">
        <v>14</v>
      </c>
      <c r="E232" s="10" t="s">
        <v>389</v>
      </c>
      <c r="F232" s="40"/>
      <c r="G232" s="41">
        <f t="shared" si="16"/>
        <v>2742</v>
      </c>
      <c r="H232" s="41">
        <f t="shared" si="17"/>
        <v>1351</v>
      </c>
      <c r="I232" s="42">
        <v>4093</v>
      </c>
      <c r="J232" s="14">
        <f>ROUNDUP(Medicare*$J$218,0)</f>
        <v>4093</v>
      </c>
      <c r="S232" s="80"/>
    </row>
    <row r="233" spans="1:19" ht="17" x14ac:dyDescent="0.2">
      <c r="A233" s="8">
        <v>6300</v>
      </c>
      <c r="B233" s="8">
        <v>220</v>
      </c>
      <c r="C233" s="8" t="s">
        <v>49</v>
      </c>
      <c r="D233" s="9">
        <v>1</v>
      </c>
      <c r="E233" s="10" t="s">
        <v>384</v>
      </c>
      <c r="F233" s="11"/>
      <c r="G233" s="12">
        <f t="shared" si="16"/>
        <v>6892</v>
      </c>
      <c r="H233" s="12">
        <f t="shared" si="17"/>
        <v>3395</v>
      </c>
      <c r="I233" s="13">
        <v>10287</v>
      </c>
      <c r="J233" s="14">
        <f>ROUNDUP(FICA*$J$214,0)</f>
        <v>10287</v>
      </c>
    </row>
    <row r="234" spans="1:19" ht="34" x14ac:dyDescent="0.2">
      <c r="A234" s="8">
        <v>6300</v>
      </c>
      <c r="B234" s="8">
        <v>220</v>
      </c>
      <c r="C234" s="8" t="s">
        <v>49</v>
      </c>
      <c r="D234" s="9">
        <v>1</v>
      </c>
      <c r="E234" s="10" t="s">
        <v>385</v>
      </c>
      <c r="F234" s="11"/>
      <c r="G234" s="12">
        <f t="shared" si="16"/>
        <v>1612</v>
      </c>
      <c r="H234" s="12">
        <f t="shared" si="17"/>
        <v>794</v>
      </c>
      <c r="I234" s="13">
        <v>2406</v>
      </c>
      <c r="J234" s="14">
        <f>ROUNDUP(Medicare*$J$214,)</f>
        <v>2406</v>
      </c>
    </row>
    <row r="235" spans="1:19" ht="17" x14ac:dyDescent="0.2">
      <c r="A235" s="8">
        <v>6300</v>
      </c>
      <c r="B235" s="8">
        <v>220</v>
      </c>
      <c r="C235" s="8" t="s">
        <v>49</v>
      </c>
      <c r="D235" s="9">
        <v>2</v>
      </c>
      <c r="E235" s="10" t="s">
        <v>51</v>
      </c>
      <c r="F235" s="11"/>
      <c r="G235" s="12">
        <f t="shared" si="16"/>
        <v>7934</v>
      </c>
      <c r="H235" s="12">
        <f t="shared" si="17"/>
        <v>3908</v>
      </c>
      <c r="I235" s="13">
        <v>11842</v>
      </c>
      <c r="J235" s="14">
        <f>ROUNDUP(FICA*$J$219,0)</f>
        <v>11842</v>
      </c>
    </row>
    <row r="236" spans="1:19" ht="34" x14ac:dyDescent="0.2">
      <c r="A236" s="8">
        <v>6300</v>
      </c>
      <c r="B236" s="8">
        <v>220</v>
      </c>
      <c r="C236" s="8" t="s">
        <v>49</v>
      </c>
      <c r="D236" s="9">
        <v>2</v>
      </c>
      <c r="E236" s="10" t="s">
        <v>386</v>
      </c>
      <c r="F236" s="11"/>
      <c r="G236" s="12">
        <f t="shared" si="16"/>
        <v>1856</v>
      </c>
      <c r="H236" s="12">
        <f t="shared" si="17"/>
        <v>914</v>
      </c>
      <c r="I236" s="13">
        <v>2770</v>
      </c>
      <c r="J236" s="14">
        <f>ROUNDUP(Medicare*$J$219,0)</f>
        <v>2770</v>
      </c>
    </row>
    <row r="237" spans="1:19" ht="34" x14ac:dyDescent="0.2">
      <c r="A237" s="8">
        <v>6300</v>
      </c>
      <c r="B237" s="8">
        <v>220</v>
      </c>
      <c r="C237" s="8" t="s">
        <v>49</v>
      </c>
      <c r="D237" s="9">
        <v>10</v>
      </c>
      <c r="E237" s="10" t="s">
        <v>596</v>
      </c>
      <c r="F237" s="53"/>
      <c r="G237" s="12">
        <f t="shared" si="16"/>
        <v>14568</v>
      </c>
      <c r="H237" s="12">
        <f t="shared" si="17"/>
        <v>7176</v>
      </c>
      <c r="I237" s="13">
        <v>21744</v>
      </c>
      <c r="J237" s="14">
        <f>ROUNDUP(FICA*$J$215,0)</f>
        <v>21744</v>
      </c>
    </row>
    <row r="238" spans="1:19" ht="34" x14ac:dyDescent="0.2">
      <c r="A238" s="8">
        <v>6300</v>
      </c>
      <c r="B238" s="8">
        <v>220</v>
      </c>
      <c r="C238" s="8" t="s">
        <v>49</v>
      </c>
      <c r="D238" s="9">
        <v>10</v>
      </c>
      <c r="E238" s="10" t="s">
        <v>387</v>
      </c>
      <c r="F238" s="53"/>
      <c r="G238" s="12">
        <f t="shared" si="16"/>
        <v>3408</v>
      </c>
      <c r="H238" s="12">
        <f t="shared" si="17"/>
        <v>1678</v>
      </c>
      <c r="I238" s="13">
        <v>5086</v>
      </c>
      <c r="J238" s="14">
        <f>ROUNDUP(Medicare*$J$215,0)</f>
        <v>5086</v>
      </c>
    </row>
    <row r="239" spans="1:19" ht="17" x14ac:dyDescent="0.2">
      <c r="A239" s="8">
        <v>6300</v>
      </c>
      <c r="B239" s="8">
        <v>220</v>
      </c>
      <c r="C239" s="8" t="s">
        <v>49</v>
      </c>
      <c r="D239" s="9">
        <v>12</v>
      </c>
      <c r="E239" s="10" t="s">
        <v>52</v>
      </c>
      <c r="F239" s="53"/>
      <c r="G239" s="12">
        <f t="shared" si="16"/>
        <v>5026</v>
      </c>
      <c r="H239" s="12">
        <f t="shared" si="17"/>
        <v>2475</v>
      </c>
      <c r="I239" s="13">
        <v>7501</v>
      </c>
      <c r="J239" s="14">
        <f>ROUNDUP(FICA*$J$221,0)</f>
        <v>7501</v>
      </c>
    </row>
    <row r="240" spans="1:19" ht="34" x14ac:dyDescent="0.2">
      <c r="A240" s="8">
        <v>6300</v>
      </c>
      <c r="B240" s="8">
        <v>220</v>
      </c>
      <c r="C240" s="8" t="s">
        <v>49</v>
      </c>
      <c r="D240" s="9">
        <v>12</v>
      </c>
      <c r="E240" s="10" t="s">
        <v>388</v>
      </c>
      <c r="F240" s="53"/>
      <c r="G240" s="12">
        <f t="shared" si="16"/>
        <v>1176</v>
      </c>
      <c r="H240" s="12">
        <f t="shared" si="17"/>
        <v>579</v>
      </c>
      <c r="I240" s="13">
        <v>1755</v>
      </c>
      <c r="J240" s="14">
        <f>ROUNDUP(Medicare*$J$221,0)</f>
        <v>1755</v>
      </c>
    </row>
    <row r="241" spans="1:10" ht="17" x14ac:dyDescent="0.2">
      <c r="A241" s="8" t="s">
        <v>163</v>
      </c>
      <c r="B241" s="8">
        <v>220</v>
      </c>
      <c r="C241" s="8" t="s">
        <v>49</v>
      </c>
      <c r="D241" s="9">
        <v>14</v>
      </c>
      <c r="E241" s="10" t="s">
        <v>167</v>
      </c>
      <c r="F241" s="53"/>
      <c r="G241" s="12">
        <f t="shared" si="16"/>
        <v>6892</v>
      </c>
      <c r="H241" s="12">
        <f t="shared" si="17"/>
        <v>3395</v>
      </c>
      <c r="I241" s="13">
        <v>10287</v>
      </c>
      <c r="J241" s="14">
        <f>ROUNDUP(FICA*$J$214,0)</f>
        <v>10287</v>
      </c>
    </row>
    <row r="242" spans="1:10" ht="17" x14ac:dyDescent="0.2">
      <c r="A242" s="8">
        <v>6300</v>
      </c>
      <c r="B242" s="8">
        <v>231</v>
      </c>
      <c r="C242" s="8">
        <v>1</v>
      </c>
      <c r="D242" s="9">
        <v>14</v>
      </c>
      <c r="E242" s="33" t="s">
        <v>394</v>
      </c>
      <c r="F242" s="53"/>
      <c r="G242" s="12">
        <f t="shared" si="16"/>
        <v>32321</v>
      </c>
      <c r="H242" s="12">
        <f t="shared" si="17"/>
        <v>15920</v>
      </c>
      <c r="I242" s="13">
        <v>48241</v>
      </c>
      <c r="J242" s="14">
        <f>ROUNDUP(Health*$J$218,0)</f>
        <v>48241</v>
      </c>
    </row>
    <row r="243" spans="1:10" ht="34" x14ac:dyDescent="0.2">
      <c r="A243" s="8">
        <v>6300</v>
      </c>
      <c r="B243" s="8">
        <v>231</v>
      </c>
      <c r="C243" s="8" t="s">
        <v>49</v>
      </c>
      <c r="D243" s="9">
        <v>1</v>
      </c>
      <c r="E243" s="10" t="s">
        <v>390</v>
      </c>
      <c r="F243" s="11"/>
      <c r="G243" s="12">
        <f t="shared" si="16"/>
        <v>18999</v>
      </c>
      <c r="H243" s="12">
        <f t="shared" si="17"/>
        <v>9357</v>
      </c>
      <c r="I243" s="13">
        <v>28356</v>
      </c>
      <c r="J243" s="14">
        <f>ROUNDUP(Health*$J$214,0)</f>
        <v>28356</v>
      </c>
    </row>
    <row r="244" spans="1:10" ht="34" x14ac:dyDescent="0.2">
      <c r="A244" s="8">
        <v>6300</v>
      </c>
      <c r="B244" s="8">
        <v>231</v>
      </c>
      <c r="C244" s="8" t="s">
        <v>49</v>
      </c>
      <c r="D244" s="9">
        <v>2</v>
      </c>
      <c r="E244" s="10" t="s">
        <v>391</v>
      </c>
      <c r="F244" s="11"/>
      <c r="G244" s="12">
        <f t="shared" si="16"/>
        <v>21870</v>
      </c>
      <c r="H244" s="12">
        <f t="shared" si="17"/>
        <v>10772</v>
      </c>
      <c r="I244" s="13">
        <v>32642</v>
      </c>
      <c r="J244" s="14">
        <f>ROUNDUP($J$219*Health,0)</f>
        <v>32642</v>
      </c>
    </row>
    <row r="245" spans="1:10" ht="34" x14ac:dyDescent="0.2">
      <c r="A245" s="8">
        <v>6300</v>
      </c>
      <c r="B245" s="8">
        <v>231</v>
      </c>
      <c r="C245" s="8" t="s">
        <v>49</v>
      </c>
      <c r="D245" s="9">
        <v>10</v>
      </c>
      <c r="E245" s="10" t="s">
        <v>392</v>
      </c>
      <c r="F245" s="11"/>
      <c r="G245" s="12">
        <f t="shared" si="16"/>
        <v>40156</v>
      </c>
      <c r="H245" s="12">
        <f t="shared" si="17"/>
        <v>19778</v>
      </c>
      <c r="I245" s="13">
        <v>59934</v>
      </c>
      <c r="J245" s="14">
        <f>ROUNDUP($J$215*Health,0)</f>
        <v>59934</v>
      </c>
    </row>
    <row r="246" spans="1:10" ht="34" x14ac:dyDescent="0.2">
      <c r="A246" s="8">
        <v>6300</v>
      </c>
      <c r="B246" s="8">
        <v>231</v>
      </c>
      <c r="C246" s="8" t="s">
        <v>49</v>
      </c>
      <c r="D246" s="9">
        <v>12</v>
      </c>
      <c r="E246" s="10" t="s">
        <v>393</v>
      </c>
      <c r="F246" s="11"/>
      <c r="G246" s="12">
        <f t="shared" si="16"/>
        <v>13853</v>
      </c>
      <c r="H246" s="12">
        <f t="shared" si="17"/>
        <v>6823</v>
      </c>
      <c r="I246" s="13">
        <v>20676</v>
      </c>
      <c r="J246" s="14">
        <f>ROUNDUP($J$221*Health,0)</f>
        <v>20676</v>
      </c>
    </row>
    <row r="247" spans="1:10" ht="34" x14ac:dyDescent="0.2">
      <c r="A247" s="8">
        <v>6300</v>
      </c>
      <c r="B247" s="8">
        <v>232</v>
      </c>
      <c r="C247" s="8">
        <v>1</v>
      </c>
      <c r="D247" s="9">
        <v>14</v>
      </c>
      <c r="E247" s="10" t="s">
        <v>397</v>
      </c>
      <c r="F247" s="11"/>
      <c r="G247" s="12">
        <f t="shared" si="16"/>
        <v>417</v>
      </c>
      <c r="H247" s="12">
        <f t="shared" si="17"/>
        <v>205</v>
      </c>
      <c r="I247" s="13">
        <v>622</v>
      </c>
      <c r="J247" s="14">
        <f>ROUNDUP(Life*$J$218,0)</f>
        <v>622</v>
      </c>
    </row>
    <row r="248" spans="1:10" ht="34" x14ac:dyDescent="0.2">
      <c r="A248" s="8">
        <v>6300</v>
      </c>
      <c r="B248" s="8">
        <v>232</v>
      </c>
      <c r="C248" s="8" t="s">
        <v>49</v>
      </c>
      <c r="D248" s="9">
        <v>10</v>
      </c>
      <c r="E248" s="10" t="s">
        <v>396</v>
      </c>
      <c r="F248" s="11"/>
      <c r="G248" s="12">
        <f t="shared" si="16"/>
        <v>517</v>
      </c>
      <c r="H248" s="12">
        <f t="shared" si="17"/>
        <v>255</v>
      </c>
      <c r="I248" s="13">
        <v>772</v>
      </c>
      <c r="J248" s="14">
        <f>ROUNDUP($J$215*Life,0)</f>
        <v>772</v>
      </c>
    </row>
    <row r="249" spans="1:10" ht="34" x14ac:dyDescent="0.2">
      <c r="A249" s="8">
        <v>6300</v>
      </c>
      <c r="B249" s="8">
        <v>232</v>
      </c>
      <c r="C249" s="8" t="s">
        <v>49</v>
      </c>
      <c r="D249" s="9">
        <v>12</v>
      </c>
      <c r="E249" s="10" t="s">
        <v>395</v>
      </c>
      <c r="F249" s="53"/>
      <c r="G249" s="12">
        <f t="shared" si="16"/>
        <v>21</v>
      </c>
      <c r="H249" s="12">
        <f t="shared" si="17"/>
        <v>10</v>
      </c>
      <c r="I249" s="14">
        <f>ROUNDUP(Life*$I$228,0)</f>
        <v>31</v>
      </c>
      <c r="J249" s="14">
        <f>ROUNDUP(Life*$J$228,0)</f>
        <v>31</v>
      </c>
    </row>
    <row r="250" spans="1:10" ht="34" x14ac:dyDescent="0.2">
      <c r="A250" s="8">
        <v>6300</v>
      </c>
      <c r="B250" s="8">
        <v>240</v>
      </c>
      <c r="C250" s="8">
        <v>1</v>
      </c>
      <c r="D250" s="9">
        <v>10</v>
      </c>
      <c r="E250" s="10" t="s">
        <v>398</v>
      </c>
      <c r="F250" s="53"/>
      <c r="G250" s="12">
        <f t="shared" si="16"/>
        <v>170348</v>
      </c>
      <c r="H250" s="12">
        <f t="shared" si="17"/>
        <v>83903</v>
      </c>
      <c r="I250" s="13">
        <v>254250</v>
      </c>
      <c r="J250" s="14">
        <f>ROUNDUP(Work_Comp*$J$217,0)</f>
        <v>254250</v>
      </c>
    </row>
    <row r="251" spans="1:10" ht="17" x14ac:dyDescent="0.2">
      <c r="A251" s="8">
        <v>6300</v>
      </c>
      <c r="B251" s="8">
        <v>240</v>
      </c>
      <c r="C251" s="8">
        <v>1</v>
      </c>
      <c r="D251" s="9">
        <v>14</v>
      </c>
      <c r="E251" s="33" t="s">
        <v>401</v>
      </c>
      <c r="F251" s="53"/>
      <c r="G251" s="12">
        <f t="shared" si="16"/>
        <v>2137</v>
      </c>
      <c r="H251" s="12">
        <f t="shared" si="17"/>
        <v>1053</v>
      </c>
      <c r="I251" s="13">
        <v>3190</v>
      </c>
      <c r="J251" s="14">
        <f>ROUNDUP(Work_Comp*$J$218,0)</f>
        <v>3190</v>
      </c>
    </row>
    <row r="252" spans="1:10" ht="34" x14ac:dyDescent="0.2">
      <c r="A252" s="8">
        <v>6300</v>
      </c>
      <c r="B252" s="8">
        <v>240</v>
      </c>
      <c r="C252" s="8" t="s">
        <v>49</v>
      </c>
      <c r="D252" s="9">
        <v>1</v>
      </c>
      <c r="E252" s="10" t="s">
        <v>399</v>
      </c>
      <c r="F252" s="53"/>
      <c r="G252" s="12">
        <f t="shared" si="16"/>
        <v>1256</v>
      </c>
      <c r="H252" s="12">
        <f t="shared" si="17"/>
        <v>619</v>
      </c>
      <c r="I252" s="13">
        <v>1875</v>
      </c>
      <c r="J252" s="14">
        <f>ROUNDUP(Work_Comp*$J$214,0)</f>
        <v>1875</v>
      </c>
    </row>
    <row r="253" spans="1:10" ht="34" x14ac:dyDescent="0.2">
      <c r="A253" s="8">
        <v>6300</v>
      </c>
      <c r="B253" s="8">
        <v>240</v>
      </c>
      <c r="C253" s="8" t="s">
        <v>49</v>
      </c>
      <c r="D253" s="9">
        <v>2</v>
      </c>
      <c r="E253" s="10" t="s">
        <v>400</v>
      </c>
      <c r="F253" s="53"/>
      <c r="G253" s="12">
        <f t="shared" si="16"/>
        <v>1447</v>
      </c>
      <c r="H253" s="12">
        <f t="shared" si="17"/>
        <v>712</v>
      </c>
      <c r="I253" s="13">
        <v>2159</v>
      </c>
      <c r="J253" s="14">
        <f>ROUNDUP(Work_Comp*$J$219,0)</f>
        <v>2159</v>
      </c>
    </row>
    <row r="254" spans="1:10" ht="34" x14ac:dyDescent="0.2">
      <c r="A254" s="8">
        <v>6300</v>
      </c>
      <c r="B254" s="8">
        <v>240</v>
      </c>
      <c r="C254" s="8" t="s">
        <v>49</v>
      </c>
      <c r="D254" s="9">
        <v>10</v>
      </c>
      <c r="E254" s="10" t="s">
        <v>54</v>
      </c>
      <c r="F254" s="53"/>
      <c r="G254" s="12">
        <f t="shared" si="16"/>
        <v>2655</v>
      </c>
      <c r="H254" s="12">
        <f t="shared" si="17"/>
        <v>1308</v>
      </c>
      <c r="I254" s="13">
        <v>3963</v>
      </c>
      <c r="J254" s="14">
        <f>ROUNDUP(Work_Comp*$J$215,0)</f>
        <v>3963</v>
      </c>
    </row>
    <row r="255" spans="1:10" ht="34" x14ac:dyDescent="0.2">
      <c r="A255" s="8" t="s">
        <v>163</v>
      </c>
      <c r="B255" s="8">
        <v>240</v>
      </c>
      <c r="C255" s="8" t="s">
        <v>49</v>
      </c>
      <c r="D255" s="9">
        <v>14</v>
      </c>
      <c r="E255" s="10" t="s">
        <v>168</v>
      </c>
      <c r="F255" s="53"/>
      <c r="G255" s="12">
        <f t="shared" si="16"/>
        <v>1733</v>
      </c>
      <c r="H255" s="12">
        <f t="shared" si="17"/>
        <v>853</v>
      </c>
      <c r="I255" s="13">
        <f>1293*2</f>
        <v>2586</v>
      </c>
      <c r="J255" s="14">
        <v>2586</v>
      </c>
    </row>
    <row r="256" spans="1:10" ht="17" x14ac:dyDescent="0.2">
      <c r="A256" s="8" t="s">
        <v>169</v>
      </c>
      <c r="B256" s="8">
        <v>110</v>
      </c>
      <c r="C256" s="8" t="s">
        <v>49</v>
      </c>
      <c r="D256" s="9">
        <v>14</v>
      </c>
      <c r="E256" s="10" t="s">
        <v>170</v>
      </c>
      <c r="F256" s="53"/>
      <c r="G256" s="12">
        <f t="shared" si="16"/>
        <v>1905</v>
      </c>
      <c r="H256" s="12">
        <f t="shared" si="17"/>
        <v>939</v>
      </c>
      <c r="I256" s="13">
        <f>1422*2</f>
        <v>2844</v>
      </c>
      <c r="J256" s="14">
        <v>2844</v>
      </c>
    </row>
    <row r="257" spans="1:10" ht="136" x14ac:dyDescent="0.2">
      <c r="A257" s="8">
        <v>6400</v>
      </c>
      <c r="B257" s="8">
        <v>120</v>
      </c>
      <c r="C257" s="8" t="s">
        <v>55</v>
      </c>
      <c r="D257" s="9">
        <v>1</v>
      </c>
      <c r="E257" s="10" t="s">
        <v>575</v>
      </c>
      <c r="F257" s="53"/>
      <c r="G257" s="12">
        <f t="shared" si="16"/>
        <v>2573805</v>
      </c>
      <c r="H257" s="12">
        <f t="shared" si="17"/>
        <v>1267695</v>
      </c>
      <c r="I257" s="13">
        <f>3856500-15000</f>
        <v>3841500</v>
      </c>
      <c r="J257" s="14">
        <f>(1500*36*25*2)+(1500*25*5*6)+(25*6*105*2)</f>
        <v>3856500</v>
      </c>
    </row>
    <row r="258" spans="1:10" ht="17" x14ac:dyDescent="0.2">
      <c r="A258" s="8" t="s">
        <v>169</v>
      </c>
      <c r="B258" s="8">
        <v>130</v>
      </c>
      <c r="C258" s="8" t="s">
        <v>49</v>
      </c>
      <c r="D258" s="9">
        <v>14</v>
      </c>
      <c r="E258" s="10" t="s">
        <v>171</v>
      </c>
      <c r="F258" s="11"/>
      <c r="G258" s="12">
        <f t="shared" si="16"/>
        <v>133334</v>
      </c>
      <c r="H258" s="12">
        <f t="shared" si="17"/>
        <v>65672</v>
      </c>
      <c r="I258" s="13">
        <f>99503*2</f>
        <v>199006</v>
      </c>
      <c r="J258" s="14">
        <v>199006</v>
      </c>
    </row>
    <row r="259" spans="1:10" ht="51" x14ac:dyDescent="0.2">
      <c r="A259" s="8">
        <v>6400</v>
      </c>
      <c r="B259" s="8">
        <v>150</v>
      </c>
      <c r="C259" s="8" t="s">
        <v>55</v>
      </c>
      <c r="D259" s="9">
        <v>2</v>
      </c>
      <c r="E259" s="10" t="s">
        <v>516</v>
      </c>
      <c r="F259" s="11"/>
      <c r="G259" s="12">
        <f t="shared" si="16"/>
        <v>301500</v>
      </c>
      <c r="H259" s="12">
        <f t="shared" si="17"/>
        <v>148500</v>
      </c>
      <c r="I259" s="13">
        <v>450000</v>
      </c>
      <c r="J259" s="14">
        <f>15*1000*5*6</f>
        <v>450000</v>
      </c>
    </row>
    <row r="260" spans="1:10" ht="34" x14ac:dyDescent="0.2">
      <c r="A260" s="8" t="s">
        <v>169</v>
      </c>
      <c r="B260" s="8">
        <v>160</v>
      </c>
      <c r="C260" s="8" t="s">
        <v>49</v>
      </c>
      <c r="D260" s="9">
        <v>14</v>
      </c>
      <c r="E260" s="10" t="s">
        <v>172</v>
      </c>
      <c r="F260" s="53"/>
      <c r="G260" s="12">
        <f t="shared" si="16"/>
        <v>5715</v>
      </c>
      <c r="H260" s="12">
        <f t="shared" si="17"/>
        <v>2815</v>
      </c>
      <c r="I260" s="13">
        <f>4265*2</f>
        <v>8530</v>
      </c>
      <c r="J260" s="14">
        <v>8530</v>
      </c>
    </row>
    <row r="261" spans="1:10" ht="51" x14ac:dyDescent="0.2">
      <c r="A261" s="8">
        <v>6400</v>
      </c>
      <c r="B261" s="8">
        <v>220</v>
      </c>
      <c r="C261" s="8" t="s">
        <v>55</v>
      </c>
      <c r="D261" s="9" t="s">
        <v>57</v>
      </c>
      <c r="E261" s="10" t="s">
        <v>59</v>
      </c>
      <c r="F261" s="53"/>
      <c r="G261" s="12">
        <f t="shared" si="16"/>
        <v>159576</v>
      </c>
      <c r="H261" s="12">
        <f t="shared" si="17"/>
        <v>78597</v>
      </c>
      <c r="I261" s="13">
        <f>239103-930</f>
        <v>238173</v>
      </c>
      <c r="J261" s="14">
        <f>ROUNDUP(($J$257+$J$259)*FICA,0)</f>
        <v>267003</v>
      </c>
    </row>
    <row r="262" spans="1:10" ht="68" x14ac:dyDescent="0.2">
      <c r="A262" s="8">
        <v>6400</v>
      </c>
      <c r="B262" s="8">
        <v>220</v>
      </c>
      <c r="C262" s="8" t="s">
        <v>55</v>
      </c>
      <c r="D262" s="9" t="s">
        <v>57</v>
      </c>
      <c r="E262" s="10" t="s">
        <v>60</v>
      </c>
      <c r="F262" s="53"/>
      <c r="G262" s="12">
        <f t="shared" si="16"/>
        <v>37320</v>
      </c>
      <c r="H262" s="12">
        <f t="shared" si="17"/>
        <v>18382</v>
      </c>
      <c r="I262" s="13">
        <f>55920-218</f>
        <v>55702</v>
      </c>
      <c r="J262" s="14">
        <f>ROUNDUP(($J$257+$J$259)*Medicare,0)</f>
        <v>62445</v>
      </c>
    </row>
    <row r="263" spans="1:10" ht="34" x14ac:dyDescent="0.2">
      <c r="A263" s="8" t="s">
        <v>169</v>
      </c>
      <c r="B263" s="8">
        <v>220</v>
      </c>
      <c r="C263" s="8" t="s">
        <v>49</v>
      </c>
      <c r="D263" s="9">
        <v>14</v>
      </c>
      <c r="E263" s="10" t="s">
        <v>173</v>
      </c>
      <c r="F263" s="53"/>
      <c r="G263" s="12">
        <f t="shared" si="16"/>
        <v>10783</v>
      </c>
      <c r="H263" s="12">
        <f t="shared" si="17"/>
        <v>5311</v>
      </c>
      <c r="I263" s="13">
        <f>8047*2</f>
        <v>16094</v>
      </c>
      <c r="J263" s="14">
        <v>16094</v>
      </c>
    </row>
    <row r="264" spans="1:10" ht="68" x14ac:dyDescent="0.2">
      <c r="A264" s="8">
        <v>6400</v>
      </c>
      <c r="B264" s="8">
        <v>240</v>
      </c>
      <c r="C264" s="8" t="s">
        <v>55</v>
      </c>
      <c r="D264" s="9" t="s">
        <v>57</v>
      </c>
      <c r="E264" s="10" t="s">
        <v>61</v>
      </c>
      <c r="F264" s="11"/>
      <c r="G264" s="12">
        <f t="shared" si="16"/>
        <v>29084</v>
      </c>
      <c r="H264" s="12">
        <f t="shared" si="17"/>
        <v>14325</v>
      </c>
      <c r="I264" s="13">
        <f>43579-170</f>
        <v>43409</v>
      </c>
      <c r="J264" s="14">
        <f>ROUNDUP(($J$257+$J$259)*Work_Comp,0)</f>
        <v>48664</v>
      </c>
    </row>
    <row r="265" spans="1:10" ht="17" x14ac:dyDescent="0.2">
      <c r="A265" s="8" t="s">
        <v>169</v>
      </c>
      <c r="B265" s="8">
        <v>240</v>
      </c>
      <c r="C265" s="8" t="s">
        <v>49</v>
      </c>
      <c r="D265" s="9">
        <v>14</v>
      </c>
      <c r="E265" s="10" t="s">
        <v>174</v>
      </c>
      <c r="F265" s="11"/>
      <c r="G265" s="12">
        <f t="shared" si="16"/>
        <v>1593</v>
      </c>
      <c r="H265" s="12">
        <f t="shared" si="17"/>
        <v>785</v>
      </c>
      <c r="I265" s="13">
        <f>1189*2</f>
        <v>2378</v>
      </c>
      <c r="J265" s="14">
        <v>2378</v>
      </c>
    </row>
    <row r="266" spans="1:10" ht="68" x14ac:dyDescent="0.2">
      <c r="A266" s="8">
        <v>6400</v>
      </c>
      <c r="B266" s="8">
        <v>310</v>
      </c>
      <c r="C266" s="8">
        <v>1</v>
      </c>
      <c r="D266" s="9">
        <v>6</v>
      </c>
      <c r="E266" s="10" t="s">
        <v>543</v>
      </c>
      <c r="F266" s="53"/>
      <c r="G266" s="12">
        <f t="shared" si="16"/>
        <v>603000</v>
      </c>
      <c r="H266" s="12">
        <f t="shared" si="17"/>
        <v>297000</v>
      </c>
      <c r="I266" s="13">
        <v>900000</v>
      </c>
      <c r="J266" s="14">
        <f>40*10000*2+100000</f>
        <v>900000</v>
      </c>
    </row>
    <row r="267" spans="1:10" ht="51" x14ac:dyDescent="0.2">
      <c r="A267" s="8">
        <v>6400</v>
      </c>
      <c r="B267" s="8">
        <v>335</v>
      </c>
      <c r="C267" s="8" t="s">
        <v>47</v>
      </c>
      <c r="D267" s="9">
        <v>3</v>
      </c>
      <c r="E267" s="10" t="s">
        <v>62</v>
      </c>
      <c r="F267" s="53"/>
      <c r="G267" s="12">
        <f t="shared" si="16"/>
        <v>26800</v>
      </c>
      <c r="H267" s="12">
        <f t="shared" si="17"/>
        <v>13200</v>
      </c>
      <c r="I267" s="13">
        <v>40000</v>
      </c>
      <c r="J267" s="14">
        <f>10*2000*2</f>
        <v>40000</v>
      </c>
    </row>
    <row r="268" spans="1:10" ht="68" x14ac:dyDescent="0.2">
      <c r="A268" s="8">
        <v>6400</v>
      </c>
      <c r="B268" s="8">
        <v>394</v>
      </c>
      <c r="C268" s="8">
        <v>1</v>
      </c>
      <c r="D268" s="9" t="s">
        <v>63</v>
      </c>
      <c r="E268" s="17" t="s">
        <v>404</v>
      </c>
      <c r="F268" s="53"/>
      <c r="G268" s="12">
        <f t="shared" si="16"/>
        <v>8746</v>
      </c>
      <c r="H268" s="12">
        <f t="shared" si="17"/>
        <v>4308</v>
      </c>
      <c r="I268" s="13">
        <v>13054</v>
      </c>
      <c r="J268" s="14">
        <f>(10*25*36+15*20*10)+1054</f>
        <v>13054</v>
      </c>
    </row>
    <row r="269" spans="1:10" ht="34" x14ac:dyDescent="0.2">
      <c r="A269" s="8">
        <v>6400</v>
      </c>
      <c r="B269" s="8">
        <v>394</v>
      </c>
      <c r="C269" s="8">
        <v>1</v>
      </c>
      <c r="D269" s="9" t="s">
        <v>64</v>
      </c>
      <c r="E269" s="17" t="s">
        <v>405</v>
      </c>
      <c r="F269" s="53"/>
      <c r="G269" s="12">
        <f t="shared" si="16"/>
        <v>2186</v>
      </c>
      <c r="H269" s="12">
        <f t="shared" si="17"/>
        <v>1077</v>
      </c>
      <c r="I269" s="13">
        <v>3263</v>
      </c>
      <c r="J269" s="14">
        <v>3263</v>
      </c>
    </row>
    <row r="270" spans="1:10" ht="85" x14ac:dyDescent="0.2">
      <c r="A270" s="8">
        <v>6400</v>
      </c>
      <c r="B270" s="8">
        <v>751</v>
      </c>
      <c r="C270" s="8">
        <v>1</v>
      </c>
      <c r="D270" s="9">
        <v>13</v>
      </c>
      <c r="E270" s="10" t="s">
        <v>294</v>
      </c>
      <c r="F270" s="11"/>
      <c r="G270" s="12">
        <f t="shared" si="16"/>
        <v>113900</v>
      </c>
      <c r="H270" s="12">
        <f t="shared" si="17"/>
        <v>56100</v>
      </c>
      <c r="I270" s="13">
        <v>170000</v>
      </c>
      <c r="J270" s="14">
        <v>170000</v>
      </c>
    </row>
    <row r="271" spans="1:10" ht="17" x14ac:dyDescent="0.2">
      <c r="A271" s="8" t="s">
        <v>175</v>
      </c>
      <c r="B271" s="8">
        <v>110</v>
      </c>
      <c r="C271" s="8" t="s">
        <v>49</v>
      </c>
      <c r="D271" s="9">
        <v>14</v>
      </c>
      <c r="E271" s="10" t="s">
        <v>176</v>
      </c>
      <c r="F271" s="11"/>
      <c r="G271" s="12">
        <f t="shared" si="16"/>
        <v>1905</v>
      </c>
      <c r="H271" s="12">
        <f t="shared" si="17"/>
        <v>939</v>
      </c>
      <c r="I271" s="13">
        <f>1422*2</f>
        <v>2844</v>
      </c>
      <c r="J271" s="14">
        <v>2844</v>
      </c>
    </row>
    <row r="272" spans="1:10" ht="17" x14ac:dyDescent="0.2">
      <c r="A272" s="8" t="s">
        <v>175</v>
      </c>
      <c r="B272" s="8">
        <v>160</v>
      </c>
      <c r="C272" s="8" t="s">
        <v>49</v>
      </c>
      <c r="D272" s="9">
        <v>14</v>
      </c>
      <c r="E272" s="10" t="s">
        <v>177</v>
      </c>
      <c r="F272" s="53"/>
      <c r="G272" s="12">
        <f t="shared" si="16"/>
        <v>64762</v>
      </c>
      <c r="H272" s="12">
        <f t="shared" si="17"/>
        <v>31898</v>
      </c>
      <c r="I272" s="13">
        <f>48330*2</f>
        <v>96660</v>
      </c>
      <c r="J272" s="14">
        <v>96660</v>
      </c>
    </row>
    <row r="273" spans="1:11" ht="34" x14ac:dyDescent="0.2">
      <c r="A273" s="8" t="s">
        <v>175</v>
      </c>
      <c r="B273" s="8">
        <v>220</v>
      </c>
      <c r="C273" s="8" t="s">
        <v>49</v>
      </c>
      <c r="D273" s="9">
        <v>14</v>
      </c>
      <c r="E273" s="10" t="s">
        <v>178</v>
      </c>
      <c r="F273" s="53"/>
      <c r="G273" s="12">
        <f t="shared" si="16"/>
        <v>5100</v>
      </c>
      <c r="H273" s="12">
        <f t="shared" si="17"/>
        <v>2512</v>
      </c>
      <c r="I273" s="13">
        <f>3806*2</f>
        <v>7612</v>
      </c>
      <c r="J273" s="14">
        <v>7612</v>
      </c>
    </row>
    <row r="274" spans="1:11" ht="17" x14ac:dyDescent="0.2">
      <c r="A274" s="8" t="s">
        <v>175</v>
      </c>
      <c r="B274" s="8">
        <v>240</v>
      </c>
      <c r="C274" s="8" t="s">
        <v>49</v>
      </c>
      <c r="D274" s="9">
        <v>14</v>
      </c>
      <c r="E274" s="10" t="s">
        <v>179</v>
      </c>
      <c r="F274" s="53"/>
      <c r="G274" s="12">
        <f t="shared" si="16"/>
        <v>754</v>
      </c>
      <c r="H274" s="12">
        <f t="shared" si="17"/>
        <v>372</v>
      </c>
      <c r="I274" s="13">
        <f>563*2</f>
        <v>1126</v>
      </c>
      <c r="J274" s="14">
        <v>1126</v>
      </c>
    </row>
    <row r="275" spans="1:11" ht="68" x14ac:dyDescent="0.2">
      <c r="A275" s="8">
        <v>6500</v>
      </c>
      <c r="B275" s="8">
        <v>319</v>
      </c>
      <c r="C275" s="8" t="s">
        <v>9</v>
      </c>
      <c r="D275" s="9">
        <v>4</v>
      </c>
      <c r="E275" s="10" t="s">
        <v>406</v>
      </c>
      <c r="F275" s="11"/>
      <c r="G275" s="12">
        <f t="shared" si="16"/>
        <v>167500</v>
      </c>
      <c r="H275" s="12">
        <f t="shared" si="17"/>
        <v>82500</v>
      </c>
      <c r="I275" s="13">
        <v>250000</v>
      </c>
      <c r="J275" s="14">
        <f>250*1000</f>
        <v>250000</v>
      </c>
    </row>
    <row r="276" spans="1:11" ht="17" x14ac:dyDescent="0.2">
      <c r="A276" s="8">
        <v>6500</v>
      </c>
      <c r="B276" s="8">
        <v>350</v>
      </c>
      <c r="C276" s="8" t="s">
        <v>9</v>
      </c>
      <c r="D276" s="9">
        <v>7</v>
      </c>
      <c r="E276" s="10" t="s">
        <v>66</v>
      </c>
      <c r="F276" s="11"/>
      <c r="G276" s="12">
        <f t="shared" ref="G276:G339" si="18">ROUND(I276*0.67,0)</f>
        <v>43550</v>
      </c>
      <c r="H276" s="12">
        <f t="shared" si="17"/>
        <v>21450</v>
      </c>
      <c r="I276" s="13">
        <v>65000</v>
      </c>
      <c r="J276" s="14">
        <f>325*200</f>
        <v>65000</v>
      </c>
    </row>
    <row r="277" spans="1:11" ht="102" x14ac:dyDescent="0.2">
      <c r="A277" s="8">
        <v>6500</v>
      </c>
      <c r="B277" s="8">
        <v>369</v>
      </c>
      <c r="C277" s="8" t="s">
        <v>65</v>
      </c>
      <c r="D277" s="9">
        <v>1</v>
      </c>
      <c r="E277" s="10" t="s">
        <v>597</v>
      </c>
      <c r="F277" s="11"/>
      <c r="G277" s="12">
        <f t="shared" si="18"/>
        <v>1934952</v>
      </c>
      <c r="H277" s="12">
        <f t="shared" si="17"/>
        <v>953036</v>
      </c>
      <c r="I277" s="13">
        <f>2042000+845988</f>
        <v>2887988</v>
      </c>
      <c r="J277" s="14">
        <f>(248000*2)+30000+(680994*2)+1000000</f>
        <v>2887988</v>
      </c>
    </row>
    <row r="278" spans="1:11" ht="68" x14ac:dyDescent="0.2">
      <c r="A278" s="8">
        <v>6500</v>
      </c>
      <c r="B278" s="8">
        <v>379</v>
      </c>
      <c r="C278" s="8" t="s">
        <v>9</v>
      </c>
      <c r="D278" s="9">
        <v>5</v>
      </c>
      <c r="E278" s="10" t="s">
        <v>485</v>
      </c>
      <c r="F278" s="11"/>
      <c r="G278" s="12">
        <f t="shared" si="18"/>
        <v>596300</v>
      </c>
      <c r="H278" s="12">
        <f t="shared" si="17"/>
        <v>293700</v>
      </c>
      <c r="I278" s="13">
        <v>890000</v>
      </c>
      <c r="J278" s="14">
        <f>35000*12*2+500*100</f>
        <v>890000</v>
      </c>
    </row>
    <row r="279" spans="1:11" ht="68" x14ac:dyDescent="0.2">
      <c r="A279" s="8">
        <v>6500</v>
      </c>
      <c r="B279" s="8">
        <v>648</v>
      </c>
      <c r="C279" s="8" t="s">
        <v>9</v>
      </c>
      <c r="D279" s="9">
        <v>4</v>
      </c>
      <c r="E279" s="10" t="s">
        <v>407</v>
      </c>
      <c r="F279" s="53"/>
      <c r="G279" s="12">
        <f t="shared" si="18"/>
        <v>167500</v>
      </c>
      <c r="H279" s="12">
        <f t="shared" si="17"/>
        <v>82500</v>
      </c>
      <c r="I279" s="13">
        <v>250000</v>
      </c>
      <c r="J279" s="14">
        <f>250*1000</f>
        <v>250000</v>
      </c>
    </row>
    <row r="280" spans="1:11" ht="51" x14ac:dyDescent="0.2">
      <c r="A280" s="8">
        <v>6500</v>
      </c>
      <c r="B280" s="8">
        <v>310</v>
      </c>
      <c r="C280" s="8" t="s">
        <v>9</v>
      </c>
      <c r="D280" s="9">
        <v>8</v>
      </c>
      <c r="E280" s="10" t="s">
        <v>562</v>
      </c>
      <c r="F280" s="53"/>
      <c r="G280" s="12">
        <f t="shared" si="18"/>
        <v>8040000</v>
      </c>
      <c r="H280" s="12">
        <f t="shared" si="17"/>
        <v>3960000</v>
      </c>
      <c r="I280" s="13">
        <v>12000000</v>
      </c>
      <c r="J280" s="14">
        <v>12000000</v>
      </c>
      <c r="K280" s="14" t="s">
        <v>510</v>
      </c>
    </row>
    <row r="281" spans="1:11" ht="17" x14ac:dyDescent="0.2">
      <c r="A281" s="8" t="s">
        <v>180</v>
      </c>
      <c r="B281" s="8">
        <v>110</v>
      </c>
      <c r="C281" s="8" t="s">
        <v>49</v>
      </c>
      <c r="D281" s="9">
        <v>14</v>
      </c>
      <c r="E281" s="10" t="s">
        <v>181</v>
      </c>
      <c r="F281" s="52"/>
      <c r="G281" s="12">
        <f t="shared" si="18"/>
        <v>1905</v>
      </c>
      <c r="H281" s="12">
        <f t="shared" si="17"/>
        <v>939</v>
      </c>
      <c r="I281" s="13">
        <f>1422*2</f>
        <v>2844</v>
      </c>
      <c r="J281" s="14">
        <v>2844</v>
      </c>
    </row>
    <row r="282" spans="1:11" ht="17" x14ac:dyDescent="0.2">
      <c r="A282" s="8" t="s">
        <v>180</v>
      </c>
      <c r="B282" s="8">
        <v>160</v>
      </c>
      <c r="C282" s="8" t="s">
        <v>49</v>
      </c>
      <c r="D282" s="9">
        <v>14</v>
      </c>
      <c r="E282" s="10" t="s">
        <v>182</v>
      </c>
      <c r="F282" s="52"/>
      <c r="G282" s="12">
        <f t="shared" si="18"/>
        <v>3810</v>
      </c>
      <c r="H282" s="12">
        <f t="shared" si="17"/>
        <v>1876</v>
      </c>
      <c r="I282" s="13">
        <f>2843*2</f>
        <v>5686</v>
      </c>
      <c r="J282" s="14">
        <v>5686</v>
      </c>
    </row>
    <row r="283" spans="1:11" ht="17" x14ac:dyDescent="0.2">
      <c r="A283" s="8" t="s">
        <v>180</v>
      </c>
      <c r="B283" s="8">
        <v>170</v>
      </c>
      <c r="C283" s="8" t="s">
        <v>49</v>
      </c>
      <c r="D283" s="9">
        <v>14</v>
      </c>
      <c r="E283" s="10" t="s">
        <v>183</v>
      </c>
      <c r="F283" s="10"/>
      <c r="G283" s="12">
        <f t="shared" si="18"/>
        <v>1905</v>
      </c>
      <c r="H283" s="12">
        <f t="shared" si="17"/>
        <v>939</v>
      </c>
      <c r="I283" s="13">
        <f>1422*2</f>
        <v>2844</v>
      </c>
      <c r="J283" s="14">
        <v>2844</v>
      </c>
    </row>
    <row r="284" spans="1:11" ht="17" x14ac:dyDescent="0.2">
      <c r="A284" s="8" t="s">
        <v>180</v>
      </c>
      <c r="B284" s="8">
        <v>220</v>
      </c>
      <c r="C284" s="8" t="s">
        <v>49</v>
      </c>
      <c r="D284" s="9">
        <v>14</v>
      </c>
      <c r="E284" s="10" t="s">
        <v>184</v>
      </c>
      <c r="F284" s="53"/>
      <c r="G284" s="12">
        <f t="shared" si="18"/>
        <v>583</v>
      </c>
      <c r="H284" s="12">
        <f t="shared" ref="H284:H353" si="19">ROUND(I284*0.33,0)</f>
        <v>287</v>
      </c>
      <c r="I284" s="13">
        <f>435*2</f>
        <v>870</v>
      </c>
      <c r="J284" s="14">
        <v>870</v>
      </c>
    </row>
    <row r="285" spans="1:11" ht="17" x14ac:dyDescent="0.2">
      <c r="A285" s="8" t="s">
        <v>180</v>
      </c>
      <c r="B285" s="8">
        <v>240</v>
      </c>
      <c r="C285" s="8" t="s">
        <v>49</v>
      </c>
      <c r="D285" s="9">
        <v>14</v>
      </c>
      <c r="E285" s="10" t="s">
        <v>185</v>
      </c>
      <c r="F285" s="53"/>
      <c r="G285" s="12">
        <f t="shared" si="18"/>
        <v>87</v>
      </c>
      <c r="H285" s="12">
        <f t="shared" si="19"/>
        <v>43</v>
      </c>
      <c r="I285" s="13">
        <f>65*2</f>
        <v>130</v>
      </c>
      <c r="J285" s="14">
        <v>130</v>
      </c>
    </row>
    <row r="286" spans="1:11" ht="34" x14ac:dyDescent="0.2">
      <c r="A286" s="8" t="s">
        <v>186</v>
      </c>
      <c r="B286" s="8">
        <v>110</v>
      </c>
      <c r="C286" s="8" t="s">
        <v>49</v>
      </c>
      <c r="D286" s="9">
        <v>14</v>
      </c>
      <c r="E286" s="10" t="s">
        <v>187</v>
      </c>
      <c r="F286" s="10"/>
      <c r="G286" s="12">
        <f t="shared" si="18"/>
        <v>13180</v>
      </c>
      <c r="H286" s="12">
        <f t="shared" si="19"/>
        <v>6492</v>
      </c>
      <c r="I286" s="13">
        <f>9836*2</f>
        <v>19672</v>
      </c>
      <c r="J286" s="14">
        <v>19672</v>
      </c>
    </row>
    <row r="287" spans="1:11" ht="34" x14ac:dyDescent="0.2">
      <c r="A287" s="8" t="s">
        <v>186</v>
      </c>
      <c r="B287" s="8">
        <v>160</v>
      </c>
      <c r="C287" s="8" t="s">
        <v>49</v>
      </c>
      <c r="D287" s="9">
        <v>14</v>
      </c>
      <c r="E287" s="10" t="s">
        <v>188</v>
      </c>
      <c r="F287" s="10"/>
      <c r="G287" s="12">
        <f t="shared" si="18"/>
        <v>20954</v>
      </c>
      <c r="H287" s="12">
        <f t="shared" si="19"/>
        <v>10320</v>
      </c>
      <c r="I287" s="13">
        <f>15637*2</f>
        <v>31274</v>
      </c>
      <c r="J287" s="14">
        <v>31274</v>
      </c>
    </row>
    <row r="288" spans="1:11" ht="34" x14ac:dyDescent="0.2">
      <c r="A288" s="8" t="s">
        <v>186</v>
      </c>
      <c r="B288" s="8">
        <v>220</v>
      </c>
      <c r="C288" s="8" t="s">
        <v>49</v>
      </c>
      <c r="D288" s="9">
        <v>14</v>
      </c>
      <c r="E288" s="10" t="s">
        <v>189</v>
      </c>
      <c r="F288" s="10"/>
      <c r="G288" s="12">
        <f t="shared" si="18"/>
        <v>2503</v>
      </c>
      <c r="H288" s="12">
        <f t="shared" si="19"/>
        <v>1233</v>
      </c>
      <c r="I288" s="13">
        <f>1868*2</f>
        <v>3736</v>
      </c>
      <c r="J288" s="14">
        <v>3736</v>
      </c>
    </row>
    <row r="289" spans="1:10" ht="34" x14ac:dyDescent="0.2">
      <c r="A289" s="8" t="s">
        <v>186</v>
      </c>
      <c r="B289" s="8">
        <v>240</v>
      </c>
      <c r="C289" s="8" t="s">
        <v>49</v>
      </c>
      <c r="D289" s="9">
        <v>14</v>
      </c>
      <c r="E289" s="10" t="s">
        <v>190</v>
      </c>
      <c r="F289" s="10"/>
      <c r="G289" s="12">
        <f t="shared" si="18"/>
        <v>386</v>
      </c>
      <c r="H289" s="12">
        <f t="shared" si="19"/>
        <v>190</v>
      </c>
      <c r="I289" s="13">
        <f>288*2</f>
        <v>576</v>
      </c>
      <c r="J289" s="14">
        <v>576</v>
      </c>
    </row>
    <row r="290" spans="1:10" ht="17" x14ac:dyDescent="0.2">
      <c r="A290" s="8">
        <v>7200</v>
      </c>
      <c r="B290" s="8">
        <v>792</v>
      </c>
      <c r="C290" s="8" t="s">
        <v>67</v>
      </c>
      <c r="D290" s="9">
        <v>1</v>
      </c>
      <c r="E290" s="10" t="s">
        <v>408</v>
      </c>
      <c r="F290" s="53"/>
      <c r="G290" s="12">
        <v>2628715</v>
      </c>
      <c r="H290" s="12">
        <v>1795499</v>
      </c>
      <c r="I290" s="13">
        <v>4424213</v>
      </c>
      <c r="J290" s="14">
        <f>167881+4424213</f>
        <v>4592094</v>
      </c>
    </row>
    <row r="291" spans="1:10" ht="34" x14ac:dyDescent="0.2">
      <c r="A291" s="8" t="s">
        <v>191</v>
      </c>
      <c r="B291" s="8">
        <v>110</v>
      </c>
      <c r="C291" s="8" t="s">
        <v>49</v>
      </c>
      <c r="D291" s="9">
        <v>14</v>
      </c>
      <c r="E291" s="10" t="s">
        <v>192</v>
      </c>
      <c r="F291" s="10"/>
      <c r="G291" s="12">
        <f t="shared" si="18"/>
        <v>161906</v>
      </c>
      <c r="H291" s="12">
        <f t="shared" si="19"/>
        <v>79745</v>
      </c>
      <c r="I291" s="13">
        <f>120825*2</f>
        <v>241650</v>
      </c>
      <c r="J291" s="14">
        <v>241650</v>
      </c>
    </row>
    <row r="292" spans="1:10" ht="34" x14ac:dyDescent="0.2">
      <c r="A292" s="8">
        <v>7300</v>
      </c>
      <c r="B292" s="8">
        <v>160</v>
      </c>
      <c r="C292" s="8" t="s">
        <v>16</v>
      </c>
      <c r="D292" s="9">
        <v>5</v>
      </c>
      <c r="E292" s="10" t="s">
        <v>598</v>
      </c>
      <c r="F292" s="53"/>
      <c r="G292" s="12">
        <f t="shared" si="18"/>
        <v>186220</v>
      </c>
      <c r="H292" s="12">
        <f t="shared" si="19"/>
        <v>91720</v>
      </c>
      <c r="I292" s="13">
        <v>277940</v>
      </c>
      <c r="J292" s="14">
        <f>ROUNDUP(47*15.4*32*6*2,0)</f>
        <v>277940</v>
      </c>
    </row>
    <row r="293" spans="1:10" ht="34" x14ac:dyDescent="0.2">
      <c r="A293" s="8" t="s">
        <v>191</v>
      </c>
      <c r="B293" s="8">
        <v>160</v>
      </c>
      <c r="C293" s="8" t="s">
        <v>49</v>
      </c>
      <c r="D293" s="9">
        <v>14</v>
      </c>
      <c r="E293" s="10" t="s">
        <v>193</v>
      </c>
      <c r="F293" s="10"/>
      <c r="G293" s="12">
        <f t="shared" si="18"/>
        <v>264761</v>
      </c>
      <c r="H293" s="12">
        <f t="shared" si="19"/>
        <v>130405</v>
      </c>
      <c r="I293" s="13">
        <f>197583*2</f>
        <v>395166</v>
      </c>
      <c r="J293" s="14">
        <v>395166</v>
      </c>
    </row>
    <row r="294" spans="1:10" ht="17" x14ac:dyDescent="0.2">
      <c r="A294" s="8">
        <v>7300</v>
      </c>
      <c r="B294" s="8">
        <v>210</v>
      </c>
      <c r="C294" s="8" t="s">
        <v>69</v>
      </c>
      <c r="D294" s="9">
        <v>5</v>
      </c>
      <c r="E294" s="17" t="s">
        <v>409</v>
      </c>
      <c r="F294" s="53"/>
      <c r="G294" s="12">
        <f t="shared" si="18"/>
        <v>21248</v>
      </c>
      <c r="H294" s="12">
        <f t="shared" si="19"/>
        <v>10465</v>
      </c>
      <c r="I294" s="13">
        <v>31713</v>
      </c>
      <c r="J294" s="14">
        <f>ROUNDUP($J$292*Retirement,0)</f>
        <v>31713</v>
      </c>
    </row>
    <row r="295" spans="1:10" ht="17" x14ac:dyDescent="0.2">
      <c r="A295" s="8">
        <v>7300</v>
      </c>
      <c r="B295" s="8">
        <v>220</v>
      </c>
      <c r="C295" s="8" t="s">
        <v>16</v>
      </c>
      <c r="D295" s="9">
        <v>5</v>
      </c>
      <c r="E295" s="10" t="s">
        <v>410</v>
      </c>
      <c r="F295" s="53"/>
      <c r="G295" s="12">
        <f t="shared" si="18"/>
        <v>11546</v>
      </c>
      <c r="H295" s="12">
        <f t="shared" si="19"/>
        <v>5687</v>
      </c>
      <c r="I295" s="13">
        <v>17233</v>
      </c>
      <c r="J295" s="14">
        <f>ROUNDUP($J$292*FICA,0)</f>
        <v>17233</v>
      </c>
    </row>
    <row r="296" spans="1:10" ht="34" x14ac:dyDescent="0.2">
      <c r="A296" s="8">
        <v>7300</v>
      </c>
      <c r="B296" s="8">
        <v>220</v>
      </c>
      <c r="C296" s="8" t="s">
        <v>16</v>
      </c>
      <c r="D296" s="9">
        <v>5</v>
      </c>
      <c r="E296" s="10" t="s">
        <v>411</v>
      </c>
      <c r="F296" s="53"/>
      <c r="G296" s="12">
        <f t="shared" si="18"/>
        <v>2701</v>
      </c>
      <c r="H296" s="12">
        <f t="shared" si="19"/>
        <v>1330</v>
      </c>
      <c r="I296" s="13">
        <v>4031</v>
      </c>
      <c r="J296" s="14">
        <f>ROUNDUP(Medicare*$J$292,0)</f>
        <v>4031</v>
      </c>
    </row>
    <row r="297" spans="1:10" ht="34" x14ac:dyDescent="0.2">
      <c r="A297" s="8" t="s">
        <v>191</v>
      </c>
      <c r="B297" s="8">
        <v>220</v>
      </c>
      <c r="C297" s="8" t="s">
        <v>49</v>
      </c>
      <c r="D297" s="9">
        <v>14</v>
      </c>
      <c r="E297" s="10" t="s">
        <v>194</v>
      </c>
      <c r="F297" s="10"/>
      <c r="G297" s="12">
        <f t="shared" si="18"/>
        <v>32640</v>
      </c>
      <c r="H297" s="12">
        <f t="shared" si="19"/>
        <v>16076</v>
      </c>
      <c r="I297" s="13">
        <f>24358*2</f>
        <v>48716</v>
      </c>
      <c r="J297" s="14">
        <v>48716</v>
      </c>
    </row>
    <row r="298" spans="1:10" ht="34" x14ac:dyDescent="0.2">
      <c r="A298" s="8">
        <v>7300</v>
      </c>
      <c r="B298" s="8">
        <v>240</v>
      </c>
      <c r="C298" s="8" t="s">
        <v>69</v>
      </c>
      <c r="D298" s="9">
        <v>5</v>
      </c>
      <c r="E298" s="10" t="s">
        <v>412</v>
      </c>
      <c r="F298" s="53"/>
      <c r="G298" s="12">
        <f t="shared" si="18"/>
        <v>2104</v>
      </c>
      <c r="H298" s="12">
        <f t="shared" si="19"/>
        <v>1037</v>
      </c>
      <c r="I298" s="13">
        <v>3141</v>
      </c>
      <c r="J298" s="14">
        <f>ROUNDUP($J$292*Work_Comp,0)</f>
        <v>3141</v>
      </c>
    </row>
    <row r="299" spans="1:10" ht="34" x14ac:dyDescent="0.2">
      <c r="A299" s="8" t="s">
        <v>191</v>
      </c>
      <c r="B299" s="8">
        <v>240</v>
      </c>
      <c r="C299" s="8" t="s">
        <v>49</v>
      </c>
      <c r="D299" s="9">
        <v>14</v>
      </c>
      <c r="E299" s="10" t="s">
        <v>195</v>
      </c>
      <c r="F299" s="52"/>
      <c r="G299" s="12">
        <f t="shared" si="18"/>
        <v>4821</v>
      </c>
      <c r="H299" s="12">
        <f t="shared" si="19"/>
        <v>2375</v>
      </c>
      <c r="I299" s="13">
        <f>3598*2</f>
        <v>7196</v>
      </c>
      <c r="J299" s="14">
        <v>7196</v>
      </c>
    </row>
    <row r="300" spans="1:10" ht="34" x14ac:dyDescent="0.2">
      <c r="A300" s="8">
        <v>7300</v>
      </c>
      <c r="B300" s="8">
        <v>394</v>
      </c>
      <c r="C300" s="8" t="s">
        <v>70</v>
      </c>
      <c r="D300" s="9" t="s">
        <v>71</v>
      </c>
      <c r="E300" s="17" t="s">
        <v>413</v>
      </c>
      <c r="F300" s="11"/>
      <c r="G300" s="12">
        <f t="shared" si="18"/>
        <v>73394</v>
      </c>
      <c r="H300" s="12">
        <f t="shared" si="19"/>
        <v>36149</v>
      </c>
      <c r="I300" s="13">
        <v>109543</v>
      </c>
      <c r="J300" s="14">
        <f>109543</f>
        <v>109543</v>
      </c>
    </row>
    <row r="301" spans="1:10" ht="17" x14ac:dyDescent="0.2">
      <c r="A301" s="8" t="s">
        <v>196</v>
      </c>
      <c r="B301" s="8">
        <v>110</v>
      </c>
      <c r="C301" s="8" t="s">
        <v>49</v>
      </c>
      <c r="D301" s="9">
        <v>14</v>
      </c>
      <c r="E301" s="10" t="s">
        <v>197</v>
      </c>
      <c r="F301" s="52"/>
      <c r="G301" s="12">
        <f t="shared" si="18"/>
        <v>1905</v>
      </c>
      <c r="H301" s="12">
        <f t="shared" si="19"/>
        <v>939</v>
      </c>
      <c r="I301" s="13">
        <f>1422*2</f>
        <v>2844</v>
      </c>
      <c r="J301" s="14">
        <v>2844</v>
      </c>
    </row>
    <row r="302" spans="1:10" ht="34" x14ac:dyDescent="0.2">
      <c r="A302" s="8" t="s">
        <v>196</v>
      </c>
      <c r="B302" s="8">
        <v>160</v>
      </c>
      <c r="C302" s="8" t="s">
        <v>49</v>
      </c>
      <c r="D302" s="9">
        <v>14</v>
      </c>
      <c r="E302" s="10" t="s">
        <v>198</v>
      </c>
      <c r="F302" s="52"/>
      <c r="G302" s="12">
        <f t="shared" si="18"/>
        <v>13334</v>
      </c>
      <c r="H302" s="12">
        <f t="shared" si="19"/>
        <v>6568</v>
      </c>
      <c r="I302" s="13">
        <f>9951*2</f>
        <v>19902</v>
      </c>
      <c r="J302" s="14">
        <v>19902</v>
      </c>
    </row>
    <row r="303" spans="1:10" ht="34" x14ac:dyDescent="0.2">
      <c r="A303" s="8" t="s">
        <v>196</v>
      </c>
      <c r="B303" s="8">
        <v>220</v>
      </c>
      <c r="C303" s="8" t="s">
        <v>49</v>
      </c>
      <c r="D303" s="9">
        <v>14</v>
      </c>
      <c r="E303" s="10" t="s">
        <v>199</v>
      </c>
      <c r="F303" s="52"/>
      <c r="G303" s="12">
        <f t="shared" si="18"/>
        <v>1166</v>
      </c>
      <c r="H303" s="12">
        <f t="shared" si="19"/>
        <v>574</v>
      </c>
      <c r="I303" s="13">
        <f>870*2</f>
        <v>1740</v>
      </c>
      <c r="J303" s="14">
        <v>1740</v>
      </c>
    </row>
    <row r="304" spans="1:10" ht="17" x14ac:dyDescent="0.2">
      <c r="A304" s="8" t="s">
        <v>196</v>
      </c>
      <c r="B304" s="8">
        <v>240</v>
      </c>
      <c r="C304" s="8" t="s">
        <v>49</v>
      </c>
      <c r="D304" s="9">
        <v>14</v>
      </c>
      <c r="E304" s="10" t="s">
        <v>200</v>
      </c>
      <c r="F304" s="52"/>
      <c r="G304" s="12">
        <f t="shared" si="18"/>
        <v>173</v>
      </c>
      <c r="H304" s="12">
        <f t="shared" si="19"/>
        <v>85</v>
      </c>
      <c r="I304" s="13">
        <f>129*2</f>
        <v>258</v>
      </c>
      <c r="J304" s="14">
        <v>258</v>
      </c>
    </row>
    <row r="305" spans="1:10" ht="51" x14ac:dyDescent="0.2">
      <c r="A305" s="8">
        <v>7400</v>
      </c>
      <c r="B305" s="8">
        <v>310</v>
      </c>
      <c r="C305" s="8" t="s">
        <v>72</v>
      </c>
      <c r="D305" s="9">
        <v>4</v>
      </c>
      <c r="E305" s="10" t="s">
        <v>417</v>
      </c>
      <c r="F305" s="11"/>
      <c r="G305" s="12">
        <f t="shared" si="18"/>
        <v>201000</v>
      </c>
      <c r="H305" s="12">
        <f t="shared" si="19"/>
        <v>99000</v>
      </c>
      <c r="I305" s="13">
        <v>300000</v>
      </c>
      <c r="J305" s="14">
        <v>300000</v>
      </c>
    </row>
    <row r="306" spans="1:10" ht="34" x14ac:dyDescent="0.2">
      <c r="A306" s="8">
        <v>7400</v>
      </c>
      <c r="B306" s="8">
        <v>641</v>
      </c>
      <c r="C306" s="8" t="s">
        <v>72</v>
      </c>
      <c r="D306" s="9">
        <v>3</v>
      </c>
      <c r="E306" s="10" t="s">
        <v>415</v>
      </c>
      <c r="F306" s="11"/>
      <c r="G306" s="12">
        <f t="shared" si="18"/>
        <v>402000</v>
      </c>
      <c r="H306" s="12">
        <f t="shared" si="19"/>
        <v>198000</v>
      </c>
      <c r="I306" s="55">
        <v>600000</v>
      </c>
      <c r="J306" s="14">
        <f>500*1200</f>
        <v>600000</v>
      </c>
    </row>
    <row r="307" spans="1:10" ht="34" x14ac:dyDescent="0.2">
      <c r="A307" s="8">
        <v>7400</v>
      </c>
      <c r="B307" s="8">
        <v>642</v>
      </c>
      <c r="C307" s="8" t="s">
        <v>72</v>
      </c>
      <c r="D307" s="9">
        <v>3</v>
      </c>
      <c r="E307" s="10" t="s">
        <v>416</v>
      </c>
      <c r="F307" s="11"/>
      <c r="G307" s="12">
        <f t="shared" si="18"/>
        <v>142375</v>
      </c>
      <c r="H307" s="12">
        <f t="shared" si="19"/>
        <v>70125</v>
      </c>
      <c r="I307" s="13">
        <v>212500</v>
      </c>
      <c r="J307" s="14">
        <f>500*425</f>
        <v>212500</v>
      </c>
    </row>
    <row r="308" spans="1:10" ht="85" x14ac:dyDescent="0.2">
      <c r="A308" s="8">
        <v>7400</v>
      </c>
      <c r="B308" s="8">
        <v>680</v>
      </c>
      <c r="C308" s="8" t="s">
        <v>72</v>
      </c>
      <c r="D308" s="9">
        <v>2</v>
      </c>
      <c r="E308" s="10" t="s">
        <v>560</v>
      </c>
      <c r="F308" s="11"/>
      <c r="G308" s="12">
        <f t="shared" si="18"/>
        <v>670000</v>
      </c>
      <c r="H308" s="12">
        <f t="shared" si="19"/>
        <v>330000</v>
      </c>
      <c r="I308" s="13">
        <v>1000000</v>
      </c>
      <c r="J308" s="14">
        <f>ROUNDUP(170*2916+797*632.72,0)+2</f>
        <v>1000000</v>
      </c>
    </row>
    <row r="309" spans="1:10" ht="34" x14ac:dyDescent="0.2">
      <c r="A309" s="8">
        <v>7400</v>
      </c>
      <c r="B309" s="8">
        <v>680</v>
      </c>
      <c r="C309" s="8" t="s">
        <v>72</v>
      </c>
      <c r="D309" s="9">
        <v>3</v>
      </c>
      <c r="E309" s="10" t="s">
        <v>73</v>
      </c>
      <c r="F309" s="11"/>
      <c r="G309" s="12">
        <f t="shared" si="18"/>
        <v>1206000</v>
      </c>
      <c r="H309" s="12">
        <f t="shared" si="19"/>
        <v>594000</v>
      </c>
      <c r="I309" s="13">
        <v>1800000</v>
      </c>
      <c r="J309" s="14">
        <f>450000*4</f>
        <v>1800000</v>
      </c>
    </row>
    <row r="310" spans="1:10" ht="68" x14ac:dyDescent="0.2">
      <c r="A310" s="8">
        <v>7420</v>
      </c>
      <c r="B310" s="8">
        <v>681</v>
      </c>
      <c r="C310" s="8" t="s">
        <v>74</v>
      </c>
      <c r="D310" s="9">
        <v>1</v>
      </c>
      <c r="E310" s="10" t="s">
        <v>418</v>
      </c>
      <c r="F310" s="11"/>
      <c r="G310" s="12">
        <f t="shared" si="18"/>
        <v>2680000</v>
      </c>
      <c r="H310" s="12">
        <f t="shared" si="19"/>
        <v>1320000</v>
      </c>
      <c r="I310" s="13">
        <v>4000000</v>
      </c>
      <c r="J310" s="14">
        <v>4000000</v>
      </c>
    </row>
    <row r="311" spans="1:10" ht="68" x14ac:dyDescent="0.2">
      <c r="A311" s="8">
        <v>7420</v>
      </c>
      <c r="B311" s="8">
        <v>682</v>
      </c>
      <c r="C311" s="8" t="s">
        <v>74</v>
      </c>
      <c r="D311" s="9">
        <v>1</v>
      </c>
      <c r="E311" s="10" t="s">
        <v>75</v>
      </c>
      <c r="F311" s="11"/>
      <c r="G311" s="12">
        <f t="shared" si="18"/>
        <v>1427296</v>
      </c>
      <c r="H311" s="12">
        <f t="shared" si="19"/>
        <v>702997</v>
      </c>
      <c r="I311" s="13">
        <v>2130293</v>
      </c>
      <c r="J311" s="14">
        <f>2130293</f>
        <v>2130293</v>
      </c>
    </row>
    <row r="312" spans="1:10" ht="17" x14ac:dyDescent="0.2">
      <c r="A312" s="8" t="s">
        <v>201</v>
      </c>
      <c r="B312" s="8">
        <v>110</v>
      </c>
      <c r="C312" s="8" t="s">
        <v>49</v>
      </c>
      <c r="D312" s="9">
        <v>14</v>
      </c>
      <c r="E312" s="10" t="s">
        <v>202</v>
      </c>
      <c r="F312" s="52"/>
      <c r="G312" s="12">
        <f t="shared" si="18"/>
        <v>9525</v>
      </c>
      <c r="H312" s="12">
        <f t="shared" si="19"/>
        <v>4691</v>
      </c>
      <c r="I312" s="13">
        <f>7108*2</f>
        <v>14216</v>
      </c>
      <c r="J312" s="14">
        <v>14216</v>
      </c>
    </row>
    <row r="313" spans="1:10" ht="17" x14ac:dyDescent="0.2">
      <c r="A313" s="8" t="s">
        <v>201</v>
      </c>
      <c r="B313" s="8">
        <v>160</v>
      </c>
      <c r="C313" s="8" t="s">
        <v>49</v>
      </c>
      <c r="D313" s="9">
        <v>14</v>
      </c>
      <c r="E313" s="10" t="s">
        <v>203</v>
      </c>
      <c r="F313" s="10"/>
      <c r="G313" s="12">
        <f t="shared" si="18"/>
        <v>52382</v>
      </c>
      <c r="H313" s="12">
        <f t="shared" si="19"/>
        <v>25800</v>
      </c>
      <c r="I313" s="13">
        <f>39091*2</f>
        <v>78182</v>
      </c>
      <c r="J313" s="14">
        <v>78182</v>
      </c>
    </row>
    <row r="314" spans="1:10" ht="17" x14ac:dyDescent="0.2">
      <c r="A314" s="8" t="s">
        <v>201</v>
      </c>
      <c r="B314" s="8">
        <v>220</v>
      </c>
      <c r="C314" s="8" t="s">
        <v>49</v>
      </c>
      <c r="D314" s="9">
        <v>14</v>
      </c>
      <c r="E314" s="10" t="s">
        <v>204</v>
      </c>
      <c r="F314" s="10"/>
      <c r="G314" s="12">
        <f t="shared" si="18"/>
        <v>4737</v>
      </c>
      <c r="H314" s="12">
        <f t="shared" si="19"/>
        <v>2333</v>
      </c>
      <c r="I314" s="13">
        <f>3535*2</f>
        <v>7070</v>
      </c>
      <c r="J314" s="14">
        <v>7070</v>
      </c>
    </row>
    <row r="315" spans="1:10" ht="17" x14ac:dyDescent="0.2">
      <c r="A315" s="8" t="s">
        <v>201</v>
      </c>
      <c r="B315" s="8">
        <v>240</v>
      </c>
      <c r="C315" s="8" t="s">
        <v>49</v>
      </c>
      <c r="D315" s="9">
        <v>14</v>
      </c>
      <c r="E315" s="10" t="s">
        <v>205</v>
      </c>
      <c r="F315" s="10"/>
      <c r="G315" s="12">
        <f t="shared" si="18"/>
        <v>699</v>
      </c>
      <c r="H315" s="12">
        <f t="shared" si="19"/>
        <v>345</v>
      </c>
      <c r="I315" s="13">
        <f>522*2</f>
        <v>1044</v>
      </c>
      <c r="J315" s="14">
        <v>1044</v>
      </c>
    </row>
    <row r="316" spans="1:10" ht="34" x14ac:dyDescent="0.2">
      <c r="A316" s="8" t="s">
        <v>206</v>
      </c>
      <c r="B316" s="8">
        <v>160</v>
      </c>
      <c r="C316" s="8" t="s">
        <v>49</v>
      </c>
      <c r="D316" s="9">
        <v>14</v>
      </c>
      <c r="E316" s="10" t="s">
        <v>207</v>
      </c>
      <c r="F316" s="52"/>
      <c r="G316" s="12">
        <f t="shared" si="18"/>
        <v>1905</v>
      </c>
      <c r="H316" s="12">
        <f t="shared" si="19"/>
        <v>939</v>
      </c>
      <c r="I316" s="13">
        <f>1422*2</f>
        <v>2844</v>
      </c>
      <c r="J316" s="14">
        <v>2844</v>
      </c>
    </row>
    <row r="317" spans="1:10" ht="34" x14ac:dyDescent="0.2">
      <c r="A317" s="8" t="s">
        <v>206</v>
      </c>
      <c r="B317" s="8">
        <v>220</v>
      </c>
      <c r="C317" s="8" t="s">
        <v>49</v>
      </c>
      <c r="D317" s="9">
        <v>14</v>
      </c>
      <c r="E317" s="10" t="s">
        <v>208</v>
      </c>
      <c r="F317" s="52"/>
      <c r="G317" s="12">
        <f t="shared" si="18"/>
        <v>146</v>
      </c>
      <c r="H317" s="12">
        <f t="shared" si="19"/>
        <v>72</v>
      </c>
      <c r="I317" s="13">
        <f>109*2</f>
        <v>218</v>
      </c>
      <c r="J317" s="14">
        <v>218</v>
      </c>
    </row>
    <row r="318" spans="1:10" ht="34" x14ac:dyDescent="0.2">
      <c r="A318" s="8" t="s">
        <v>206</v>
      </c>
      <c r="B318" s="8">
        <v>240</v>
      </c>
      <c r="C318" s="8" t="s">
        <v>49</v>
      </c>
      <c r="D318" s="9">
        <v>14</v>
      </c>
      <c r="E318" s="10" t="s">
        <v>209</v>
      </c>
      <c r="F318" s="10"/>
      <c r="G318" s="12">
        <f t="shared" si="18"/>
        <v>23</v>
      </c>
      <c r="H318" s="12">
        <f t="shared" si="19"/>
        <v>11</v>
      </c>
      <c r="I318" s="13">
        <f>17*2</f>
        <v>34</v>
      </c>
      <c r="J318" s="14">
        <v>34</v>
      </c>
    </row>
    <row r="319" spans="1:10" ht="17" x14ac:dyDescent="0.2">
      <c r="A319" s="8" t="s">
        <v>210</v>
      </c>
      <c r="B319" s="8">
        <v>160</v>
      </c>
      <c r="C319" s="8" t="s">
        <v>49</v>
      </c>
      <c r="D319" s="9">
        <v>14</v>
      </c>
      <c r="E319" s="10" t="s">
        <v>211</v>
      </c>
      <c r="F319" s="10"/>
      <c r="G319" s="12">
        <f t="shared" si="18"/>
        <v>3810</v>
      </c>
      <c r="H319" s="12">
        <f t="shared" si="19"/>
        <v>1876</v>
      </c>
      <c r="I319" s="13">
        <f>2843*2</f>
        <v>5686</v>
      </c>
      <c r="J319" s="14">
        <v>5686</v>
      </c>
    </row>
    <row r="320" spans="1:10" ht="34" x14ac:dyDescent="0.2">
      <c r="A320" s="8" t="s">
        <v>210</v>
      </c>
      <c r="B320" s="8">
        <v>220</v>
      </c>
      <c r="C320" s="8" t="s">
        <v>49</v>
      </c>
      <c r="D320" s="9">
        <v>14</v>
      </c>
      <c r="E320" s="10" t="s">
        <v>212</v>
      </c>
      <c r="F320" s="10"/>
      <c r="G320" s="12">
        <f t="shared" si="18"/>
        <v>292</v>
      </c>
      <c r="H320" s="12">
        <f t="shared" si="19"/>
        <v>144</v>
      </c>
      <c r="I320" s="13">
        <f>218*2</f>
        <v>436</v>
      </c>
      <c r="J320" s="14">
        <v>436</v>
      </c>
    </row>
    <row r="321" spans="1:11" ht="17" x14ac:dyDescent="0.2">
      <c r="A321" s="8" t="s">
        <v>210</v>
      </c>
      <c r="B321" s="8">
        <v>240</v>
      </c>
      <c r="C321" s="8" t="s">
        <v>49</v>
      </c>
      <c r="D321" s="9">
        <v>14</v>
      </c>
      <c r="E321" s="10" t="s">
        <v>213</v>
      </c>
      <c r="F321" s="10"/>
      <c r="G321" s="12">
        <f t="shared" si="18"/>
        <v>44</v>
      </c>
      <c r="H321" s="12">
        <f t="shared" si="19"/>
        <v>22</v>
      </c>
      <c r="I321" s="13">
        <f>33*2</f>
        <v>66</v>
      </c>
      <c r="J321" s="14">
        <v>66</v>
      </c>
    </row>
    <row r="322" spans="1:11" ht="17" x14ac:dyDescent="0.2">
      <c r="A322" s="8" t="s">
        <v>214</v>
      </c>
      <c r="B322" s="8">
        <v>110</v>
      </c>
      <c r="C322" s="8" t="s">
        <v>49</v>
      </c>
      <c r="D322" s="9">
        <v>14</v>
      </c>
      <c r="E322" s="10" t="s">
        <v>215</v>
      </c>
      <c r="F322" s="10"/>
      <c r="G322" s="12">
        <f t="shared" si="18"/>
        <v>9525</v>
      </c>
      <c r="H322" s="12">
        <f t="shared" si="19"/>
        <v>4691</v>
      </c>
      <c r="I322" s="13">
        <f>7108*2</f>
        <v>14216</v>
      </c>
      <c r="J322" s="14">
        <v>14216</v>
      </c>
    </row>
    <row r="323" spans="1:11" ht="17" x14ac:dyDescent="0.2">
      <c r="A323" s="8" t="s">
        <v>214</v>
      </c>
      <c r="B323" s="8">
        <v>160</v>
      </c>
      <c r="C323" s="8" t="s">
        <v>49</v>
      </c>
      <c r="D323" s="9">
        <v>14</v>
      </c>
      <c r="E323" s="10" t="s">
        <v>216</v>
      </c>
      <c r="F323" s="10"/>
      <c r="G323" s="12">
        <f t="shared" si="18"/>
        <v>38096</v>
      </c>
      <c r="H323" s="12">
        <f t="shared" si="19"/>
        <v>18764</v>
      </c>
      <c r="I323" s="13">
        <f>28430*2</f>
        <v>56860</v>
      </c>
      <c r="J323" s="14">
        <v>56860</v>
      </c>
    </row>
    <row r="324" spans="1:11" ht="34" x14ac:dyDescent="0.2">
      <c r="A324" s="8" t="s">
        <v>214</v>
      </c>
      <c r="B324" s="8">
        <v>220</v>
      </c>
      <c r="C324" s="8" t="s">
        <v>49</v>
      </c>
      <c r="D324" s="9">
        <v>14</v>
      </c>
      <c r="E324" s="10" t="s">
        <v>217</v>
      </c>
      <c r="F324" s="10"/>
      <c r="G324" s="12">
        <f t="shared" si="18"/>
        <v>3643</v>
      </c>
      <c r="H324" s="12">
        <f t="shared" si="19"/>
        <v>1795</v>
      </c>
      <c r="I324" s="13">
        <f>2719*2</f>
        <v>5438</v>
      </c>
      <c r="J324" s="14">
        <v>5438</v>
      </c>
    </row>
    <row r="325" spans="1:11" ht="17" x14ac:dyDescent="0.2">
      <c r="A325" s="8" t="s">
        <v>214</v>
      </c>
      <c r="B325" s="8">
        <v>240</v>
      </c>
      <c r="C325" s="8" t="s">
        <v>49</v>
      </c>
      <c r="D325" s="9">
        <v>14</v>
      </c>
      <c r="E325" s="10" t="s">
        <v>218</v>
      </c>
      <c r="F325" s="10"/>
      <c r="G325" s="12">
        <f t="shared" si="18"/>
        <v>539</v>
      </c>
      <c r="H325" s="12">
        <f t="shared" si="19"/>
        <v>265</v>
      </c>
      <c r="I325" s="13">
        <f>402*2</f>
        <v>804</v>
      </c>
      <c r="J325" s="14">
        <v>804</v>
      </c>
    </row>
    <row r="326" spans="1:11" ht="34" x14ac:dyDescent="0.2">
      <c r="A326" s="8">
        <v>7730</v>
      </c>
      <c r="B326" s="8">
        <v>330</v>
      </c>
      <c r="C326" s="8" t="s">
        <v>49</v>
      </c>
      <c r="D326" s="9">
        <v>6</v>
      </c>
      <c r="E326" s="10" t="s">
        <v>419</v>
      </c>
      <c r="F326" s="54"/>
      <c r="G326" s="12">
        <f t="shared" si="18"/>
        <v>4502</v>
      </c>
      <c r="H326" s="12">
        <f t="shared" si="19"/>
        <v>2218</v>
      </c>
      <c r="I326" s="32">
        <v>6720</v>
      </c>
      <c r="J326" s="14">
        <f>100*12*0.56*5*2</f>
        <v>6720.0000000000009</v>
      </c>
      <c r="K326" s="14" t="s">
        <v>511</v>
      </c>
    </row>
    <row r="327" spans="1:11" ht="68" x14ac:dyDescent="0.2">
      <c r="A327" s="8">
        <v>7730</v>
      </c>
      <c r="B327" s="8">
        <v>335</v>
      </c>
      <c r="C327" s="8" t="s">
        <v>49</v>
      </c>
      <c r="D327" s="9">
        <v>6</v>
      </c>
      <c r="E327" s="10" t="s">
        <v>420</v>
      </c>
      <c r="F327" s="54"/>
      <c r="G327" s="12">
        <f t="shared" si="18"/>
        <v>26800</v>
      </c>
      <c r="H327" s="12">
        <f t="shared" si="19"/>
        <v>13200</v>
      </c>
      <c r="I327" s="32">
        <v>40000</v>
      </c>
      <c r="J327" s="14">
        <f>5*2000*2*2</f>
        <v>40000</v>
      </c>
    </row>
    <row r="328" spans="1:11" ht="136" x14ac:dyDescent="0.2">
      <c r="A328" s="8">
        <v>7730</v>
      </c>
      <c r="B328" s="8">
        <v>369</v>
      </c>
      <c r="C328" s="8" t="s">
        <v>49</v>
      </c>
      <c r="D328" s="9">
        <v>3</v>
      </c>
      <c r="E328" s="19" t="s">
        <v>576</v>
      </c>
      <c r="F328" s="54"/>
      <c r="G328" s="12">
        <f t="shared" si="18"/>
        <v>29480</v>
      </c>
      <c r="H328" s="12">
        <f t="shared" si="19"/>
        <v>14520</v>
      </c>
      <c r="I328" s="32">
        <v>44000</v>
      </c>
      <c r="J328" s="14">
        <f>5000*2+2000*2+6000*4+3000*2</f>
        <v>44000</v>
      </c>
      <c r="K328" s="14" t="s">
        <v>512</v>
      </c>
    </row>
    <row r="329" spans="1:11" ht="34" x14ac:dyDescent="0.2">
      <c r="A329" s="8">
        <v>7730</v>
      </c>
      <c r="B329" s="8">
        <v>590</v>
      </c>
      <c r="C329" s="8" t="s">
        <v>49</v>
      </c>
      <c r="D329" s="9">
        <v>8</v>
      </c>
      <c r="E329" s="19" t="s">
        <v>569</v>
      </c>
      <c r="F329" s="54"/>
      <c r="G329" s="12">
        <f t="shared" si="18"/>
        <v>4020</v>
      </c>
      <c r="H329" s="12">
        <f t="shared" si="19"/>
        <v>1980</v>
      </c>
      <c r="I329" s="32">
        <v>6000</v>
      </c>
      <c r="J329" s="14">
        <v>6000</v>
      </c>
    </row>
    <row r="330" spans="1:11" ht="102" x14ac:dyDescent="0.2">
      <c r="A330" s="8">
        <v>7730</v>
      </c>
      <c r="B330" s="8">
        <v>644</v>
      </c>
      <c r="C330" s="8" t="s">
        <v>49</v>
      </c>
      <c r="D330" s="9">
        <v>5</v>
      </c>
      <c r="E330" s="10" t="s">
        <v>568</v>
      </c>
      <c r="F330" s="54"/>
      <c r="G330" s="12">
        <f t="shared" si="18"/>
        <v>10023</v>
      </c>
      <c r="H330" s="12">
        <f t="shared" si="19"/>
        <v>4937</v>
      </c>
      <c r="I330" s="32">
        <v>14960</v>
      </c>
      <c r="J330" s="14">
        <f>55*272</f>
        <v>14960</v>
      </c>
    </row>
    <row r="331" spans="1:11" ht="51" x14ac:dyDescent="0.2">
      <c r="A331" s="8">
        <v>7730</v>
      </c>
      <c r="B331" s="8">
        <v>730</v>
      </c>
      <c r="C331" s="8" t="s">
        <v>49</v>
      </c>
      <c r="D331" s="9">
        <v>7</v>
      </c>
      <c r="E331" s="10" t="s">
        <v>544</v>
      </c>
      <c r="F331" s="54"/>
      <c r="G331" s="12">
        <f t="shared" si="18"/>
        <v>3015</v>
      </c>
      <c r="H331" s="12">
        <f t="shared" si="19"/>
        <v>1485</v>
      </c>
      <c r="I331" s="32">
        <v>4500</v>
      </c>
      <c r="J331" s="14">
        <f>750*3*2</f>
        <v>4500</v>
      </c>
    </row>
    <row r="332" spans="1:11" ht="136" x14ac:dyDescent="0.2">
      <c r="A332" s="8">
        <v>7730</v>
      </c>
      <c r="B332" s="8">
        <v>750</v>
      </c>
      <c r="C332" s="8" t="s">
        <v>49</v>
      </c>
      <c r="D332" s="9">
        <v>14</v>
      </c>
      <c r="E332" s="10" t="s">
        <v>491</v>
      </c>
      <c r="F332" s="53"/>
      <c r="G332" s="12">
        <f t="shared" si="18"/>
        <v>710200</v>
      </c>
      <c r="H332" s="12">
        <f t="shared" si="19"/>
        <v>349800</v>
      </c>
      <c r="I332" s="13">
        <f>60000+1000000</f>
        <v>1060000</v>
      </c>
      <c r="J332" s="14">
        <f>150*200*2+5000*100*2</f>
        <v>1060000</v>
      </c>
    </row>
    <row r="333" spans="1:11" ht="17" x14ac:dyDescent="0.2">
      <c r="A333" s="8" t="s">
        <v>219</v>
      </c>
      <c r="B333" s="8">
        <v>110</v>
      </c>
      <c r="C333" s="8" t="s">
        <v>49</v>
      </c>
      <c r="D333" s="9">
        <v>14</v>
      </c>
      <c r="E333" s="10" t="s">
        <v>220</v>
      </c>
      <c r="F333" s="10"/>
      <c r="G333" s="12">
        <f t="shared" si="18"/>
        <v>1905</v>
      </c>
      <c r="H333" s="12">
        <f t="shared" si="19"/>
        <v>939</v>
      </c>
      <c r="I333" s="13">
        <f>1422*2</f>
        <v>2844</v>
      </c>
      <c r="J333" s="14">
        <v>2844</v>
      </c>
    </row>
    <row r="334" spans="1:11" ht="17" x14ac:dyDescent="0.2">
      <c r="A334" s="8" t="s">
        <v>219</v>
      </c>
      <c r="B334" s="8">
        <v>160</v>
      </c>
      <c r="C334" s="8" t="s">
        <v>49</v>
      </c>
      <c r="D334" s="9">
        <v>14</v>
      </c>
      <c r="E334" s="10" t="s">
        <v>221</v>
      </c>
      <c r="F334" s="10"/>
      <c r="G334" s="12">
        <f t="shared" si="18"/>
        <v>20001</v>
      </c>
      <c r="H334" s="12">
        <f t="shared" si="19"/>
        <v>9851</v>
      </c>
      <c r="I334" s="13">
        <f>14926*2</f>
        <v>29852</v>
      </c>
      <c r="J334" s="14">
        <v>29852</v>
      </c>
    </row>
    <row r="335" spans="1:11" ht="34" x14ac:dyDescent="0.2">
      <c r="A335" s="8" t="s">
        <v>219</v>
      </c>
      <c r="B335" s="8">
        <v>220</v>
      </c>
      <c r="C335" s="8" t="s">
        <v>49</v>
      </c>
      <c r="D335" s="9">
        <v>14</v>
      </c>
      <c r="E335" s="10" t="s">
        <v>222</v>
      </c>
      <c r="F335" s="10"/>
      <c r="G335" s="12">
        <f t="shared" si="18"/>
        <v>1676</v>
      </c>
      <c r="H335" s="12">
        <f t="shared" si="19"/>
        <v>826</v>
      </c>
      <c r="I335" s="13">
        <f>1251*2</f>
        <v>2502</v>
      </c>
      <c r="J335" s="14">
        <v>2502</v>
      </c>
    </row>
    <row r="336" spans="1:11" ht="17" x14ac:dyDescent="0.2">
      <c r="A336" s="8" t="s">
        <v>219</v>
      </c>
      <c r="B336" s="8">
        <v>240</v>
      </c>
      <c r="C336" s="8" t="s">
        <v>49</v>
      </c>
      <c r="D336" s="9">
        <v>14</v>
      </c>
      <c r="E336" s="10" t="s">
        <v>223</v>
      </c>
      <c r="F336" s="10"/>
      <c r="G336" s="12">
        <f t="shared" si="18"/>
        <v>248</v>
      </c>
      <c r="H336" s="12">
        <f t="shared" si="19"/>
        <v>122</v>
      </c>
      <c r="I336" s="13">
        <f>185*2</f>
        <v>370</v>
      </c>
      <c r="J336" s="14">
        <v>370</v>
      </c>
    </row>
    <row r="337" spans="1:11" ht="17" x14ac:dyDescent="0.2">
      <c r="A337" s="8" t="s">
        <v>224</v>
      </c>
      <c r="B337" s="8">
        <v>160</v>
      </c>
      <c r="C337" s="8" t="s">
        <v>49</v>
      </c>
      <c r="D337" s="9">
        <v>14</v>
      </c>
      <c r="E337" s="10" t="s">
        <v>225</v>
      </c>
      <c r="F337" s="10"/>
      <c r="G337" s="12">
        <f t="shared" si="18"/>
        <v>32381</v>
      </c>
      <c r="H337" s="12">
        <f t="shared" si="19"/>
        <v>15949</v>
      </c>
      <c r="I337" s="13">
        <f>24165*2</f>
        <v>48330</v>
      </c>
      <c r="J337" s="14">
        <v>48330</v>
      </c>
    </row>
    <row r="338" spans="1:11" ht="17" x14ac:dyDescent="0.2">
      <c r="A338" s="8" t="s">
        <v>224</v>
      </c>
      <c r="B338" s="8">
        <v>220</v>
      </c>
      <c r="C338" s="8" t="s">
        <v>49</v>
      </c>
      <c r="D338" s="9">
        <v>14</v>
      </c>
      <c r="E338" s="10" t="s">
        <v>226</v>
      </c>
      <c r="F338" s="10"/>
      <c r="G338" s="12">
        <f t="shared" si="18"/>
        <v>2478</v>
      </c>
      <c r="H338" s="12">
        <f t="shared" si="19"/>
        <v>1220</v>
      </c>
      <c r="I338" s="13">
        <f>1849*2</f>
        <v>3698</v>
      </c>
      <c r="J338" s="14">
        <v>3698</v>
      </c>
    </row>
    <row r="339" spans="1:11" ht="17" x14ac:dyDescent="0.2">
      <c r="A339" s="8" t="s">
        <v>224</v>
      </c>
      <c r="B339" s="8">
        <v>240</v>
      </c>
      <c r="C339" s="8" t="s">
        <v>49</v>
      </c>
      <c r="D339" s="9">
        <v>14</v>
      </c>
      <c r="E339" s="10" t="s">
        <v>227</v>
      </c>
      <c r="F339" s="10"/>
      <c r="G339" s="12">
        <f t="shared" si="18"/>
        <v>367</v>
      </c>
      <c r="H339" s="12">
        <f t="shared" si="19"/>
        <v>181</v>
      </c>
      <c r="I339" s="13">
        <f>274*2</f>
        <v>548</v>
      </c>
      <c r="J339" s="14">
        <v>548</v>
      </c>
    </row>
    <row r="340" spans="1:11" ht="17" x14ac:dyDescent="0.2">
      <c r="A340" s="8" t="s">
        <v>228</v>
      </c>
      <c r="B340" s="8">
        <v>160</v>
      </c>
      <c r="C340" s="8" t="s">
        <v>49</v>
      </c>
      <c r="D340" s="9">
        <v>14</v>
      </c>
      <c r="E340" s="10" t="s">
        <v>229</v>
      </c>
      <c r="F340" s="10"/>
      <c r="G340" s="12">
        <f t="shared" ref="G340:G378" si="20">ROUND(I340*0.67,0)</f>
        <v>9525</v>
      </c>
      <c r="H340" s="12">
        <f t="shared" si="19"/>
        <v>4691</v>
      </c>
      <c r="I340" s="13">
        <f>7108*2</f>
        <v>14216</v>
      </c>
      <c r="J340" s="14">
        <v>14216</v>
      </c>
    </row>
    <row r="341" spans="1:11" ht="34" x14ac:dyDescent="0.2">
      <c r="A341" s="8" t="s">
        <v>228</v>
      </c>
      <c r="B341" s="8">
        <v>220</v>
      </c>
      <c r="C341" s="8" t="s">
        <v>49</v>
      </c>
      <c r="D341" s="9">
        <v>14</v>
      </c>
      <c r="E341" s="10" t="s">
        <v>230</v>
      </c>
      <c r="F341" s="10"/>
      <c r="G341" s="12">
        <f t="shared" si="20"/>
        <v>729</v>
      </c>
      <c r="H341" s="12">
        <f t="shared" si="19"/>
        <v>359</v>
      </c>
      <c r="I341" s="13">
        <f>544*2</f>
        <v>1088</v>
      </c>
      <c r="J341" s="14">
        <v>1088</v>
      </c>
    </row>
    <row r="342" spans="1:11" ht="17" x14ac:dyDescent="0.2">
      <c r="A342" s="8" t="s">
        <v>228</v>
      </c>
      <c r="B342" s="8">
        <v>240</v>
      </c>
      <c r="C342" s="8" t="s">
        <v>49</v>
      </c>
      <c r="D342" s="9">
        <v>14</v>
      </c>
      <c r="E342" s="10" t="s">
        <v>231</v>
      </c>
      <c r="F342" s="10"/>
      <c r="G342" s="12">
        <f t="shared" si="20"/>
        <v>109</v>
      </c>
      <c r="H342" s="12">
        <f t="shared" si="19"/>
        <v>53</v>
      </c>
      <c r="I342" s="13">
        <f>81*2</f>
        <v>162</v>
      </c>
      <c r="J342" s="14">
        <v>162</v>
      </c>
    </row>
    <row r="343" spans="1:11" ht="17" x14ac:dyDescent="0.2">
      <c r="A343" s="8">
        <v>7800</v>
      </c>
      <c r="B343" s="8">
        <v>110</v>
      </c>
      <c r="C343" s="8" t="s">
        <v>49</v>
      </c>
      <c r="D343" s="9">
        <v>14</v>
      </c>
      <c r="E343" s="10" t="s">
        <v>232</v>
      </c>
      <c r="F343" s="10"/>
      <c r="G343" s="12">
        <f t="shared" si="20"/>
        <v>1905</v>
      </c>
      <c r="H343" s="12">
        <f t="shared" si="19"/>
        <v>939</v>
      </c>
      <c r="I343" s="13">
        <f>1422*2</f>
        <v>2844</v>
      </c>
      <c r="J343" s="14">
        <v>2844</v>
      </c>
    </row>
    <row r="344" spans="1:11" ht="68" x14ac:dyDescent="0.2">
      <c r="A344" s="8">
        <v>7800</v>
      </c>
      <c r="B344" s="8">
        <v>160</v>
      </c>
      <c r="C344" s="8" t="s">
        <v>16</v>
      </c>
      <c r="D344" s="9">
        <v>7</v>
      </c>
      <c r="E344" s="10" t="s">
        <v>425</v>
      </c>
      <c r="F344" s="53"/>
      <c r="G344" s="12">
        <f t="shared" si="20"/>
        <v>163747</v>
      </c>
      <c r="H344" s="12">
        <f t="shared" si="19"/>
        <v>80651</v>
      </c>
      <c r="I344" s="13">
        <v>244398</v>
      </c>
      <c r="J344" s="14">
        <f>50*17.45*6*23+17.97*6*23*50</f>
        <v>244398</v>
      </c>
    </row>
    <row r="345" spans="1:11" ht="68" x14ac:dyDescent="0.2">
      <c r="A345" s="8">
        <v>7800</v>
      </c>
      <c r="B345" s="8">
        <v>160</v>
      </c>
      <c r="C345" s="8" t="s">
        <v>16</v>
      </c>
      <c r="D345" s="9">
        <v>8</v>
      </c>
      <c r="E345" s="10" t="s">
        <v>77</v>
      </c>
      <c r="F345" s="53"/>
      <c r="G345" s="12">
        <f t="shared" si="20"/>
        <v>46730</v>
      </c>
      <c r="H345" s="12">
        <f t="shared" si="19"/>
        <v>23016</v>
      </c>
      <c r="I345" s="13">
        <v>69746</v>
      </c>
      <c r="J345" s="14">
        <f>ROUNDUP(20*12.45*6*23+12.82*6*23*20,0)</f>
        <v>69746</v>
      </c>
    </row>
    <row r="346" spans="1:11" ht="51" x14ac:dyDescent="0.2">
      <c r="A346" s="8">
        <v>7800</v>
      </c>
      <c r="B346" s="69">
        <v>160</v>
      </c>
      <c r="C346" s="8" t="s">
        <v>72</v>
      </c>
      <c r="D346" s="9">
        <v>1</v>
      </c>
      <c r="E346" s="36" t="s">
        <v>545</v>
      </c>
      <c r="F346" s="53"/>
      <c r="G346" s="12">
        <f t="shared" si="20"/>
        <v>412792</v>
      </c>
      <c r="H346" s="12">
        <f t="shared" si="19"/>
        <v>203315</v>
      </c>
      <c r="I346" s="13">
        <f>303467+312640</f>
        <v>616107</v>
      </c>
      <c r="J346" s="14">
        <f>ROUNDUP(13*19.85*6*196,0)+ROUNDUP(13*20.45*6*196,0)</f>
        <v>616107</v>
      </c>
      <c r="K346" s="14" t="s">
        <v>513</v>
      </c>
    </row>
    <row r="347" spans="1:11" ht="17" x14ac:dyDescent="0.2">
      <c r="A347" s="8">
        <v>7800</v>
      </c>
      <c r="B347" s="69">
        <v>210</v>
      </c>
      <c r="C347" s="8" t="s">
        <v>72</v>
      </c>
      <c r="D347" s="9">
        <v>1</v>
      </c>
      <c r="E347" s="36" t="s">
        <v>554</v>
      </c>
      <c r="F347" s="53"/>
      <c r="G347" s="12">
        <f t="shared" ref="G347:G352" si="21">ROUND(I347*0.67,0)</f>
        <v>47100</v>
      </c>
      <c r="H347" s="12">
        <f t="shared" si="19"/>
        <v>23198</v>
      </c>
      <c r="I347" s="37">
        <f>I346*0.1141</f>
        <v>70297.808699999994</v>
      </c>
      <c r="J347" s="14">
        <f>ROUNDUP($J$346*Retirement,0)</f>
        <v>70298</v>
      </c>
      <c r="K347" s="14" t="s">
        <v>514</v>
      </c>
    </row>
    <row r="348" spans="1:11" ht="17" x14ac:dyDescent="0.2">
      <c r="A348" s="8">
        <v>7800</v>
      </c>
      <c r="B348" s="69">
        <v>220</v>
      </c>
      <c r="C348" s="8" t="s">
        <v>72</v>
      </c>
      <c r="D348" s="9">
        <v>1</v>
      </c>
      <c r="E348" s="36" t="s">
        <v>555</v>
      </c>
      <c r="F348" s="53"/>
      <c r="G348" s="12">
        <f t="shared" si="21"/>
        <v>25593</v>
      </c>
      <c r="H348" s="12">
        <f t="shared" si="19"/>
        <v>12606</v>
      </c>
      <c r="I348" s="37">
        <f>I346*0.062</f>
        <v>38198.633999999998</v>
      </c>
      <c r="J348" s="14">
        <f>ROUNDUP($J$346*FICA,0)</f>
        <v>38199</v>
      </c>
      <c r="K348" s="14" t="s">
        <v>514</v>
      </c>
    </row>
    <row r="349" spans="1:11" ht="17" x14ac:dyDescent="0.2">
      <c r="A349" s="8">
        <v>7800</v>
      </c>
      <c r="B349" s="69">
        <v>230</v>
      </c>
      <c r="C349" s="8" t="s">
        <v>72</v>
      </c>
      <c r="D349" s="9">
        <v>1</v>
      </c>
      <c r="E349" s="36" t="s">
        <v>556</v>
      </c>
      <c r="F349" s="53"/>
      <c r="G349" s="12">
        <f t="shared" si="21"/>
        <v>70546</v>
      </c>
      <c r="H349" s="12">
        <f t="shared" si="19"/>
        <v>34747</v>
      </c>
      <c r="I349" s="37">
        <f>I346*0.1709</f>
        <v>105292.6863</v>
      </c>
      <c r="J349" s="14">
        <f>ROUNDUP($J$346*Health,0)</f>
        <v>105293</v>
      </c>
      <c r="K349" s="14" t="s">
        <v>514</v>
      </c>
    </row>
    <row r="350" spans="1:11" ht="17" x14ac:dyDescent="0.2">
      <c r="A350" s="8">
        <v>7800</v>
      </c>
      <c r="B350" s="69">
        <v>231</v>
      </c>
      <c r="C350" s="8" t="s">
        <v>72</v>
      </c>
      <c r="D350" s="9">
        <v>1</v>
      </c>
      <c r="E350" s="36" t="s">
        <v>557</v>
      </c>
      <c r="F350" s="53"/>
      <c r="G350" s="12">
        <f t="shared" si="21"/>
        <v>908</v>
      </c>
      <c r="H350" s="12">
        <f t="shared" si="19"/>
        <v>447</v>
      </c>
      <c r="I350" s="37">
        <f>I346*0.0022</f>
        <v>1355.4354000000001</v>
      </c>
      <c r="J350" s="14">
        <f>ROUNDUP($J$346*Life,0)</f>
        <v>1356</v>
      </c>
      <c r="K350" s="14" t="s">
        <v>514</v>
      </c>
    </row>
    <row r="351" spans="1:11" ht="17" x14ac:dyDescent="0.2">
      <c r="A351" s="8">
        <v>7800</v>
      </c>
      <c r="B351" s="69">
        <v>232</v>
      </c>
      <c r="C351" s="8" t="s">
        <v>72</v>
      </c>
      <c r="D351" s="9">
        <v>1</v>
      </c>
      <c r="E351" s="36" t="s">
        <v>558</v>
      </c>
      <c r="F351" s="53"/>
      <c r="G351" s="12">
        <f t="shared" si="21"/>
        <v>4665</v>
      </c>
      <c r="H351" s="12">
        <f t="shared" si="19"/>
        <v>2297</v>
      </c>
      <c r="I351" s="37">
        <f>I346*0.0113</f>
        <v>6962.0090999999993</v>
      </c>
      <c r="J351" s="14">
        <f>ROUNDUP(Work_Comp*$J$346,0)</f>
        <v>6963</v>
      </c>
      <c r="K351" s="14" t="s">
        <v>514</v>
      </c>
    </row>
    <row r="352" spans="1:11" ht="17" x14ac:dyDescent="0.2">
      <c r="A352" s="8">
        <v>7800</v>
      </c>
      <c r="B352" s="69">
        <v>233</v>
      </c>
      <c r="C352" s="8" t="s">
        <v>72</v>
      </c>
      <c r="D352" s="9">
        <v>1</v>
      </c>
      <c r="E352" s="36" t="s">
        <v>559</v>
      </c>
      <c r="F352" s="53"/>
      <c r="G352" s="12">
        <f t="shared" si="21"/>
        <v>5985</v>
      </c>
      <c r="H352" s="12">
        <f t="shared" si="19"/>
        <v>2948</v>
      </c>
      <c r="I352" s="37">
        <f>I346*0.0145</f>
        <v>8933.5514999999996</v>
      </c>
      <c r="J352" s="14">
        <f>ROUNDUP($J$346*Medicare,0)</f>
        <v>8934</v>
      </c>
      <c r="K352" s="14" t="s">
        <v>514</v>
      </c>
    </row>
    <row r="353" spans="1:11" ht="51" x14ac:dyDescent="0.2">
      <c r="A353" s="8">
        <v>7800</v>
      </c>
      <c r="B353" s="69">
        <v>160</v>
      </c>
      <c r="C353" s="8" t="s">
        <v>72</v>
      </c>
      <c r="D353" s="9">
        <v>1</v>
      </c>
      <c r="E353" s="36" t="s">
        <v>546</v>
      </c>
      <c r="F353" s="53"/>
      <c r="G353" s="12">
        <f t="shared" si="20"/>
        <v>308826</v>
      </c>
      <c r="H353" s="12">
        <f t="shared" si="19"/>
        <v>152108</v>
      </c>
      <c r="I353" s="13">
        <v>460934</v>
      </c>
      <c r="J353" s="14">
        <f>ROUNDUP(13*14.85*6*196,0)+ROUNDUP(13*15.3*6*196,0)</f>
        <v>460934</v>
      </c>
      <c r="K353" s="14" t="s">
        <v>513</v>
      </c>
    </row>
    <row r="354" spans="1:11" ht="34" x14ac:dyDescent="0.2">
      <c r="A354" s="8">
        <v>7800</v>
      </c>
      <c r="B354" s="8">
        <v>160</v>
      </c>
      <c r="C354" s="8" t="s">
        <v>49</v>
      </c>
      <c r="D354" s="9">
        <v>14</v>
      </c>
      <c r="E354" s="10" t="s">
        <v>547</v>
      </c>
      <c r="F354" s="10"/>
      <c r="G354" s="12">
        <f t="shared" si="20"/>
        <v>737142</v>
      </c>
      <c r="H354" s="12">
        <f t="shared" ref="H354:H378" si="22">ROUND(I354*0.33,0)</f>
        <v>363070</v>
      </c>
      <c r="I354" s="13">
        <f>550106*2</f>
        <v>1100212</v>
      </c>
      <c r="J354" s="14">
        <v>1100212</v>
      </c>
    </row>
    <row r="355" spans="1:11" ht="34" x14ac:dyDescent="0.2">
      <c r="A355" s="8">
        <v>7800</v>
      </c>
      <c r="B355" s="8">
        <v>210</v>
      </c>
      <c r="C355" s="8" t="s">
        <v>16</v>
      </c>
      <c r="D355" s="9">
        <v>7</v>
      </c>
      <c r="E355" s="10" t="s">
        <v>428</v>
      </c>
      <c r="F355" s="53"/>
      <c r="G355" s="12">
        <f t="shared" si="20"/>
        <v>18684</v>
      </c>
      <c r="H355" s="12">
        <f t="shared" si="22"/>
        <v>9202</v>
      </c>
      <c r="I355" s="13">
        <v>27886</v>
      </c>
      <c r="J355" s="14">
        <f>ROUNDUP($J$344*Retirement,0)</f>
        <v>27886</v>
      </c>
    </row>
    <row r="356" spans="1:11" ht="34" x14ac:dyDescent="0.2">
      <c r="A356" s="8">
        <v>7800</v>
      </c>
      <c r="B356" s="8">
        <v>210</v>
      </c>
      <c r="C356" s="8" t="s">
        <v>16</v>
      </c>
      <c r="D356" s="9">
        <v>8</v>
      </c>
      <c r="E356" s="10" t="s">
        <v>429</v>
      </c>
      <c r="F356" s="53"/>
      <c r="G356" s="12">
        <f t="shared" si="20"/>
        <v>5333</v>
      </c>
      <c r="H356" s="12">
        <f t="shared" si="22"/>
        <v>2626</v>
      </c>
      <c r="I356" s="13">
        <v>7959</v>
      </c>
      <c r="J356" s="14">
        <f>ROUNDUP(Retirement*$J$345,0)</f>
        <v>7959</v>
      </c>
    </row>
    <row r="357" spans="1:11" ht="17" x14ac:dyDescent="0.2">
      <c r="A357" s="8">
        <v>7800</v>
      </c>
      <c r="B357" s="69">
        <v>210</v>
      </c>
      <c r="C357" s="8" t="s">
        <v>72</v>
      </c>
      <c r="D357" s="9">
        <v>1</v>
      </c>
      <c r="E357" s="36" t="s">
        <v>548</v>
      </c>
      <c r="F357" s="53"/>
      <c r="G357" s="12">
        <f t="shared" si="20"/>
        <v>35237</v>
      </c>
      <c r="H357" s="12">
        <f t="shared" si="22"/>
        <v>17356</v>
      </c>
      <c r="I357" s="37">
        <f>I353*0.1141</f>
        <v>52592.5694</v>
      </c>
      <c r="J357" s="14">
        <f>ROUNDUP($J$353*Retirement,0)</f>
        <v>52593</v>
      </c>
      <c r="K357" s="14" t="s">
        <v>514</v>
      </c>
    </row>
    <row r="358" spans="1:11" ht="17" x14ac:dyDescent="0.2">
      <c r="A358" s="8">
        <v>7800</v>
      </c>
      <c r="B358" s="8">
        <v>220</v>
      </c>
      <c r="C358" s="8" t="s">
        <v>16</v>
      </c>
      <c r="D358" s="9">
        <v>7</v>
      </c>
      <c r="E358" s="10" t="s">
        <v>79</v>
      </c>
      <c r="F358" s="53"/>
      <c r="G358" s="12">
        <f t="shared" si="20"/>
        <v>10153</v>
      </c>
      <c r="H358" s="12">
        <f t="shared" si="22"/>
        <v>5000</v>
      </c>
      <c r="I358" s="13">
        <v>15153</v>
      </c>
      <c r="J358" s="14">
        <f>ROUNDUP(FICA*$J$344,0)</f>
        <v>15153</v>
      </c>
    </row>
    <row r="359" spans="1:11" ht="34" x14ac:dyDescent="0.2">
      <c r="A359" s="8">
        <v>7800</v>
      </c>
      <c r="B359" s="8">
        <v>220</v>
      </c>
      <c r="C359" s="8" t="s">
        <v>16</v>
      </c>
      <c r="D359" s="9">
        <v>7</v>
      </c>
      <c r="E359" s="10" t="s">
        <v>430</v>
      </c>
      <c r="F359" s="53"/>
      <c r="G359" s="12">
        <f t="shared" si="20"/>
        <v>2374</v>
      </c>
      <c r="H359" s="12">
        <f t="shared" si="22"/>
        <v>1170</v>
      </c>
      <c r="I359" s="13">
        <v>3544</v>
      </c>
      <c r="J359" s="14">
        <f>ROUNDUP(Medicare*$J$344,0)</f>
        <v>3544</v>
      </c>
    </row>
    <row r="360" spans="1:11" ht="17" x14ac:dyDescent="0.2">
      <c r="A360" s="8">
        <v>7800</v>
      </c>
      <c r="B360" s="8">
        <v>220</v>
      </c>
      <c r="C360" s="8" t="s">
        <v>16</v>
      </c>
      <c r="D360" s="9">
        <v>8</v>
      </c>
      <c r="E360" s="10" t="s">
        <v>80</v>
      </c>
      <c r="F360" s="53"/>
      <c r="G360" s="12">
        <f t="shared" si="20"/>
        <v>2898</v>
      </c>
      <c r="H360" s="12">
        <f t="shared" si="22"/>
        <v>1427</v>
      </c>
      <c r="I360" s="13">
        <v>4325</v>
      </c>
      <c r="J360" s="14">
        <f>ROUNDUP(FICA*$J$345,0)</f>
        <v>4325</v>
      </c>
    </row>
    <row r="361" spans="1:11" ht="34" x14ac:dyDescent="0.2">
      <c r="A361" s="8">
        <v>7800</v>
      </c>
      <c r="B361" s="8">
        <v>220</v>
      </c>
      <c r="C361" s="8" t="s">
        <v>16</v>
      </c>
      <c r="D361" s="9">
        <v>8</v>
      </c>
      <c r="E361" s="10" t="s">
        <v>431</v>
      </c>
      <c r="F361" s="53"/>
      <c r="G361" s="12">
        <f t="shared" si="20"/>
        <v>678</v>
      </c>
      <c r="H361" s="12">
        <f t="shared" si="22"/>
        <v>334</v>
      </c>
      <c r="I361" s="13">
        <v>1012</v>
      </c>
      <c r="J361" s="14">
        <f>ROUNDUP(Medicare*$J$345,0)</f>
        <v>1012</v>
      </c>
    </row>
    <row r="362" spans="1:11" ht="17" x14ac:dyDescent="0.2">
      <c r="A362" s="8">
        <v>7800</v>
      </c>
      <c r="B362" s="69">
        <v>220</v>
      </c>
      <c r="C362" s="8" t="s">
        <v>72</v>
      </c>
      <c r="D362" s="9">
        <v>1</v>
      </c>
      <c r="E362" s="36" t="s">
        <v>550</v>
      </c>
      <c r="F362" s="53"/>
      <c r="G362" s="12">
        <f t="shared" si="20"/>
        <v>19147</v>
      </c>
      <c r="H362" s="12">
        <f t="shared" si="22"/>
        <v>9431</v>
      </c>
      <c r="I362" s="37">
        <f>I353*0.062</f>
        <v>28577.907999999999</v>
      </c>
      <c r="J362" s="14">
        <f>ROUNDUP($J$353*FICA,0)</f>
        <v>28578</v>
      </c>
      <c r="K362" s="14" t="s">
        <v>514</v>
      </c>
    </row>
    <row r="363" spans="1:11" ht="34" x14ac:dyDescent="0.2">
      <c r="A363" s="8">
        <v>7800</v>
      </c>
      <c r="B363" s="8">
        <v>220</v>
      </c>
      <c r="C363" s="8" t="s">
        <v>49</v>
      </c>
      <c r="D363" s="9">
        <v>14</v>
      </c>
      <c r="E363" s="10" t="s">
        <v>264</v>
      </c>
      <c r="F363" s="10"/>
      <c r="G363" s="12">
        <f t="shared" si="20"/>
        <v>56537</v>
      </c>
      <c r="H363" s="12">
        <f t="shared" si="22"/>
        <v>27847</v>
      </c>
      <c r="I363" s="13">
        <f>42192*2</f>
        <v>84384</v>
      </c>
      <c r="J363" s="14">
        <v>84384</v>
      </c>
    </row>
    <row r="364" spans="1:11" ht="17" x14ac:dyDescent="0.2">
      <c r="A364" s="8">
        <v>7800</v>
      </c>
      <c r="B364" s="69">
        <v>230</v>
      </c>
      <c r="C364" s="8" t="s">
        <v>72</v>
      </c>
      <c r="D364" s="9">
        <v>1</v>
      </c>
      <c r="E364" s="36" t="s">
        <v>551</v>
      </c>
      <c r="F364" s="53"/>
      <c r="G364" s="12">
        <f t="shared" si="20"/>
        <v>52778</v>
      </c>
      <c r="H364" s="12">
        <f t="shared" si="22"/>
        <v>25995</v>
      </c>
      <c r="I364" s="37">
        <f>I353*0.1709</f>
        <v>78773.620599999995</v>
      </c>
      <c r="J364" s="14">
        <f>ROUNDUP($J$353*Health,0)</f>
        <v>78774</v>
      </c>
      <c r="K364" s="14" t="s">
        <v>514</v>
      </c>
    </row>
    <row r="365" spans="1:11" ht="17" x14ac:dyDescent="0.2">
      <c r="A365" s="8">
        <v>7800</v>
      </c>
      <c r="B365" s="69">
        <v>231</v>
      </c>
      <c r="C365" s="8" t="s">
        <v>72</v>
      </c>
      <c r="D365" s="9">
        <v>1</v>
      </c>
      <c r="E365" s="36" t="s">
        <v>552</v>
      </c>
      <c r="F365" s="53"/>
      <c r="G365" s="12">
        <f t="shared" si="20"/>
        <v>679</v>
      </c>
      <c r="H365" s="12">
        <f t="shared" si="22"/>
        <v>335</v>
      </c>
      <c r="I365" s="37">
        <f>I353*0.0022</f>
        <v>1014.0548000000001</v>
      </c>
      <c r="J365" s="14">
        <f>ROUNDUP($J$353*Life,0)</f>
        <v>1015</v>
      </c>
      <c r="K365" s="14" t="s">
        <v>514</v>
      </c>
    </row>
    <row r="366" spans="1:11" ht="17" x14ac:dyDescent="0.2">
      <c r="A366" s="8">
        <v>7800</v>
      </c>
      <c r="B366" s="69">
        <v>232</v>
      </c>
      <c r="C366" s="8" t="s">
        <v>72</v>
      </c>
      <c r="D366" s="9">
        <v>1</v>
      </c>
      <c r="E366" s="36" t="s">
        <v>553</v>
      </c>
      <c r="F366" s="53"/>
      <c r="G366" s="12">
        <f t="shared" si="20"/>
        <v>3490</v>
      </c>
      <c r="H366" s="12">
        <f t="shared" si="22"/>
        <v>1719</v>
      </c>
      <c r="I366" s="37">
        <f>I353*0.0113</f>
        <v>5208.5541999999996</v>
      </c>
      <c r="J366" s="14">
        <f>ROUNDUP($J$353*Work_Comp,0)</f>
        <v>5209</v>
      </c>
      <c r="K366" s="14" t="s">
        <v>514</v>
      </c>
    </row>
    <row r="367" spans="1:11" ht="17" x14ac:dyDescent="0.2">
      <c r="A367" s="8">
        <v>7800</v>
      </c>
      <c r="B367" s="69">
        <v>233</v>
      </c>
      <c r="C367" s="8" t="s">
        <v>72</v>
      </c>
      <c r="D367" s="9">
        <v>1</v>
      </c>
      <c r="E367" s="36" t="s">
        <v>549</v>
      </c>
      <c r="F367" s="53"/>
      <c r="G367" s="12">
        <f t="shared" si="20"/>
        <v>4478</v>
      </c>
      <c r="H367" s="12">
        <f t="shared" si="22"/>
        <v>2206</v>
      </c>
      <c r="I367" s="37">
        <f>I353*0.0145</f>
        <v>6683.5430000000006</v>
      </c>
      <c r="J367" s="14">
        <f>ROUNDUP($J$353*Medicare,0)</f>
        <v>6684</v>
      </c>
      <c r="K367" s="14" t="s">
        <v>514</v>
      </c>
    </row>
    <row r="368" spans="1:11" ht="17" x14ac:dyDescent="0.2">
      <c r="A368" s="8">
        <v>7800</v>
      </c>
      <c r="B368" s="8">
        <v>240</v>
      </c>
      <c r="C368" s="8" t="s">
        <v>49</v>
      </c>
      <c r="D368" s="9">
        <v>14</v>
      </c>
      <c r="E368" s="10" t="s">
        <v>234</v>
      </c>
      <c r="F368" s="10"/>
      <c r="G368" s="12">
        <f t="shared" si="20"/>
        <v>8351</v>
      </c>
      <c r="H368" s="12">
        <f t="shared" si="22"/>
        <v>4113</v>
      </c>
      <c r="I368" s="13">
        <f>6232*2</f>
        <v>12464</v>
      </c>
      <c r="J368" s="14">
        <v>12464</v>
      </c>
    </row>
    <row r="369" spans="1:12" ht="68" x14ac:dyDescent="0.2">
      <c r="A369" s="8">
        <v>7800</v>
      </c>
      <c r="B369" s="8">
        <v>394</v>
      </c>
      <c r="C369" s="8" t="s">
        <v>55</v>
      </c>
      <c r="D369" s="9" t="s">
        <v>64</v>
      </c>
      <c r="E369" s="10" t="s">
        <v>517</v>
      </c>
      <c r="F369" s="53"/>
      <c r="G369" s="12">
        <f t="shared" si="20"/>
        <v>11246</v>
      </c>
      <c r="H369" s="12">
        <f t="shared" si="22"/>
        <v>5539</v>
      </c>
      <c r="I369" s="13">
        <v>16785</v>
      </c>
      <c r="J369" s="14">
        <v>16785</v>
      </c>
      <c r="K369" s="14" t="s">
        <v>518</v>
      </c>
    </row>
    <row r="370" spans="1:12" ht="17" x14ac:dyDescent="0.2">
      <c r="A370" s="8">
        <v>7800</v>
      </c>
      <c r="B370" s="8">
        <v>450</v>
      </c>
      <c r="C370" s="8" t="s">
        <v>16</v>
      </c>
      <c r="D370" s="9">
        <v>9</v>
      </c>
      <c r="E370" s="17" t="s">
        <v>432</v>
      </c>
      <c r="F370" s="54"/>
      <c r="G370" s="12">
        <f t="shared" si="20"/>
        <v>67000</v>
      </c>
      <c r="H370" s="12">
        <f t="shared" si="22"/>
        <v>33000</v>
      </c>
      <c r="I370" s="32">
        <v>100000</v>
      </c>
      <c r="J370" s="14">
        <v>100000</v>
      </c>
    </row>
    <row r="371" spans="1:12" ht="17" x14ac:dyDescent="0.2">
      <c r="A371" s="8">
        <v>7800</v>
      </c>
      <c r="B371" s="8">
        <v>460</v>
      </c>
      <c r="C371" s="8" t="s">
        <v>16</v>
      </c>
      <c r="D371" s="9">
        <v>9</v>
      </c>
      <c r="E371" s="10" t="s">
        <v>433</v>
      </c>
      <c r="F371" s="53"/>
      <c r="G371" s="12">
        <f t="shared" si="20"/>
        <v>67000</v>
      </c>
      <c r="H371" s="12">
        <f t="shared" si="22"/>
        <v>33000</v>
      </c>
      <c r="I371" s="13">
        <v>100000</v>
      </c>
      <c r="J371" s="14">
        <v>100000</v>
      </c>
    </row>
    <row r="372" spans="1:12" ht="51" x14ac:dyDescent="0.2">
      <c r="A372" s="8">
        <v>7800</v>
      </c>
      <c r="B372" s="8">
        <v>510</v>
      </c>
      <c r="C372" s="8" t="s">
        <v>13</v>
      </c>
      <c r="D372" s="9">
        <v>2</v>
      </c>
      <c r="E372" s="10" t="s">
        <v>519</v>
      </c>
      <c r="F372" s="53"/>
      <c r="G372" s="12">
        <f t="shared" si="20"/>
        <v>134000</v>
      </c>
      <c r="H372" s="12">
        <f t="shared" si="22"/>
        <v>66000</v>
      </c>
      <c r="I372" s="13">
        <v>200000</v>
      </c>
      <c r="J372" s="14">
        <v>200000</v>
      </c>
    </row>
    <row r="373" spans="1:12" ht="34" x14ac:dyDescent="0.2">
      <c r="A373" s="8">
        <v>7800</v>
      </c>
      <c r="B373" s="69">
        <v>651</v>
      </c>
      <c r="C373" s="8" t="s">
        <v>72</v>
      </c>
      <c r="D373" s="9">
        <v>2</v>
      </c>
      <c r="E373" s="10" t="s">
        <v>88</v>
      </c>
      <c r="F373" s="53"/>
      <c r="G373" s="12">
        <f t="shared" si="20"/>
        <v>976191</v>
      </c>
      <c r="H373" s="12">
        <f t="shared" si="22"/>
        <v>480810</v>
      </c>
      <c r="I373" s="13">
        <v>1457001</v>
      </c>
      <c r="J373" s="14">
        <f>13*112077</f>
        <v>1457001</v>
      </c>
    </row>
    <row r="374" spans="1:12" ht="17" x14ac:dyDescent="0.2">
      <c r="A374" s="8" t="s">
        <v>235</v>
      </c>
      <c r="B374" s="8">
        <v>110</v>
      </c>
      <c r="C374" s="8" t="s">
        <v>49</v>
      </c>
      <c r="D374" s="9">
        <v>14</v>
      </c>
      <c r="E374" s="10" t="s">
        <v>236</v>
      </c>
      <c r="F374" s="10"/>
      <c r="G374" s="12">
        <f t="shared" si="20"/>
        <v>7619</v>
      </c>
      <c r="H374" s="12">
        <f t="shared" si="22"/>
        <v>3753</v>
      </c>
      <c r="I374" s="13">
        <f>5686*2</f>
        <v>11372</v>
      </c>
      <c r="J374" s="14">
        <v>11372</v>
      </c>
    </row>
    <row r="375" spans="1:12" ht="34" x14ac:dyDescent="0.2">
      <c r="A375" s="8">
        <v>7900</v>
      </c>
      <c r="B375" s="69">
        <v>160</v>
      </c>
      <c r="C375" s="8" t="s">
        <v>47</v>
      </c>
      <c r="D375" s="9">
        <v>5</v>
      </c>
      <c r="E375" s="19" t="s">
        <v>434</v>
      </c>
      <c r="F375" s="53"/>
      <c r="G375" s="12">
        <f t="shared" si="20"/>
        <v>3618</v>
      </c>
      <c r="H375" s="12">
        <f t="shared" si="22"/>
        <v>1782</v>
      </c>
      <c r="I375" s="13">
        <v>5400</v>
      </c>
      <c r="J375" s="14">
        <f>6*30*5*3*2</f>
        <v>5400</v>
      </c>
    </row>
    <row r="376" spans="1:12" ht="17" x14ac:dyDescent="0.2">
      <c r="A376" s="8" t="s">
        <v>235</v>
      </c>
      <c r="B376" s="8">
        <v>160</v>
      </c>
      <c r="C376" s="8" t="s">
        <v>49</v>
      </c>
      <c r="D376" s="9">
        <v>14</v>
      </c>
      <c r="E376" s="10" t="s">
        <v>237</v>
      </c>
      <c r="F376" s="10"/>
      <c r="G376" s="12">
        <f t="shared" si="20"/>
        <v>1119997</v>
      </c>
      <c r="H376" s="12">
        <f t="shared" si="22"/>
        <v>551641</v>
      </c>
      <c r="I376" s="13">
        <f>835819*2</f>
        <v>1671638</v>
      </c>
      <c r="J376" s="14">
        <v>1671638</v>
      </c>
    </row>
    <row r="377" spans="1:12" ht="17" x14ac:dyDescent="0.2">
      <c r="A377" s="8">
        <v>7900</v>
      </c>
      <c r="B377" s="69">
        <v>210</v>
      </c>
      <c r="C377" s="8" t="s">
        <v>47</v>
      </c>
      <c r="D377" s="9">
        <v>5</v>
      </c>
      <c r="E377" s="10" t="s">
        <v>435</v>
      </c>
      <c r="F377" s="53"/>
      <c r="G377" s="12">
        <f t="shared" si="20"/>
        <v>413</v>
      </c>
      <c r="H377" s="12">
        <f t="shared" si="22"/>
        <v>204</v>
      </c>
      <c r="I377" s="13">
        <v>617</v>
      </c>
      <c r="J377" s="14">
        <f>ROUNDUP($J$375*Retirement,0)</f>
        <v>617</v>
      </c>
    </row>
    <row r="378" spans="1:12" ht="17" x14ac:dyDescent="0.2">
      <c r="A378" s="8">
        <v>7900</v>
      </c>
      <c r="B378" s="69">
        <v>220</v>
      </c>
      <c r="C378" s="8" t="s">
        <v>47</v>
      </c>
      <c r="D378" s="9">
        <v>5</v>
      </c>
      <c r="E378" s="33" t="s">
        <v>436</v>
      </c>
      <c r="F378" s="53"/>
      <c r="G378" s="12">
        <f t="shared" si="20"/>
        <v>224</v>
      </c>
      <c r="H378" s="12">
        <f t="shared" si="22"/>
        <v>111</v>
      </c>
      <c r="I378" s="13">
        <v>335</v>
      </c>
      <c r="J378" s="14">
        <f>ROUNDUP($J$375*FICA,0)</f>
        <v>335</v>
      </c>
    </row>
    <row r="379" spans="1:12" ht="34" x14ac:dyDescent="0.2">
      <c r="A379" s="8">
        <v>7900</v>
      </c>
      <c r="B379" s="69">
        <v>220</v>
      </c>
      <c r="C379" s="8" t="s">
        <v>47</v>
      </c>
      <c r="D379" s="9">
        <v>5</v>
      </c>
      <c r="E379" s="10" t="s">
        <v>438</v>
      </c>
      <c r="F379" s="53"/>
      <c r="G379" s="12">
        <v>53</v>
      </c>
      <c r="H379" s="12">
        <v>26</v>
      </c>
      <c r="I379" s="13">
        <v>62</v>
      </c>
      <c r="J379" s="14">
        <f>ROUNDUP(Work_Comp*$J$375,)</f>
        <v>62</v>
      </c>
    </row>
    <row r="380" spans="1:12" ht="34" x14ac:dyDescent="0.2">
      <c r="A380" s="8" t="s">
        <v>235</v>
      </c>
      <c r="B380" s="8">
        <v>220</v>
      </c>
      <c r="C380" s="8" t="s">
        <v>49</v>
      </c>
      <c r="D380" s="9">
        <v>14</v>
      </c>
      <c r="E380" s="10" t="s">
        <v>238</v>
      </c>
      <c r="F380" s="10"/>
      <c r="G380" s="12">
        <f>ROUND(I380*0.67,0)</f>
        <v>86263</v>
      </c>
      <c r="H380" s="12">
        <f>ROUND(I380*0.33,0)</f>
        <v>42488</v>
      </c>
      <c r="I380" s="13">
        <f>64375*2</f>
        <v>128750</v>
      </c>
      <c r="J380" s="14">
        <v>128750</v>
      </c>
    </row>
    <row r="381" spans="1:12" ht="17" x14ac:dyDescent="0.2">
      <c r="A381" s="8">
        <v>7900</v>
      </c>
      <c r="B381" s="69">
        <v>240</v>
      </c>
      <c r="C381" s="8" t="s">
        <v>47</v>
      </c>
      <c r="D381" s="9">
        <v>5</v>
      </c>
      <c r="E381" s="10" t="s">
        <v>437</v>
      </c>
      <c r="F381" s="11"/>
      <c r="G381" s="12">
        <v>41</v>
      </c>
      <c r="H381" s="12">
        <v>21</v>
      </c>
      <c r="I381" s="13">
        <v>79</v>
      </c>
      <c r="J381" s="14">
        <f>ROUNDUP(Medicare*$J$375,0)</f>
        <v>79</v>
      </c>
      <c r="L381" s="14"/>
    </row>
    <row r="382" spans="1:12" ht="17" x14ac:dyDescent="0.2">
      <c r="A382" s="8" t="s">
        <v>235</v>
      </c>
      <c r="B382" s="8">
        <v>240</v>
      </c>
      <c r="C382" s="8" t="s">
        <v>49</v>
      </c>
      <c r="D382" s="9">
        <v>14</v>
      </c>
      <c r="E382" s="10" t="s">
        <v>239</v>
      </c>
      <c r="F382" s="52"/>
      <c r="G382" s="12">
        <f t="shared" ref="G382:G410" si="23">ROUND(I382*0.67,0)</f>
        <v>12741</v>
      </c>
      <c r="H382" s="12">
        <f t="shared" ref="H382:H410" si="24">ROUND(I382*0.33,0)</f>
        <v>6275</v>
      </c>
      <c r="I382" s="13">
        <f>9508*2</f>
        <v>19016</v>
      </c>
      <c r="J382" s="14">
        <v>19016</v>
      </c>
      <c r="L382" s="14"/>
    </row>
    <row r="383" spans="1:12" ht="51" x14ac:dyDescent="0.2">
      <c r="A383" s="8">
        <v>7900</v>
      </c>
      <c r="B383" s="8">
        <v>394</v>
      </c>
      <c r="C383" s="8" t="s">
        <v>89</v>
      </c>
      <c r="D383" s="9" t="s">
        <v>90</v>
      </c>
      <c r="E383" s="10" t="s">
        <v>439</v>
      </c>
      <c r="F383" s="11"/>
      <c r="G383" s="12">
        <f t="shared" si="23"/>
        <v>71516</v>
      </c>
      <c r="H383" s="12">
        <f t="shared" si="24"/>
        <v>35224</v>
      </c>
      <c r="I383" s="13">
        <v>106740</v>
      </c>
      <c r="J383" s="14">
        <f>60720+30000+6000+10020</f>
        <v>106740</v>
      </c>
    </row>
    <row r="384" spans="1:12" ht="68" x14ac:dyDescent="0.2">
      <c r="A384" s="8">
        <v>7900</v>
      </c>
      <c r="B384" s="8">
        <v>394</v>
      </c>
      <c r="C384" s="8" t="s">
        <v>72</v>
      </c>
      <c r="D384" s="9" t="s">
        <v>64</v>
      </c>
      <c r="E384" s="38" t="s">
        <v>442</v>
      </c>
      <c r="F384" s="11"/>
      <c r="G384" s="12">
        <f t="shared" si="23"/>
        <v>13065</v>
      </c>
      <c r="H384" s="12">
        <f t="shared" si="24"/>
        <v>6435</v>
      </c>
      <c r="I384" s="13">
        <v>19500</v>
      </c>
      <c r="J384" s="14">
        <v>19500</v>
      </c>
    </row>
    <row r="385" spans="1:55" ht="119" x14ac:dyDescent="0.2">
      <c r="A385" s="8">
        <v>7900</v>
      </c>
      <c r="B385" s="8">
        <v>510</v>
      </c>
      <c r="C385" s="8" t="s">
        <v>13</v>
      </c>
      <c r="D385" s="9">
        <v>3</v>
      </c>
      <c r="E385" s="10" t="s">
        <v>440</v>
      </c>
      <c r="F385" s="11"/>
      <c r="G385" s="12">
        <f t="shared" si="23"/>
        <v>694158</v>
      </c>
      <c r="H385" s="12">
        <f t="shared" si="24"/>
        <v>341898</v>
      </c>
      <c r="I385" s="13">
        <v>1036056</v>
      </c>
      <c r="J385" s="14">
        <f>(41.22*2000)+(69*2000)+815616</f>
        <v>1036056</v>
      </c>
    </row>
    <row r="386" spans="1:55" ht="34" x14ac:dyDescent="0.2">
      <c r="A386" s="8">
        <v>7900</v>
      </c>
      <c r="B386" s="8">
        <v>590</v>
      </c>
      <c r="C386" s="8" t="s">
        <v>13</v>
      </c>
      <c r="D386" s="9">
        <v>4</v>
      </c>
      <c r="E386" s="10" t="s">
        <v>577</v>
      </c>
      <c r="F386" s="11"/>
      <c r="G386" s="12">
        <f t="shared" si="23"/>
        <v>285594</v>
      </c>
      <c r="H386" s="12">
        <f t="shared" si="24"/>
        <v>140665</v>
      </c>
      <c r="I386" s="13">
        <f>426240+53-34</f>
        <v>426259</v>
      </c>
      <c r="J386" s="14">
        <f>ROUNDUP(60.0026*3*1184*2,0)</f>
        <v>426259</v>
      </c>
    </row>
    <row r="387" spans="1:55" ht="85" x14ac:dyDescent="0.2">
      <c r="A387" s="8">
        <v>7900</v>
      </c>
      <c r="B387" s="8">
        <v>641</v>
      </c>
      <c r="C387" s="8" t="s">
        <v>13</v>
      </c>
      <c r="D387" s="9">
        <v>7</v>
      </c>
      <c r="E387" s="10" t="s">
        <v>441</v>
      </c>
      <c r="F387" s="11"/>
      <c r="G387" s="12">
        <f t="shared" si="23"/>
        <v>210460</v>
      </c>
      <c r="H387" s="12">
        <f t="shared" si="24"/>
        <v>103660</v>
      </c>
      <c r="I387" s="13">
        <v>314120</v>
      </c>
      <c r="J387" s="14">
        <f>11278*20+4428*20</f>
        <v>314120</v>
      </c>
    </row>
    <row r="388" spans="1:55" ht="51" x14ac:dyDescent="0.2">
      <c r="A388" s="8">
        <v>7900</v>
      </c>
      <c r="B388" s="8">
        <v>642</v>
      </c>
      <c r="C388" s="8" t="s">
        <v>13</v>
      </c>
      <c r="D388" s="9">
        <v>6</v>
      </c>
      <c r="E388" s="10" t="s">
        <v>92</v>
      </c>
      <c r="F388" s="11"/>
      <c r="G388" s="12">
        <f t="shared" si="23"/>
        <v>92460</v>
      </c>
      <c r="H388" s="12">
        <f t="shared" si="24"/>
        <v>45540</v>
      </c>
      <c r="I388" s="13">
        <v>138000</v>
      </c>
      <c r="J388" s="14">
        <f>400*345</f>
        <v>138000</v>
      </c>
    </row>
    <row r="389" spans="1:55" ht="17" x14ac:dyDescent="0.2">
      <c r="A389" s="8" t="s">
        <v>240</v>
      </c>
      <c r="B389" s="8">
        <v>110</v>
      </c>
      <c r="C389" s="8" t="s">
        <v>49</v>
      </c>
      <c r="D389" s="9">
        <v>14</v>
      </c>
      <c r="E389" s="10" t="s">
        <v>241</v>
      </c>
      <c r="F389" s="52"/>
      <c r="G389" s="12">
        <f t="shared" si="23"/>
        <v>1905</v>
      </c>
      <c r="H389" s="12">
        <f t="shared" si="24"/>
        <v>939</v>
      </c>
      <c r="I389" s="13">
        <f>1422*2</f>
        <v>2844</v>
      </c>
      <c r="J389" s="14">
        <v>2844</v>
      </c>
    </row>
    <row r="390" spans="1:55" ht="17" x14ac:dyDescent="0.2">
      <c r="A390" s="8" t="s">
        <v>240</v>
      </c>
      <c r="B390" s="8">
        <v>160</v>
      </c>
      <c r="C390" s="8" t="s">
        <v>49</v>
      </c>
      <c r="D390" s="9">
        <v>14</v>
      </c>
      <c r="E390" s="10" t="s">
        <v>242</v>
      </c>
      <c r="F390" s="52"/>
      <c r="G390" s="12">
        <f t="shared" si="23"/>
        <v>222857</v>
      </c>
      <c r="H390" s="12">
        <f t="shared" si="24"/>
        <v>109765</v>
      </c>
      <c r="I390" s="13">
        <f>166311*2</f>
        <v>332622</v>
      </c>
      <c r="J390" s="14">
        <v>332622</v>
      </c>
    </row>
    <row r="391" spans="1:55" ht="34" x14ac:dyDescent="0.2">
      <c r="A391" s="8" t="s">
        <v>240</v>
      </c>
      <c r="B391" s="8">
        <v>220</v>
      </c>
      <c r="C391" s="8" t="s">
        <v>49</v>
      </c>
      <c r="D391" s="9">
        <v>14</v>
      </c>
      <c r="E391" s="10" t="s">
        <v>243</v>
      </c>
      <c r="F391" s="52"/>
      <c r="G391" s="12">
        <f t="shared" si="23"/>
        <v>17195</v>
      </c>
      <c r="H391" s="12">
        <f t="shared" si="24"/>
        <v>8469</v>
      </c>
      <c r="I391" s="13">
        <f>12832*2</f>
        <v>25664</v>
      </c>
      <c r="J391" s="14">
        <v>25664</v>
      </c>
    </row>
    <row r="392" spans="1:55" ht="17" x14ac:dyDescent="0.2">
      <c r="A392" s="8" t="s">
        <v>240</v>
      </c>
      <c r="B392" s="8">
        <v>240</v>
      </c>
      <c r="C392" s="8" t="s">
        <v>49</v>
      </c>
      <c r="D392" s="9">
        <v>14</v>
      </c>
      <c r="E392" s="10" t="s">
        <v>244</v>
      </c>
      <c r="F392" s="52"/>
      <c r="G392" s="12">
        <f t="shared" si="23"/>
        <v>2541</v>
      </c>
      <c r="H392" s="12">
        <f t="shared" si="24"/>
        <v>1251</v>
      </c>
      <c r="I392" s="13">
        <f>1896*2</f>
        <v>3792</v>
      </c>
      <c r="J392" s="14">
        <v>3792</v>
      </c>
    </row>
    <row r="393" spans="1:55" ht="17" x14ac:dyDescent="0.2">
      <c r="A393" s="8" t="s">
        <v>245</v>
      </c>
      <c r="B393" s="8">
        <v>110</v>
      </c>
      <c r="C393" s="8" t="s">
        <v>49</v>
      </c>
      <c r="D393" s="9">
        <v>14</v>
      </c>
      <c r="E393" s="10" t="s">
        <v>246</v>
      </c>
      <c r="F393" s="52"/>
      <c r="G393" s="12">
        <f t="shared" si="23"/>
        <v>3810</v>
      </c>
      <c r="H393" s="12">
        <f t="shared" si="24"/>
        <v>1876</v>
      </c>
      <c r="I393" s="13">
        <f>2843*2</f>
        <v>5686</v>
      </c>
      <c r="J393" s="14">
        <v>5686</v>
      </c>
    </row>
    <row r="394" spans="1:55" ht="17" x14ac:dyDescent="0.2">
      <c r="A394" s="8" t="s">
        <v>245</v>
      </c>
      <c r="B394" s="8">
        <v>130</v>
      </c>
      <c r="C394" s="8" t="s">
        <v>49</v>
      </c>
      <c r="D394" s="9">
        <v>14</v>
      </c>
      <c r="E394" s="10" t="s">
        <v>247</v>
      </c>
      <c r="F394" s="52"/>
      <c r="G394" s="12">
        <f t="shared" si="23"/>
        <v>1905</v>
      </c>
      <c r="H394" s="12">
        <f t="shared" si="24"/>
        <v>939</v>
      </c>
      <c r="I394" s="13">
        <f>1422*2</f>
        <v>2844</v>
      </c>
      <c r="J394" s="14">
        <v>2844</v>
      </c>
    </row>
    <row r="395" spans="1:55" ht="34" x14ac:dyDescent="0.2">
      <c r="A395" s="8" t="s">
        <v>245</v>
      </c>
      <c r="B395" s="8">
        <v>160</v>
      </c>
      <c r="C395" s="8" t="s">
        <v>49</v>
      </c>
      <c r="D395" s="9">
        <v>14</v>
      </c>
      <c r="E395" s="10" t="s">
        <v>248</v>
      </c>
      <c r="F395" s="52"/>
      <c r="G395" s="12">
        <f t="shared" si="23"/>
        <v>40000</v>
      </c>
      <c r="H395" s="12">
        <f t="shared" si="24"/>
        <v>19702</v>
      </c>
      <c r="I395" s="13">
        <f>29851*2</f>
        <v>59702</v>
      </c>
      <c r="J395" s="14">
        <v>59702</v>
      </c>
    </row>
    <row r="396" spans="1:55" ht="34" x14ac:dyDescent="0.2">
      <c r="A396" s="8" t="s">
        <v>245</v>
      </c>
      <c r="B396" s="8">
        <v>220</v>
      </c>
      <c r="C396" s="8" t="s">
        <v>49</v>
      </c>
      <c r="D396" s="9">
        <v>14</v>
      </c>
      <c r="E396" s="10" t="s">
        <v>249</v>
      </c>
      <c r="F396" s="52"/>
      <c r="G396" s="12">
        <f t="shared" si="23"/>
        <v>3497</v>
      </c>
      <c r="H396" s="12">
        <f t="shared" si="24"/>
        <v>1723</v>
      </c>
      <c r="I396" s="13">
        <f>2610*2</f>
        <v>5220</v>
      </c>
      <c r="J396" s="14">
        <v>5220</v>
      </c>
    </row>
    <row r="397" spans="1:55" ht="17" x14ac:dyDescent="0.2">
      <c r="A397" s="8" t="s">
        <v>245</v>
      </c>
      <c r="B397" s="8">
        <v>240</v>
      </c>
      <c r="C397" s="8" t="s">
        <v>49</v>
      </c>
      <c r="D397" s="9">
        <v>14</v>
      </c>
      <c r="E397" s="10" t="s">
        <v>250</v>
      </c>
      <c r="F397" s="52"/>
      <c r="G397" s="12">
        <f t="shared" si="23"/>
        <v>517</v>
      </c>
      <c r="H397" s="12">
        <f t="shared" si="24"/>
        <v>255</v>
      </c>
      <c r="I397" s="13">
        <f>386*2</f>
        <v>772</v>
      </c>
      <c r="J397" s="14">
        <v>772</v>
      </c>
    </row>
    <row r="398" spans="1:55" s="14" customFormat="1" ht="102" x14ac:dyDescent="0.2">
      <c r="A398" s="8">
        <v>9100</v>
      </c>
      <c r="B398" s="8">
        <v>110</v>
      </c>
      <c r="C398" s="8" t="s">
        <v>49</v>
      </c>
      <c r="D398" s="9">
        <v>13</v>
      </c>
      <c r="E398" s="10" t="s">
        <v>443</v>
      </c>
      <c r="F398" s="11">
        <v>1</v>
      </c>
      <c r="G398" s="12">
        <f t="shared" si="23"/>
        <v>139930</v>
      </c>
      <c r="H398" s="12">
        <f t="shared" si="24"/>
        <v>68921</v>
      </c>
      <c r="I398" s="13">
        <v>208851</v>
      </c>
      <c r="J398" s="14">
        <f>102882+105969</f>
        <v>208851</v>
      </c>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row>
    <row r="399" spans="1:55" s="14" customFormat="1" ht="17" x14ac:dyDescent="0.2">
      <c r="A399" s="8" t="s">
        <v>251</v>
      </c>
      <c r="B399" s="8">
        <v>110</v>
      </c>
      <c r="C399" s="8" t="s">
        <v>49</v>
      </c>
      <c r="D399" s="9">
        <v>14</v>
      </c>
      <c r="E399" s="10" t="s">
        <v>252</v>
      </c>
      <c r="F399" s="52"/>
      <c r="G399" s="12">
        <f t="shared" si="23"/>
        <v>1905</v>
      </c>
      <c r="H399" s="12">
        <f t="shared" si="24"/>
        <v>939</v>
      </c>
      <c r="I399" s="13">
        <f>1422*2</f>
        <v>2844</v>
      </c>
      <c r="J399" s="14">
        <v>2844</v>
      </c>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row>
    <row r="400" spans="1:55" s="14" customFormat="1" ht="17" x14ac:dyDescent="0.2">
      <c r="A400" s="8" t="s">
        <v>251</v>
      </c>
      <c r="B400" s="8">
        <v>130</v>
      </c>
      <c r="C400" s="8" t="s">
        <v>49</v>
      </c>
      <c r="D400" s="9">
        <v>14</v>
      </c>
      <c r="E400" s="10" t="s">
        <v>253</v>
      </c>
      <c r="F400" s="52"/>
      <c r="G400" s="12">
        <f t="shared" si="23"/>
        <v>1905</v>
      </c>
      <c r="H400" s="12">
        <f t="shared" si="24"/>
        <v>939</v>
      </c>
      <c r="I400" s="13">
        <f>1422*2</f>
        <v>2844</v>
      </c>
      <c r="J400" s="14">
        <v>2844</v>
      </c>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row>
    <row r="401" spans="1:55" s="14" customFormat="1" ht="17" x14ac:dyDescent="0.2">
      <c r="A401" s="8" t="s">
        <v>251</v>
      </c>
      <c r="B401" s="8">
        <v>160</v>
      </c>
      <c r="C401" s="8" t="s">
        <v>49</v>
      </c>
      <c r="D401" s="9">
        <v>14</v>
      </c>
      <c r="E401" s="10" t="s">
        <v>254</v>
      </c>
      <c r="F401" s="52"/>
      <c r="G401" s="12">
        <f t="shared" si="23"/>
        <v>63335</v>
      </c>
      <c r="H401" s="12">
        <f t="shared" si="24"/>
        <v>31195</v>
      </c>
      <c r="I401" s="13">
        <f>47265*2</f>
        <v>94530</v>
      </c>
      <c r="J401" s="14">
        <v>94530</v>
      </c>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row>
    <row r="402" spans="1:55" s="14" customFormat="1" ht="34" x14ac:dyDescent="0.2">
      <c r="A402" s="8">
        <v>9100</v>
      </c>
      <c r="B402" s="8">
        <v>210</v>
      </c>
      <c r="C402" s="8" t="s">
        <v>49</v>
      </c>
      <c r="D402" s="9">
        <v>13</v>
      </c>
      <c r="E402" s="10" t="s">
        <v>444</v>
      </c>
      <c r="F402" s="11"/>
      <c r="G402" s="12">
        <f t="shared" si="23"/>
        <v>15966</v>
      </c>
      <c r="H402" s="12">
        <f t="shared" si="24"/>
        <v>7864</v>
      </c>
      <c r="I402" s="13">
        <v>23830</v>
      </c>
      <c r="J402" s="14">
        <f>ROUNDUP(Retirement*$J$398,0)</f>
        <v>23830</v>
      </c>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row>
    <row r="403" spans="1:55" s="14" customFormat="1" ht="17" x14ac:dyDescent="0.2">
      <c r="A403" s="8">
        <v>9100</v>
      </c>
      <c r="B403" s="8">
        <v>220</v>
      </c>
      <c r="C403" s="8" t="s">
        <v>49</v>
      </c>
      <c r="D403" s="9">
        <v>13</v>
      </c>
      <c r="E403" s="10" t="s">
        <v>445</v>
      </c>
      <c r="F403" s="11"/>
      <c r="G403" s="12">
        <f t="shared" si="23"/>
        <v>8676</v>
      </c>
      <c r="H403" s="12">
        <f t="shared" si="24"/>
        <v>4273</v>
      </c>
      <c r="I403" s="13">
        <v>12949</v>
      </c>
      <c r="J403" s="14">
        <f>ROUNDUP($J$398*FICA,0)</f>
        <v>12949</v>
      </c>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row>
    <row r="404" spans="1:55" s="14" customFormat="1" ht="34" x14ac:dyDescent="0.2">
      <c r="A404" s="8">
        <v>9100</v>
      </c>
      <c r="B404" s="8">
        <v>220</v>
      </c>
      <c r="C404" s="8" t="s">
        <v>49</v>
      </c>
      <c r="D404" s="9">
        <v>13</v>
      </c>
      <c r="E404" s="10" t="s">
        <v>446</v>
      </c>
      <c r="F404" s="11"/>
      <c r="G404" s="12">
        <f t="shared" si="23"/>
        <v>2029</v>
      </c>
      <c r="H404" s="12">
        <f t="shared" si="24"/>
        <v>1000</v>
      </c>
      <c r="I404" s="13">
        <v>3029</v>
      </c>
      <c r="J404" s="14">
        <f>ROUNDUP(Medicare*$J$398,0)</f>
        <v>3029</v>
      </c>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row>
    <row r="405" spans="1:55" s="14" customFormat="1" ht="34" x14ac:dyDescent="0.2">
      <c r="A405" s="8" t="s">
        <v>251</v>
      </c>
      <c r="B405" s="8">
        <v>220</v>
      </c>
      <c r="C405" s="8" t="s">
        <v>49</v>
      </c>
      <c r="D405" s="9">
        <v>14</v>
      </c>
      <c r="E405" s="10" t="s">
        <v>255</v>
      </c>
      <c r="F405" s="52"/>
      <c r="G405" s="12">
        <f t="shared" si="23"/>
        <v>5151</v>
      </c>
      <c r="H405" s="12">
        <f t="shared" si="24"/>
        <v>2537</v>
      </c>
      <c r="I405" s="13">
        <f>3844*2</f>
        <v>7688</v>
      </c>
      <c r="J405" s="14">
        <v>7688</v>
      </c>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row>
    <row r="406" spans="1:55" s="14" customFormat="1" ht="34" x14ac:dyDescent="0.2">
      <c r="A406" s="8">
        <v>9100</v>
      </c>
      <c r="B406" s="8">
        <v>231</v>
      </c>
      <c r="C406" s="8" t="s">
        <v>49</v>
      </c>
      <c r="D406" s="9">
        <v>13</v>
      </c>
      <c r="E406" s="10" t="s">
        <v>447</v>
      </c>
      <c r="F406" s="11"/>
      <c r="G406" s="12">
        <f t="shared" si="23"/>
        <v>23914</v>
      </c>
      <c r="H406" s="12">
        <f t="shared" si="24"/>
        <v>11779</v>
      </c>
      <c r="I406" s="13">
        <v>35693</v>
      </c>
      <c r="J406" s="14">
        <f>ROUNDUP(Health*$J$398,0)</f>
        <v>35693</v>
      </c>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row>
    <row r="407" spans="1:55" s="14" customFormat="1" ht="34" x14ac:dyDescent="0.2">
      <c r="A407" s="8">
        <v>9100</v>
      </c>
      <c r="B407" s="8">
        <v>232</v>
      </c>
      <c r="C407" s="8" t="s">
        <v>49</v>
      </c>
      <c r="D407" s="9">
        <v>13</v>
      </c>
      <c r="E407" s="10" t="s">
        <v>448</v>
      </c>
      <c r="F407" s="11"/>
      <c r="G407" s="12">
        <f t="shared" si="23"/>
        <v>308</v>
      </c>
      <c r="H407" s="12">
        <f t="shared" si="24"/>
        <v>152</v>
      </c>
      <c r="I407" s="13">
        <v>460</v>
      </c>
      <c r="J407" s="14">
        <f>ROUNDUP(Life*$J$398,0)</f>
        <v>460</v>
      </c>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row>
    <row r="408" spans="1:55" s="14" customFormat="1" ht="17" x14ac:dyDescent="0.2">
      <c r="A408" s="8" t="s">
        <v>251</v>
      </c>
      <c r="B408" s="8">
        <v>240</v>
      </c>
      <c r="C408" s="8" t="s">
        <v>49</v>
      </c>
      <c r="D408" s="9">
        <v>14</v>
      </c>
      <c r="E408" s="10" t="s">
        <v>256</v>
      </c>
      <c r="F408" s="52"/>
      <c r="G408" s="12">
        <f t="shared" si="23"/>
        <v>760</v>
      </c>
      <c r="H408" s="12">
        <f t="shared" si="24"/>
        <v>374</v>
      </c>
      <c r="I408" s="13">
        <f>567*2</f>
        <v>1134</v>
      </c>
      <c r="J408" s="14">
        <v>1134</v>
      </c>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row>
    <row r="409" spans="1:55" s="14" customFormat="1" ht="34" x14ac:dyDescent="0.2">
      <c r="A409" s="8">
        <v>9100</v>
      </c>
      <c r="B409" s="8">
        <v>310</v>
      </c>
      <c r="C409" s="8" t="s">
        <v>49</v>
      </c>
      <c r="D409" s="9">
        <v>13</v>
      </c>
      <c r="E409" s="10" t="s">
        <v>94</v>
      </c>
      <c r="F409" s="11"/>
      <c r="G409" s="12">
        <f t="shared" si="23"/>
        <v>40200</v>
      </c>
      <c r="H409" s="12">
        <f t="shared" si="24"/>
        <v>19800</v>
      </c>
      <c r="I409" s="13">
        <v>60000</v>
      </c>
      <c r="J409" s="14">
        <f>30000*2</f>
        <v>60000</v>
      </c>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row>
    <row r="410" spans="1:55" s="14" customFormat="1" ht="17" x14ac:dyDescent="0.2">
      <c r="A410" s="8">
        <v>9100</v>
      </c>
      <c r="B410" s="8">
        <v>369</v>
      </c>
      <c r="C410" s="8" t="s">
        <v>49</v>
      </c>
      <c r="D410" s="9">
        <v>13</v>
      </c>
      <c r="E410" s="10" t="s">
        <v>450</v>
      </c>
      <c r="F410" s="11"/>
      <c r="G410" s="12">
        <f t="shared" si="23"/>
        <v>3350</v>
      </c>
      <c r="H410" s="12">
        <f t="shared" si="24"/>
        <v>1650</v>
      </c>
      <c r="I410" s="13">
        <v>5000</v>
      </c>
      <c r="J410" s="14">
        <v>5000</v>
      </c>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row>
    <row r="411" spans="1:55" s="14" customFormat="1" x14ac:dyDescent="0.2">
      <c r="A411" s="116"/>
      <c r="B411" s="117"/>
      <c r="C411" s="118"/>
      <c r="D411" s="118"/>
      <c r="E411" s="1"/>
      <c r="F411" s="119" t="s">
        <v>260</v>
      </c>
      <c r="G411" s="63">
        <f>SUM(G2:G410)</f>
        <v>84714437</v>
      </c>
      <c r="H411" s="63">
        <f>SUM(H2:H410)</f>
        <v>42410700</v>
      </c>
      <c r="I411" s="63">
        <f>SUM(G411:H411)</f>
        <v>127125137</v>
      </c>
      <c r="J411" s="14">
        <f>SUM(J2:J410)</f>
        <v>127125136</v>
      </c>
      <c r="K411" s="14">
        <f>I411-J411</f>
        <v>1</v>
      </c>
      <c r="L411" s="15"/>
      <c r="M411" s="15"/>
      <c r="N411" s="127"/>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row>
    <row r="412" spans="1:55" s="14" customFormat="1" x14ac:dyDescent="0.2">
      <c r="A412" s="15"/>
      <c r="B412" s="120"/>
      <c r="C412" s="15"/>
      <c r="D412" s="15"/>
      <c r="E412" s="1"/>
      <c r="F412" s="15"/>
      <c r="G412" s="15"/>
      <c r="H412" s="15"/>
      <c r="I412" s="15"/>
      <c r="K412" s="14">
        <f>127125136-I411</f>
        <v>-1</v>
      </c>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row>
    <row r="413" spans="1:55" s="14" customFormat="1" x14ac:dyDescent="0.2">
      <c r="A413" s="80" t="s">
        <v>261</v>
      </c>
      <c r="B413" s="121" t="s">
        <v>262</v>
      </c>
      <c r="C413" s="80"/>
      <c r="D413" s="80"/>
      <c r="E413" s="1"/>
      <c r="F413" s="80"/>
      <c r="G413" s="80"/>
      <c r="H413" s="80"/>
      <c r="I413" s="80"/>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row>
    <row r="414" spans="1:55" s="14" customFormat="1" x14ac:dyDescent="0.2">
      <c r="A414" s="80" t="s">
        <v>263</v>
      </c>
      <c r="B414" s="121"/>
      <c r="C414" s="80"/>
      <c r="D414" s="80"/>
      <c r="E414" s="122"/>
      <c r="F414" s="80"/>
      <c r="G414" s="80"/>
      <c r="H414" s="80"/>
      <c r="I414" s="80"/>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row>
    <row r="417" spans="1:55" s="14" customFormat="1" x14ac:dyDescent="0.2">
      <c r="A417" s="123"/>
      <c r="B417" s="124"/>
      <c r="C417" s="123"/>
      <c r="D417" s="123"/>
      <c r="E417" s="125"/>
      <c r="F417" s="80"/>
      <c r="G417" s="80"/>
      <c r="H417" s="80"/>
      <c r="I417" s="80"/>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row>
  </sheetData>
  <autoFilter ref="A1:M414" xr:uid="{00000000-0009-0000-0000-000002000000}"/>
  <sortState xmlns:xlrd2="http://schemas.microsoft.com/office/spreadsheetml/2017/richdata2" ref="A2:J387">
    <sortCondition ref="A2:A387"/>
    <sortCondition ref="B2:B387"/>
  </sortState>
  <pageMargins left="0.23" right="0.23" top="0.32" bottom="0.25" header="0" footer="0"/>
  <pageSetup paperSize="5"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5" sqref="A5"/>
    </sheetView>
  </sheetViews>
  <sheetFormatPr baseColWidth="10" defaultColWidth="8.83203125" defaultRowHeight="13" x14ac:dyDescent="0.15"/>
  <sheetData>
    <row r="1" spans="1:2" x14ac:dyDescent="0.15">
      <c r="A1" t="s">
        <v>499</v>
      </c>
      <c r="B1">
        <v>0.11409999999999999</v>
      </c>
    </row>
    <row r="2" spans="1:2" x14ac:dyDescent="0.15">
      <c r="A2" t="s">
        <v>500</v>
      </c>
      <c r="B2">
        <v>6.2E-2</v>
      </c>
    </row>
    <row r="3" spans="1:2" x14ac:dyDescent="0.15">
      <c r="A3" t="s">
        <v>501</v>
      </c>
      <c r="B3">
        <v>0.1709</v>
      </c>
    </row>
    <row r="4" spans="1:2" x14ac:dyDescent="0.15">
      <c r="A4" t="s">
        <v>504</v>
      </c>
      <c r="B4">
        <v>2.2000000000000001E-3</v>
      </c>
    </row>
    <row r="5" spans="1:2" x14ac:dyDescent="0.15">
      <c r="A5" t="s">
        <v>502</v>
      </c>
      <c r="B5">
        <v>1.1299999999999999E-2</v>
      </c>
    </row>
    <row r="6" spans="1:2" x14ac:dyDescent="0.15">
      <c r="A6" t="s">
        <v>503</v>
      </c>
      <c r="B6">
        <v>1.4500000000000001E-2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8A8E8CFE9FAC42A44971E8D5E69101" ma:contentTypeVersion="14" ma:contentTypeDescription="Create a new document." ma:contentTypeScope="" ma:versionID="875884395c8f8b2780911ac02fc4ee6f">
  <xsd:schema xmlns:xsd="http://www.w3.org/2001/XMLSchema" xmlns:xs="http://www.w3.org/2001/XMLSchema" xmlns:p="http://schemas.microsoft.com/office/2006/metadata/properties" xmlns:ns3="58484de4-d25e-4ffb-91cd-71efe1a72a9d" xmlns:ns4="36d1f7d0-33ea-4771-9981-8d4750ef9376" targetNamespace="http://schemas.microsoft.com/office/2006/metadata/properties" ma:root="true" ma:fieldsID="f26ab04603283ffbe1fd30f8cee75b9d" ns3:_="" ns4:_="">
    <xsd:import namespace="58484de4-d25e-4ffb-91cd-71efe1a72a9d"/>
    <xsd:import namespace="36d1f7d0-33ea-4771-9981-8d4750ef937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84de4-d25e-4ffb-91cd-71efe1a72a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1f7d0-33ea-4771-9981-8d4750ef937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7017A1-7A39-40F9-888E-4E1A2D557769}">
  <ds:schemaRefs>
    <ds:schemaRef ds:uri="http://schemas.microsoft.com/office/2006/metadata/properties"/>
    <ds:schemaRef ds:uri="http://purl.org/dc/terms/"/>
    <ds:schemaRef ds:uri="58484de4-d25e-4ffb-91cd-71efe1a72a9d"/>
    <ds:schemaRef ds:uri="36d1f7d0-33ea-4771-9981-8d4750ef9376"/>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3D3AC4E-DAA9-4B58-AA1B-49F1A95112BB}">
  <ds:schemaRefs>
    <ds:schemaRef ds:uri="http://schemas.microsoft.com/sharepoint/v3/contenttype/forms"/>
  </ds:schemaRefs>
</ds:datastoreItem>
</file>

<file path=customXml/itemProps3.xml><?xml version="1.0" encoding="utf-8"?>
<ds:datastoreItem xmlns:ds="http://schemas.openxmlformats.org/officeDocument/2006/customXml" ds:itemID="{FE44C6CD-670E-4C6C-8AAE-878ECAE78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84de4-d25e-4ffb-91cd-71efe1a72a9d"/>
    <ds:schemaRef ds:uri="36d1f7d0-33ea-4771-9981-8d4750ef93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Sheet1</vt:lpstr>
      <vt:lpstr>Talbert update</vt:lpstr>
      <vt:lpstr>To Finance</vt:lpstr>
      <vt:lpstr>Sheet2</vt:lpstr>
      <vt:lpstr>Account_Title___Narrative</vt:lpstr>
      <vt:lpstr>Activity_Number</vt:lpstr>
      <vt:lpstr>Amount_for__1_3_allocation</vt:lpstr>
      <vt:lpstr>Amount_for__2_3_allocation</vt:lpstr>
      <vt:lpstr>FICA</vt:lpstr>
      <vt:lpstr>FTE_Position</vt:lpstr>
      <vt:lpstr>Function</vt:lpstr>
      <vt:lpstr>Health</vt:lpstr>
      <vt:lpstr>Life</vt:lpstr>
      <vt:lpstr>Medicare</vt:lpstr>
      <vt:lpstr>Object</vt:lpstr>
      <vt:lpstr>Retirement</vt:lpstr>
      <vt:lpstr>Totals</vt:lpstr>
      <vt:lpstr>Use_of_Funds_Number</vt:lpstr>
      <vt:lpstr>Work_Comp</vt:lpstr>
    </vt:vector>
  </TitlesOfParts>
  <Company>Marion County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Janetria - Federal Programs</dc:creator>
  <cp:lastModifiedBy>Microsoft Office User</cp:lastModifiedBy>
  <dcterms:created xsi:type="dcterms:W3CDTF">2021-12-10T18:08:39Z</dcterms:created>
  <dcterms:modified xsi:type="dcterms:W3CDTF">2022-04-11T17:44:39Z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0x010100DA8A8E8CFE9FAC42A44971E8D5E69101</vt:lpwstr>
  </property>
</Properties>
</file>