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5425AD90-C50B-4480-93FA-3546226639E3}" xr6:coauthVersionLast="47" xr6:coauthVersionMax="47" xr10:uidLastSave="{00000000-0000-0000-0000-000000000000}"/>
  <workbookProtection workbookAlgorithmName="SHA-512" workbookHashValue="t7tHimSTfbNtVd07aInvgCEIaJZaofw9OVNLPCL39rK8NGWqg7FpYHSiaHvZDPu3bUQBaCrKRxY1EW3/JYFl9Q==" workbookSaltValue="x4dt2UJKjE/jhn8yN85g4w=="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2" i="15" l="1"/>
  <c r="D119" i="15"/>
  <c r="G214" i="7" l="1"/>
  <c r="G207" i="7"/>
  <c r="G206" i="7"/>
  <c r="G48" i="7"/>
  <c r="G134" i="7"/>
  <c r="G127" i="7"/>
  <c r="G112" i="7"/>
  <c r="G52" i="7"/>
  <c r="G54" i="7"/>
  <c r="G61" i="7"/>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c r="G22" i="5"/>
  <c r="H22" i="5" s="1"/>
  <c r="G23" i="5"/>
  <c r="H23" i="5" s="1"/>
  <c r="E20" i="12"/>
  <c r="E31" i="12"/>
  <c r="G194" i="7"/>
  <c r="D21" i="8"/>
  <c r="E59" i="3"/>
  <c r="C95" i="12"/>
  <c r="B31" i="5"/>
  <c r="H31" i="5"/>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H11" i="6"/>
  <c r="G13" i="7" s="1"/>
  <c r="F14" i="6"/>
  <c r="F15" i="6"/>
  <c r="E49" i="3"/>
  <c r="F10" i="6"/>
  <c r="E44" i="3" s="1"/>
  <c r="E47" i="3"/>
  <c r="C93" i="3" l="1"/>
  <c r="H30" i="5"/>
  <c r="I30" i="5"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F48" i="3"/>
  <c r="G48" i="3" s="1"/>
  <c r="G36" i="7"/>
  <c r="H37" i="6"/>
  <c r="H45" i="6"/>
  <c r="G38" i="7"/>
  <c r="G43" i="7" s="1"/>
  <c r="H17" i="6"/>
  <c r="H28" i="6" s="1"/>
  <c r="H47"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<sst xmlns="http://schemas.openxmlformats.org/spreadsheetml/2006/main" count="1315" uniqueCount="795">
  <si>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</si>
  <si>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</si>
  <si>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</si>
  <si>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</si>
  <si>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</si>
  <si>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</si>
  <si>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</si>
  <si>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</si>
  <si>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</si>
  <si>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</si>
  <si>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</si>
  <si>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</si>
  <si>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</si>
  <si>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</si>
  <si>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</si>
  <si>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</si>
  <si>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</si>
  <si>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</si>
  <si>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</si>
  <si>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</si>
  <si>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</si>
  <si>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</si>
  <si>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</si>
  <si>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</si>
  <si>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</si>
  <si>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</si>
  <si>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</si>
  <si>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</si>
  <si>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</si>
  <si>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</si>
  <si>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</si>
  <si>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</si>
  <si>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</si>
  <si>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</si>
  <si>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</si>
  <si>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</si>
  <si>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</si>
  <si>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</si>
  <si>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</si>
  <si>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</si>
  <si>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</si>
  <si>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</si>
  <si>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</si>
  <si>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</si>
  <si>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</si>
  <si>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</si>
  <si>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</si>
  <si>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</si>
  <si>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</si>
  <si>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</si>
  <si>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</si>
  <si>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</si>
  <si>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</si>
  <si>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</si>
  <si>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</si>
  <si>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</si>
  <si>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</si>
  <si>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</si>
  <si>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</si>
  <si>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</si>
  <si>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</si>
  <si>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</si>
  <si>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</si>
  <si>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</si>
  <si>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</si>
  <si>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</si>
  <si>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</si>
  <si>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</si>
  <si>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</si>
  <si>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</si>
  <si>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</si>
  <si>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</si>
  <si>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</si>
  <si>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</si>
  <si>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</si>
  <si>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</si>
  <si>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</si>
  <si>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</si>
  <si>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</si>
  <si>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</si>
  <si>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</si>
  <si>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</si>
  <si>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</si>
  <si>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</si>
  <si>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</si>
  <si>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</si>
  <si>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</si>
  <si>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</si>
  <si>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</si>
  <si>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</si>
  <si>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</si>
  <si>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</si>
  <si>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</si>
  <si>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</si>
  <si>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</si>
  <si>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</si>
  <si>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</si>
  <si>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</si>
  <si>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</si>
  <si>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</si>
  <si>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</si>
  <si>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</si>
  <si>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</si>
  <si>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</si>
  <si>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</si>
  <si>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</si>
  <si>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</si>
  <si>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</si>
  <si>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</si>
  <si>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</si>
  <si>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</si>
  <si>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</si>
  <si>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</si>
  <si>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</si>
  <si>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</si>
  <si>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</si>
  <si>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</si>
  <si>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</si>
  <si>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</si>
  <si>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</si>
  <si>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</si>
  <si>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</si>
  <si>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</si>
  <si>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</si>
  <si>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</si>
  <si>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</si>
  <si>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</si>
  <si>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</si>
  <si>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</si>
  <si>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</si>
  <si>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</si>
  <si>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</si>
  <si>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</si>
  <si>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</si>
  <si>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</si>
  <si>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</si>
  <si>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</si>
  <si>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</si>
  <si>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</si>
  <si>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</si>
  <si>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</si>
  <si>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</si>
  <si>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</si>
  <si>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</si>
  <si>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</si>
  <si>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</si>
  <si>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</si>
  <si>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</si>
  <si>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</si>
  <si>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</si>
  <si>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</si>
  <si>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</si>
  <si>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</si>
  <si>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</si>
  <si>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</si>
  <si>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</si>
  <si>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</si>
  <si>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</si>
  <si>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</si>
  <si>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</si>
  <si>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</si>
  <si>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</si>
  <si>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</si>
  <si>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</si>
  <si>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</si>
  <si>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</si>
  <si>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</si>
  <si>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</si>
  <si>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</si>
  <si>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</si>
  <si>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</si>
  <si>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</si>
  <si>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</si>
  <si>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</si>
  <si>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</si>
  <si>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</si>
  <si>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</si>
  <si>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</si>
  <si>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</si>
  <si>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</si>
  <si>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</si>
  <si>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</si>
  <si>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</si>
  <si>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</si>
  <si>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</si>
  <si>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</si>
  <si>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</si>
  <si>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</si>
  <si>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</si>
  <si>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</si>
  <si>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</si>
  <si>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</si>
  <si>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</si>
  <si>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</si>
  <si>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</si>
  <si>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</si>
  <si>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</si>
  <si>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</si>
  <si>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</si>
  <si>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</si>
  <si>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</si>
  <si>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</si>
  <si>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</si>
  <si>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</si>
  <si>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</si>
  <si>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</si>
  <si>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</si>
  <si>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</si>
  <si>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</si>
  <si>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</si>
  <si>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</si>
  <si>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</si>
  <si>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</si>
  <si>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</si>
  <si>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</si>
  <si>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</si>
  <si>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</si>
  <si>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</si>
  <si>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</si>
  <si>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</si>
  <si>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</si>
  <si>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</si>
  <si>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</si>
  <si>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</si>
  <si>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</si>
  <si>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</si>
  <si>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</si>
  <si>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</si>
  <si>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</si>
  <si>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</si>
  <si>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</si>
  <si>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</si>
  <si>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</si>
  <si>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</si>
  <si>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</si>
  <si>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</si>
  <si>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</si>
  <si>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</si>
  <si>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</si>
  <si>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</si>
  <si>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</si>
  <si>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</si>
  <si>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</si>
  <si>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</si>
  <si>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</si>
  <si>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</si>
  <si>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</si>
  <si>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</si>
  <si>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</si>
  <si>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</si>
  <si>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</si>
  <si>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</si>
  <si>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</si>
  <si>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</si>
  <si>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</si>
  <si>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</si>
  <si>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</si>
  <si>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</si>
  <si>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</si>
  <si>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</si>
  <si>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</si>
  <si>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</si>
  <si>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</si>
  <si>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</si>
  <si>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</si>
  <si>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</si>
  <si>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</si>
  <si>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</si>
  <si>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</si>
  <si>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</si>
  <si>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</si>
  <si>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</si>
  <si>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</si>
  <si>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</si>
  <si>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</si>
  <si>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</si>
  <si>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</si>
  <si>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</si>
  <si>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</si>
  <si>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</si>
  <si>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</si>
  <si>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</si>
  <si>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</si>
  <si>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</si>
  <si>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</si>
  <si>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</si>
  <si>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</si>
  <si>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</si>
  <si>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</si>
  <si>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</si>
  <si>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</si>
  <si>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</si>
  <si>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</si>
  <si>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</si>
  <si>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</si>
  <si>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</si>
  <si>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</si>
  <si>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</si>
  <si>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</si>
  <si>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</si>
  <si>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</si>
  <si>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</si>
  <si>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</si>
  <si>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</si>
  <si>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</si>
  <si>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</si>
  <si>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</si>
  <si>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</si>
  <si>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</si>
  <si>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</si>
  <si>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</si>
  <si>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</si>
  <si>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</si>
  <si>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</si>
  <si>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</si>
  <si>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</si>
  <si>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</si>
  <si>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</si>
  <si>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</si>
  <si>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</si>
  <si>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</si>
  <si>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</si>
  <si>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</si>
  <si>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</si>
  <si>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</si>
  <si>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</si>
  <si>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</si>
  <si>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</si>
  <si>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</si>
  <si>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</si>
  <si>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</si>
  <si>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</si>
  <si>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</si>
  <si>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</si>
  <si>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</si>
  <si>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</si>
  <si>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</si>
  <si>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</si>
  <si>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</si>
  <si>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</si>
  <si>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</si>
  <si>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</si>
  <si>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</si>
  <si>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</si>
  <si>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</si>
  <si>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</si>
  <si>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</si>
  <si>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</si>
  <si>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</si>
  <si>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</si>
  <si>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</si>
  <si>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</si>
  <si>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</si>
  <si>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</si>
  <si>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</si>
  <si>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</si>
  <si>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</si>
  <si>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</si>
  <si>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</si>
  <si>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</si>
  <si>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</si>
  <si>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</si>
  <si>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</si>
  <si>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</si>
  <si>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</si>
  <si>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</si>
  <si>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</si>
  <si>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</si>
  <si>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</si>
  <si>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</si>
  <si>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</si>
  <si>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</si>
  <si>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</si>
  <si>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</si>
  <si>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</si>
  <si>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</si>
  <si>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</si>
  <si>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</si>
  <si>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</si>
  <si>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</si>
  <si>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</si>
  <si>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</si>
  <si>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</si>
  <si>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</si>
  <si>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</si>
  <si>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</si>
  <si>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</si>
  <si>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</si>
  <si>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</si>
  <si>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</si>
  <si>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</si>
  <si>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</si>
  <si>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</si>
  <si>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</si>
  <si>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</si>
  <si>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</si>
  <si>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</si>
  <si>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</si>
  <si>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</si>
  <si>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</si>
  <si>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</si>
  <si>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</si>
  <si>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</si>
  <si>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</si>
  <si>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</si>
  <si>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</si>
  <si>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</si>
  <si>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</si>
  <si>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</si>
  <si>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</si>
  <si>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</si>
  <si>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</si>
  <si>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</si>
  <si>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</si>
  <si>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</si>
  <si>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</si>
  <si>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</si>
  <si>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</si>
  <si>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</si>
  <si>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</si>
  <si>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</si>
  <si>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</si>
  <si>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</si>
  <si>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</si>
  <si>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</si>
  <si>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</si>
  <si>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</si>
  <si>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</si>
  <si>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</si>
  <si>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</si>
  <si>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</si>
  <si>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</si>
  <si>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</si>
  <si>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</si>
  <si>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</si>
  <si>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</si>
  <si>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</si>
  <si>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</si>
  <si>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</si>
  <si>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</si>
  <si>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</si>
  <si>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</si>
  <si>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</si>
  <si>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</si>
  <si>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</si>
  <si>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</si>
  <si>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</si>
  <si>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</si>
  <si>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</si>
  <si>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</si>
  <si>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</si>
  <si>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</si>
  <si>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</si>
  <si>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</si>
  <si>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</si>
  <si>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</si>
  <si>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</si>
  <si>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</si>
  <si>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</si>
  <si>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</si>
  <si>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</si>
  <si>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</si>
  <si>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</si>
  <si>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</si>
  <si>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</si>
  <si>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</si>
  <si>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</si>
  <si>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</si>
  <si>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</si>
  <si>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</si>
  <si>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</si>
  <si>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</si>
  <si>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</si>
  <si>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</si>
  <si>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</si>
  <si>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</si>
  <si>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</si>
  <si>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</si>
  <si>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</si>
  <si>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</si>
  <si>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</si>
  <si>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</si>
  <si>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</si>
  <si>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</si>
  <si>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</si>
  <si>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</si>
  <si>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</si>
  <si>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</si>
  <si>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</si>
  <si>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</si>
  <si>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</si>
  <si>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</si>
  <si>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</si>
  <si>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</si>
  <si>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</si>
  <si>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</si>
  <si>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</si>
  <si>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</si>
  <si>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</si>
  <si>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</si>
  <si>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</si>
  <si>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</si>
  <si>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</si>
  <si>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</si>
  <si>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</si>
  <si>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</si>
  <si>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</si>
  <si>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</si>
  <si>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</si>
  <si>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</si>
  <si>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</si>
  <si>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</si>
  <si>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</si>
  <si>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</si>
  <si>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</si>
  <si>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</si>
  <si>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</si>
  <si>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</si>
  <si>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</si>
  <si>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</si>
  <si>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</si>
  <si>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</si>
  <si>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</si>
  <si>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</si>
  <si>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</si>
  <si>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</si>
  <si>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</si>
  <si>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</si>
  <si>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</si>
  <si>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</si>
  <si>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</si>
  <si>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</si>
  <si>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</si>
  <si>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</si>
  <si>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</si>
  <si>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</si>
  <si>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</si>
  <si>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</si>
  <si>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</si>
  <si>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</si>
  <si>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</si>
  <si>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</si>
  <si>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</si>
  <si>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</si>
  <si>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</si>
  <si>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</si>
  <si>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</si>
  <si>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</si>
  <si>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</si>
  <si>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</si>
  <si>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</si>
  <si>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</si>
  <si>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</si>
  <si>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</si>
  <si>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</si>
  <si>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</si>
  <si>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</si>
  <si>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</si>
  <si>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</si>
  <si>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</si>
  <si>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</si>
  <si>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</si>
  <si>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</si>
  <si>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</si>
  <si>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</si>
  <si>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</si>
  <si>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</si>
  <si>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</si>
  <si>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</si>
  <si>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</si>
  <si>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</si>
  <si>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</si>
  <si>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</si>
  <si>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</si>
  <si>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</si>
  <si>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</si>
  <si>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</si>
  <si>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</si>
  <si>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</si>
  <si>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</si>
  <si>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</si>
  <si>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</si>
  <si>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</si>
  <si>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</si>
  <si>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</si>
  <si>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</si>
  <si>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</si>
  <si>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</si>
  <si>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</si>
  <si>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</si>
  <si>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</si>
  <si>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</si>
  <si>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</si>
  <si>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</si>
  <si>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</si>
  <si>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</si>
  <si>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</si>
  <si>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</si>
  <si>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</si>
  <si>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</si>
  <si>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</si>
  <si>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</si>
  <si>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</si>
  <si>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</si>
  <si>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</si>
  <si>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</si>
  <si>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</si>
  <si>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</si>
  <si>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</si>
  <si>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</si>
  <si>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</si>
  <si>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</si>
  <si>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</si>
  <si>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</si>
  <si>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</si>
  <si>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</si>
  <si>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</si>
  <si>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</si>
  <si>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</si>
  <si>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</si>
  <si>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</si>
  <si>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</si>
  <si>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</si>
  <si>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</si>
  <si>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</si>
  <si>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</si>
  <si>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</si>
  <si>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</si>
  <si>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</si>
  <si>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</si>
  <si>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</si>
  <si>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</si>
  <si>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</si>
  <si>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</si>
  <si>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</si>
  <si>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</si>
  <si>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</si>
  <si>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</si>
  <si>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</si>
  <si>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</si>
  <si>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</si>
  <si>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</si>
  <si>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</si>
  <si>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</si>
  <si>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</si>
  <si>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</si>
  <si>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</si>
  <si>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</si>
  <si>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</si>
  <si>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</si>
  <si>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</si>
  <si>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</si>
  <si>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</si>
  <si>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</si>
  <si>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</si>
  <si>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</si>
  <si>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</si>
  <si>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</si>
  <si>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</si>
  <si>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</si>
  <si>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</si>
  <si>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</si>
  <si>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</si>
  <si>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</si>
  <si>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</si>
  <si>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</si>
  <si>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</si>
  <si>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</si>
  <si>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</si>
  <si>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</si>
  <si>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</si>
  <si>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</si>
  <si>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</si>
  <si>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</si>
  <si>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</si>
  <si>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</si>
  <si>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</si>
  <si>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</si>
  <si>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</si>
  <si>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</si>
  <si>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</si>
  <si>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</si>
  <si>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</si>
  <si>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</si>
  <si>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</si>
  <si>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</si>
  <si>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</si>
  <si>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</si>
  <si>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</si>
  <si>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</si>
  <si>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</si>
  <si>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</si>
  <si>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</si>
  <si>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</si>
  <si>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</si>
  <si>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</si>
  <si>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</si>
  <si>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</si>
  <si>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</si>
  <si>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</si>
  <si>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</si>
  <si>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</si>
  <si>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</si>
  <si>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</si>
  <si>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</si>
  <si>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</si>
  <si>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</si>
  <si>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</si>
  <si>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</si>
  <si>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</si>
  <si>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</si>
  <si>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</si>
  <si>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</si>
  <si>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</si>
  <si>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</si>
  <si>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</si>
  <si>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</si>
  <si>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</si>
  <si>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</si>
  <si>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</si>
  <si>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</si>
  <si>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</si>
  <si>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</si>
  <si>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</si>
  <si>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</si>
  <si>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</si>
  <si>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</si>
  <si>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</si>
  <si>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</si>
  <si>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</si>
  <si>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</si>
  <si>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</si>
  <si>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</si>
  <si>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</si>
  <si>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</si>
  <si>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</si>
  <si>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</si>
  <si>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</si>
  <si>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</si>
  <si>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</si>
  <si>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</si>
  <si>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</si>
  <si>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</si>
  <si>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</si>
  <si>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</si>
  <si>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</si>
  <si>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</si>
  <si>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</si>
  <si>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</si>
  <si>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</si>
  <si>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</si>
  <si>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</si>
  <si>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</si>
  <si>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</si>
  <si>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</si>
  <si>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</si>
  <si>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</si>
  <si>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</si>
  <si>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</si>
  <si>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</si>
  <si>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</si>
  <si>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</si>
  <si>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</si>
  <si>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</si>
  <si>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</si>
  <si>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</si>
  <si>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</si>
  <si>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</si>
  <si>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</si>
  <si>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</si>
  <si>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</si>
  <si>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</si>
  <si>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</si>
  <si>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</si>
  <si>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</si>
  <si>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</si>
  <si>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</si>
  <si>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</si>
  <si>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</si>
  <si>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</si>
  <si>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</si>
  <si>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</si>
  <si>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</si>
  <si>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</si>
  <si>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 xml:space="preserve">   Student direct costs, instruction &amp; instiutional support</t>
  </si>
  <si>
    <t>FUND 3</t>
  </si>
  <si>
    <t>FUND 1</t>
  </si>
  <si>
    <t xml:space="preserve">Transfer in (1013.841, F.S) and Reserve </t>
  </si>
  <si>
    <t xml:space="preserve">GASB Lease requierements </t>
  </si>
  <si>
    <t>FUND 8</t>
  </si>
  <si>
    <t>Fund 1</t>
  </si>
  <si>
    <t xml:space="preserve">Capital Outlay Transfer </t>
  </si>
  <si>
    <t>Fund 7</t>
  </si>
  <si>
    <t>TE 2 Justification Accepting 
Estimates: 
St. Petersburg College continuously monitors its FTE and accepts the DFC’s FTE-2 overall estimate of 14,863, a (-1.0%) decline from our FTE-1 adjusted estimate submitted in November 2024. The impact of the recent hurricanes on our Spring enrollment is the main reason for this decline. See explanations for specific FTE categories below.
The DFC’s estimate for the Upper Division is a (1.0%) increase over our FTE-1 estimate. With our bachelor’s programs started last fall continuing to bring new enrollment (Cardiopulmonary Science, Secondary English Education, Prekindergarten/Primary Education) and the continued success of our BAS Human Services program, we expect a slight increase in this category, compared to last year. This is in line with the DFC’s FTE-2 estimate.
The DFC’s estimated decline in Lower Division AP (-1.2%) over FTE-1 estimate is consistent with our estimates. While increased enrollment in our AA pathways and High school programs continue to have a positive impact in this area, a smaller increase is expected based on our current Spring enrollment.
The DFC’s estimated a decline in PSV (-1.8%) over our FTE-1 estimate. Our AA pathways are having a larger impact on PSV. The current Unlocking Opportunity initiative encourages AA students to decide on a major, resulting in increased enrollment in the AA pathways. However, a small decline is expected in 2024-25, as we continue to see the impact of the recent hurricanes.
Our PSAV program enrollment remains steady this year and no change is expected as the DFC estimated.
The College agrees with the DFC’s estimate for College Prep of a (0.7%) increase over FTE-1 estimate, the same as our FTE1 estimate.
Our expectation for Apprenticeship this year remains the same as the FTE-1 estimate.
Overall Projections:  
St. Petersburg College has reviewed and accepts the DFC’s FTE Projections for 2026 (15,271) through 2030 (15,656). This remains the same as our FTE-1 estimate.</t>
  </si>
  <si>
    <t xml:space="preserve">TE 2 Justification Accepting Estimates: 
St. Petersburg College continuously monitors its FTE and accepts the DFC’s FTE-2 overall estimate of 14,863, a (-1.0%) decline from our FTE-1 adjusted estimate submitted in November 2024. The impact of the recent hurricanes on our Spring enrollment is the main reason for this decline. See explanations for specific FTE categories below.
The DFC’s estimate for the Upper Division is a (1.0%) increase over our FTE-1 estimate. With our bachelor’s programs started last fall continuing to bring new enrollment (Cardiopulmonary Science, Secondary English Education, Prekindergarten/Primary Education) and the continued success of our BAS Human Services program, we expect a slight increase in this category, compared to last year. This is in line with the DFC’s FTE-2 estimate.
The DFC’s estimated decline in Lower Division AP (-1.2%) over FTE-1 estimate is consistent with our estimates. While increased enrollment in our AA pathways and High school programs continue to have a positive impact in this area, a smaller increase is expected based on our current Spring enrollment.
The DFC’s estimated a decline in PSV (-1.8%) over our FTE-1 estimate. Our AA pathways are having a larger impact on PSV. The current Unlocking Opportunity initiative encourages AA students to decide on a major, resulting in increased enrollment in the AA pathways. However, a small decline is expected in 2024-25, as we continue to see the impact of the recent hurricanes.
Our PSAV program enrollment remains steady this year and no change is expected as the DFC estimated.
The College agrees with the DFC’s estimate for College Prep of a (0.7%) increase over FTE-1 estimate, the same as our FTE1 estimate.
Our expectation for Apprenticeship this year remains the same as the FTE-1 estimate.
Overall Projections:  
St. Petersburg College has reviewed and accepts the DFC’s FTE Projections for 2026 (15,271) through 2030 (15,656). This remains the same as our FTE-1 estimate.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</si>
</sst>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St. Petersburg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58838422.82</v>
      </c>
      <c r="C10" s="436">
        <v>7007340.3899999997</v>
      </c>
      <c r="D10" s="436">
        <v>30700</v>
      </c>
      <c r="E10" s="359">
        <f>SUM(B10:D10)</f>
        <v>65876463.210000001</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21147299.120000001</v>
      </c>
      <c r="C14" s="438">
        <v>6484924.46</v>
      </c>
      <c r="D14" s="438">
        <v>584221</v>
      </c>
      <c r="E14" s="360">
        <f t="shared" ref="E14:E20" si="0">SUM(B14:D14)</f>
        <v>28216444.580000002</v>
      </c>
      <c r="F14" s="342"/>
    </row>
    <row r="15" spans="1:8" s="11" customFormat="1" ht="20.100000000000001" customHeight="1">
      <c r="A15" s="358" t="s">
        <v>580</v>
      </c>
      <c r="B15" s="437">
        <v>320000</v>
      </c>
      <c r="C15" s="430">
        <v>0</v>
      </c>
      <c r="D15" s="430">
        <v>0</v>
      </c>
      <c r="E15" s="360">
        <f>SUM(B15:D15)</f>
        <v>320000</v>
      </c>
      <c r="F15" s="342"/>
    </row>
    <row r="16" spans="1:8" s="11" customFormat="1" ht="20.100000000000001" customHeight="1">
      <c r="A16" s="358" t="s">
        <v>581</v>
      </c>
      <c r="B16" s="437">
        <v>19204457.149999999</v>
      </c>
      <c r="C16" s="430">
        <v>4410006.5</v>
      </c>
      <c r="D16" s="430">
        <v>348177</v>
      </c>
      <c r="E16" s="360">
        <f t="shared" si="0"/>
        <v>23962640.649999999</v>
      </c>
      <c r="F16" s="342"/>
    </row>
    <row r="17" spans="1:6" s="11" customFormat="1" ht="20.100000000000001" customHeight="1">
      <c r="A17" s="358" t="s">
        <v>582</v>
      </c>
      <c r="B17" s="437">
        <v>17309325.199999999</v>
      </c>
      <c r="C17" s="430">
        <v>14142331.23</v>
      </c>
      <c r="D17" s="430">
        <v>454304</v>
      </c>
      <c r="E17" s="360">
        <f t="shared" si="0"/>
        <v>31905960.43</v>
      </c>
      <c r="F17" s="342"/>
    </row>
    <row r="18" spans="1:6" s="11" customFormat="1" ht="20.100000000000001" customHeight="1">
      <c r="A18" s="358" t="s">
        <v>583</v>
      </c>
      <c r="B18" s="437">
        <v>12282801.26</v>
      </c>
      <c r="C18" s="430">
        <v>11627014.42</v>
      </c>
      <c r="D18" s="430">
        <v>41370</v>
      </c>
      <c r="E18" s="360">
        <f t="shared" si="0"/>
        <v>23951185.68</v>
      </c>
      <c r="F18" s="342"/>
    </row>
    <row r="19" spans="1:6" s="11" customFormat="1" ht="20.100000000000001" customHeight="1">
      <c r="A19" s="358" t="s">
        <v>584</v>
      </c>
      <c r="B19" s="437">
        <v>0</v>
      </c>
      <c r="C19" s="430">
        <v>2344329</v>
      </c>
      <c r="D19" s="430">
        <v>0</v>
      </c>
      <c r="E19" s="360">
        <f t="shared" si="0"/>
        <v>2344329</v>
      </c>
      <c r="F19" s="342"/>
    </row>
    <row r="20" spans="1:6" s="11" customFormat="1" ht="20.100000000000001" customHeight="1" thickBot="1">
      <c r="A20" s="358" t="s">
        <v>585</v>
      </c>
      <c r="B20" s="437">
        <v>626717.44999999995</v>
      </c>
      <c r="C20" s="431">
        <v>2297204</v>
      </c>
      <c r="D20" s="431">
        <v>0</v>
      </c>
      <c r="E20" s="360">
        <f t="shared" si="0"/>
        <v>2923921.45</v>
      </c>
      <c r="F20" s="342"/>
    </row>
    <row r="21" spans="1:6" s="11" customFormat="1" ht="24" customHeight="1" thickBot="1">
      <c r="A21" s="283" t="s">
        <v>48</v>
      </c>
      <c r="B21" s="343">
        <f>SUM(B10:B20)</f>
        <v>129729023.00000001</v>
      </c>
      <c r="C21" s="346">
        <f>SUM(C10:C20)</f>
        <v>48313150</v>
      </c>
      <c r="D21" s="346">
        <f>SUM(D10:D20)</f>
        <v>1458772</v>
      </c>
      <c r="E21" s="345">
        <f>SUM(E10:E20)</f>
        <v>179500945</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St. Petersburg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1154057.3999999999</v>
      </c>
      <c r="E11" s="725">
        <v>0</v>
      </c>
      <c r="F11" s="726">
        <f t="shared" si="0"/>
        <v>1154057.3999999999</v>
      </c>
      <c r="I11" s="82"/>
      <c r="J11" s="23"/>
      <c r="K11" s="87"/>
      <c r="L11" s="87"/>
      <c r="M11" s="87"/>
      <c r="N11" s="87"/>
    </row>
    <row r="12" spans="1:224" s="11" customFormat="1" ht="30" customHeight="1">
      <c r="A12" s="722" t="s">
        <v>398</v>
      </c>
      <c r="B12" s="723"/>
      <c r="C12" s="724" t="s">
        <v>399</v>
      </c>
      <c r="D12" s="725">
        <v>35314.22</v>
      </c>
      <c r="E12" s="725">
        <v>0</v>
      </c>
      <c r="F12" s="726">
        <f t="shared" si="0"/>
        <v>35314.22</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3816545.94</v>
      </c>
      <c r="E15" s="725">
        <v>0</v>
      </c>
      <c r="F15" s="726">
        <f t="shared" si="0"/>
        <v>3816545.94</v>
      </c>
      <c r="I15" s="82"/>
      <c r="J15" s="23"/>
      <c r="K15" s="87"/>
      <c r="L15" s="87"/>
      <c r="M15" s="87"/>
      <c r="N15" s="87"/>
    </row>
    <row r="16" spans="1:224" s="11" customFormat="1" ht="30" customHeight="1">
      <c r="A16" s="722" t="s">
        <v>406</v>
      </c>
      <c r="B16" s="723"/>
      <c r="C16" s="724" t="s">
        <v>407</v>
      </c>
      <c r="D16" s="725">
        <v>804168</v>
      </c>
      <c r="E16" s="725">
        <v>0</v>
      </c>
      <c r="F16" s="726">
        <f t="shared" si="0"/>
        <v>804168</v>
      </c>
    </row>
    <row r="17" spans="1:6" s="11" customFormat="1" ht="30" customHeight="1">
      <c r="A17" s="722" t="s">
        <v>408</v>
      </c>
      <c r="B17" s="723"/>
      <c r="C17" s="724" t="s">
        <v>409</v>
      </c>
      <c r="D17" s="725">
        <v>350</v>
      </c>
      <c r="E17" s="725">
        <v>0</v>
      </c>
      <c r="F17" s="726">
        <f t="shared" si="0"/>
        <v>350</v>
      </c>
    </row>
    <row r="18" spans="1:6" s="11" customFormat="1" ht="30" customHeight="1">
      <c r="A18" s="722" t="s">
        <v>410</v>
      </c>
      <c r="B18" s="723"/>
      <c r="C18" s="724" t="s">
        <v>411</v>
      </c>
      <c r="D18" s="725">
        <v>79367.740000000005</v>
      </c>
      <c r="E18" s="725">
        <v>0</v>
      </c>
      <c r="F18" s="726">
        <f t="shared" si="0"/>
        <v>79367.740000000005</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1010615.75</v>
      </c>
      <c r="E25" s="725">
        <v>0</v>
      </c>
      <c r="F25" s="726">
        <f t="shared" si="0"/>
        <v>1010615.75</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616891.16</v>
      </c>
      <c r="E30" s="725">
        <v>0</v>
      </c>
      <c r="F30" s="726">
        <f t="shared" si="0"/>
        <v>616891.16</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v>1154220</v>
      </c>
      <c r="E35" s="725">
        <v>0</v>
      </c>
      <c r="F35" s="726">
        <f>+D35+E35</f>
        <v>1154220</v>
      </c>
    </row>
    <row r="36" spans="1:6" s="11" customFormat="1" ht="30" customHeight="1">
      <c r="A36" s="722" t="s">
        <v>444</v>
      </c>
      <c r="B36" s="723"/>
      <c r="C36" s="724">
        <v>56002</v>
      </c>
      <c r="D36" s="725">
        <v>6229</v>
      </c>
      <c r="E36" s="725">
        <v>0</v>
      </c>
      <c r="F36" s="726">
        <f>+D36+E36</f>
        <v>6229</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350</v>
      </c>
      <c r="E39" s="725">
        <v>0</v>
      </c>
      <c r="F39" s="726">
        <f t="shared" si="0"/>
        <v>350</v>
      </c>
    </row>
    <row r="40" spans="1:6" s="11" customFormat="1" ht="30" customHeight="1">
      <c r="A40" s="722" t="s">
        <v>450</v>
      </c>
      <c r="B40" s="723"/>
      <c r="C40" s="724" t="s">
        <v>451</v>
      </c>
      <c r="D40" s="725">
        <v>12549.6</v>
      </c>
      <c r="E40" s="725">
        <v>0</v>
      </c>
      <c r="F40" s="726">
        <f t="shared" si="0"/>
        <v>12549.6</v>
      </c>
    </row>
    <row r="41" spans="1:6" s="11" customFormat="1" ht="30" customHeight="1">
      <c r="A41" s="722" t="s">
        <v>452</v>
      </c>
      <c r="B41" s="723"/>
      <c r="C41" s="724" t="s">
        <v>453</v>
      </c>
      <c r="D41" s="725">
        <v>73430</v>
      </c>
      <c r="E41" s="725">
        <v>0</v>
      </c>
      <c r="F41" s="726">
        <f t="shared" si="0"/>
        <v>73430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438749.28</v>
      </c>
      <c r="E47" s="725">
        <v>0</v>
      </c>
      <c r="F47" s="726">
        <f t="shared" si="0"/>
        <v>438749.28</v>
      </c>
    </row>
    <row r="48" spans="1:6" s="11" customFormat="1" ht="30" customHeight="1">
      <c r="A48" s="722" t="s">
        <v>466</v>
      </c>
      <c r="B48" s="723"/>
      <c r="C48" s="724" t="s">
        <v>467</v>
      </c>
      <c r="D48" s="725">
        <v>839459.86</v>
      </c>
      <c r="E48" s="725">
        <v>0</v>
      </c>
      <c r="F48" s="726">
        <f t="shared" si="0"/>
        <v>839459.86</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1259241.08</v>
      </c>
      <c r="E53" s="725">
        <v>0</v>
      </c>
      <c r="F53" s="726">
        <f t="shared" si="0"/>
        <v>1259241.08</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45753</v>
      </c>
      <c r="E55" s="730">
        <v>0</v>
      </c>
      <c r="F55" s="731">
        <f t="shared" si="0"/>
        <v>45753</v>
      </c>
    </row>
    <row r="56" spans="1:6" s="169" customFormat="1" ht="30" customHeight="1" thickBot="1">
      <c r="A56" s="252" t="s">
        <v>481</v>
      </c>
      <c r="B56" s="253"/>
      <c r="C56" s="538"/>
      <c r="D56" s="258">
        <f>SUM(D10:D55)</f>
        <v>11347292.029999999</v>
      </c>
      <c r="E56" s="258">
        <f>SUM(E10:E55)</f>
        <v>0</v>
      </c>
      <c r="F56" s="258">
        <f t="shared" si="0"/>
        <v>11347292.029999999</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47215</v>
      </c>
      <c r="E63" s="439">
        <v>0</v>
      </c>
      <c r="F63" s="224">
        <f t="shared" si="0"/>
        <v>47215</v>
      </c>
    </row>
    <row r="64" spans="1:6" s="11" customFormat="1" ht="30" customHeight="1">
      <c r="A64" s="722" t="s">
        <v>485</v>
      </c>
      <c r="B64" s="723"/>
      <c r="C64" s="732" t="s">
        <v>486</v>
      </c>
      <c r="D64" s="725">
        <v>57</v>
      </c>
      <c r="E64" s="725">
        <v>0</v>
      </c>
      <c r="F64" s="726">
        <f t="shared" si="0"/>
        <v>57</v>
      </c>
    </row>
    <row r="65" spans="1:6" s="11" customFormat="1" ht="30" customHeight="1">
      <c r="A65" s="722" t="s">
        <v>487</v>
      </c>
      <c r="B65" s="723"/>
      <c r="C65" s="732" t="s">
        <v>488</v>
      </c>
      <c r="D65" s="725">
        <v>179321</v>
      </c>
      <c r="E65" s="725">
        <v>0</v>
      </c>
      <c r="F65" s="726">
        <f t="shared" si="0"/>
        <v>179321</v>
      </c>
    </row>
    <row r="66" spans="1:6" s="11" customFormat="1" ht="30" customHeight="1">
      <c r="A66" s="722" t="s">
        <v>489</v>
      </c>
      <c r="B66" s="723"/>
      <c r="C66" s="732" t="s">
        <v>490</v>
      </c>
      <c r="D66" s="725">
        <v>12067.1</v>
      </c>
      <c r="E66" s="725">
        <v>0</v>
      </c>
      <c r="F66" s="726">
        <f t="shared" si="0"/>
        <v>12067.1</v>
      </c>
    </row>
    <row r="67" spans="1:6" s="11" customFormat="1" ht="30" customHeight="1">
      <c r="A67" s="722" t="s">
        <v>597</v>
      </c>
      <c r="B67" s="723"/>
      <c r="C67" s="732" t="s">
        <v>492</v>
      </c>
      <c r="D67" s="725">
        <v>1350</v>
      </c>
      <c r="E67" s="725">
        <v>0</v>
      </c>
      <c r="F67" s="726">
        <f t="shared" si="0"/>
        <v>1350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596</v>
      </c>
      <c r="E71" s="725">
        <v>0</v>
      </c>
      <c r="F71" s="726">
        <f t="shared" si="0"/>
        <v>596</v>
      </c>
    </row>
    <row r="72" spans="1:6" s="11" customFormat="1" ht="30" customHeight="1">
      <c r="A72" s="722" t="s">
        <v>499</v>
      </c>
      <c r="B72" s="723"/>
      <c r="C72" s="732" t="s">
        <v>500</v>
      </c>
      <c r="D72" s="725">
        <v>89051.09</v>
      </c>
      <c r="E72" s="725">
        <v>0</v>
      </c>
      <c r="F72" s="726">
        <f t="shared" si="0"/>
        <v>89051.09</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35800</v>
      </c>
      <c r="E75" s="725">
        <v>0</v>
      </c>
      <c r="F75" s="726">
        <f t="shared" si="1"/>
        <v>35800</v>
      </c>
    </row>
    <row r="76" spans="1:6" s="11" customFormat="1" ht="30" customHeight="1">
      <c r="A76" s="722" t="s">
        <v>506</v>
      </c>
      <c r="B76" s="723"/>
      <c r="C76" s="732" t="s">
        <v>507</v>
      </c>
      <c r="D76" s="725">
        <v>86265.78</v>
      </c>
      <c r="E76" s="725">
        <v>0</v>
      </c>
      <c r="F76" s="726">
        <f t="shared" si="1"/>
        <v>86265.78</v>
      </c>
    </row>
    <row r="77" spans="1:6" s="11" customFormat="1" ht="30" customHeight="1">
      <c r="A77" s="722" t="s">
        <v>508</v>
      </c>
      <c r="B77" s="723"/>
      <c r="C77" s="732" t="s">
        <v>509</v>
      </c>
      <c r="D77" s="725">
        <v>1446004</v>
      </c>
      <c r="E77" s="725">
        <v>0</v>
      </c>
      <c r="F77" s="726">
        <f t="shared" si="1"/>
        <v>1446004</v>
      </c>
    </row>
    <row r="78" spans="1:6" s="11" customFormat="1" ht="30" customHeight="1">
      <c r="A78" s="722" t="s">
        <v>510</v>
      </c>
      <c r="B78" s="723"/>
      <c r="C78" s="732" t="s">
        <v>511</v>
      </c>
      <c r="D78" s="725">
        <v>1485</v>
      </c>
      <c r="E78" s="725">
        <v>0</v>
      </c>
      <c r="F78" s="726">
        <f t="shared" si="1"/>
        <v>1485</v>
      </c>
    </row>
    <row r="79" spans="1:6" s="11" customFormat="1" ht="30" customHeight="1">
      <c r="A79" s="722" t="s">
        <v>512</v>
      </c>
      <c r="B79" s="723"/>
      <c r="C79" s="732" t="s">
        <v>513</v>
      </c>
      <c r="D79" s="725">
        <v>275978</v>
      </c>
      <c r="E79" s="725">
        <v>0</v>
      </c>
      <c r="F79" s="726">
        <f t="shared" si="1"/>
        <v>275978</v>
      </c>
    </row>
    <row r="80" spans="1:6" s="11" customFormat="1" ht="30" customHeight="1">
      <c r="A80" s="722" t="s">
        <v>514</v>
      </c>
      <c r="B80" s="723"/>
      <c r="C80" s="732" t="s">
        <v>515</v>
      </c>
      <c r="D80" s="725">
        <v>189700</v>
      </c>
      <c r="E80" s="725">
        <v>0</v>
      </c>
      <c r="F80" s="726">
        <f t="shared" ref="F80:F85" si="2">+D80+E80</f>
        <v>189700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2364889.9699999997</v>
      </c>
      <c r="E92" s="254">
        <f>SUM(E63:E91)</f>
        <v>0</v>
      </c>
      <c r="F92" s="254">
        <f t="shared" si="1"/>
        <v>2364889.9699999997</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354977</v>
      </c>
      <c r="E97" s="439">
        <v>0</v>
      </c>
      <c r="F97" s="224">
        <f t="shared" si="1"/>
        <v>354977</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354977</v>
      </c>
      <c r="E110" s="258">
        <f>SUM(E97:E109)</f>
        <v>0</v>
      </c>
      <c r="F110" s="258">
        <f>SUM(D110:E110)</f>
        <v>354977</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14067159</v>
      </c>
      <c r="E112" s="254">
        <f>+E56+E92+E110</f>
        <v>0</v>
      </c>
      <c r="F112" s="254">
        <f>SUM(D112:E112)</f>
        <v>14067159</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6670900</v>
      </c>
      <c r="E117" s="725">
        <v>0</v>
      </c>
      <c r="F117" s="726">
        <f t="shared" ref="F117:F127" si="3">+D117+E117</f>
        <v>6670900</v>
      </c>
    </row>
    <row r="118" spans="1:6" s="63" customFormat="1" ht="30" customHeight="1">
      <c r="A118" s="722" t="s">
        <v>606</v>
      </c>
      <c r="B118" s="575"/>
      <c r="C118" s="734"/>
      <c r="D118" s="1042">
        <f>'EXHIBIT C'!F19</f>
        <v>417883</v>
      </c>
      <c r="E118" s="725">
        <v>0</v>
      </c>
      <c r="F118" s="726">
        <f t="shared" si="3"/>
        <v>417883</v>
      </c>
    </row>
    <row r="119" spans="1:6" s="63" customFormat="1" ht="50.25" customHeight="1">
      <c r="A119" s="722" t="s">
        <v>607</v>
      </c>
      <c r="B119" s="575"/>
      <c r="C119" s="734"/>
      <c r="D119" s="725">
        <f>365937+5000+824269+222677+88537+995565</f>
        <v>2501985</v>
      </c>
      <c r="E119" s="725">
        <v>0</v>
      </c>
      <c r="F119" s="726">
        <f t="shared" si="3"/>
        <v>2501985</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f>3886638+589753</f>
        <v>4476391</v>
      </c>
      <c r="E122" s="725">
        <v>0</v>
      </c>
      <c r="F122" s="726">
        <f t="shared" si="3"/>
        <v>4476391</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14067159</v>
      </c>
      <c r="E128" s="248">
        <f>SUM(E116:E127)</f>
        <v>0</v>
      </c>
      <c r="F128" s="249">
        <f>SUM(F116:F127)</f>
        <v>14067159</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2"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42</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0.17462276020511194</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67740</v>
      </c>
      <c r="E44" s="108">
        <f>+'EXHIBIT C'!F10</f>
        <v>72675.672731234299</v>
      </c>
      <c r="F44" s="109">
        <f t="shared" ref="F44:F50" si="0">IF(D44=0,"0",(E44/D44-1))</f>
        <v>7.2862012566198731E-2</v>
      </c>
      <c r="G44" s="110" t="str">
        <f t="shared" ref="G44:G50" si="1">IF(OR(F44&gt;3%, F44&lt;-3%),"YES","NO")</f>
        <v>YES</v>
      </c>
      <c r="H44" s="82"/>
    </row>
    <row r="45" spans="1:8" ht="20.100000000000001" customHeight="1">
      <c r="C45" s="111" t="s">
        <v>125</v>
      </c>
      <c r="D45" s="621">
        <f>VLOOKUP($D$7,VLOOKUP!$A$109:$S$137,5)*30+D60</f>
        <v>202951.045406547</v>
      </c>
      <c r="E45" s="112">
        <f>+'EXHIBIT C'!F11</f>
        <v>230935.161848282</v>
      </c>
      <c r="F45" s="622">
        <f t="shared" si="0"/>
        <v>0.13788604234916768</v>
      </c>
      <c r="G45" s="623" t="str">
        <f t="shared" si="1"/>
        <v>YES</v>
      </c>
      <c r="H45" s="82"/>
    </row>
    <row r="46" spans="1:8" ht="20.100000000000001" customHeight="1">
      <c r="C46" s="624" t="s">
        <v>126</v>
      </c>
      <c r="D46" s="625">
        <f>VLOOKUP($D$7,VLOOKUP!$A$109:$S$137,8)*30</f>
        <v>109432.55063765941</v>
      </c>
      <c r="E46" s="626">
        <f>+'EXHIBIT C'!F12</f>
        <v>108931.257721769</v>
      </c>
      <c r="F46" s="622">
        <f t="shared" si="0"/>
        <v>-4.5808391833087603E-3</v>
      </c>
      <c r="G46" s="623" t="str">
        <f t="shared" si="1"/>
        <v>NO</v>
      </c>
      <c r="H46" s="82"/>
    </row>
    <row r="47" spans="1:8" ht="20.100000000000001" customHeight="1">
      <c r="C47" s="624" t="s">
        <v>75</v>
      </c>
      <c r="D47" s="625">
        <f>VLOOKUP($D$7,VLOOKUP!$A$109:$S$137,17)*30</f>
        <v>3749.1386682956627</v>
      </c>
      <c r="E47" s="626">
        <f>+'EXHIBIT C'!F13</f>
        <v>5626.82</v>
      </c>
      <c r="F47" s="622">
        <f t="shared" si="0"/>
        <v>0.50083005666950164</v>
      </c>
      <c r="G47" s="623" t="str">
        <f t="shared" si="1"/>
        <v>YES</v>
      </c>
      <c r="H47" s="82"/>
    </row>
    <row r="48" spans="1:8" ht="20.100000000000001" customHeight="1">
      <c r="C48" s="624" t="s">
        <v>127</v>
      </c>
      <c r="D48" s="625">
        <f>VLOOKUP($D$7,VLOOKUP!$A$109:$S$137,11)*30</f>
        <v>9525.0777202072532</v>
      </c>
      <c r="E48" s="626">
        <f>+'EXHIBIT C'!F14</f>
        <v>13386.903879416899</v>
      </c>
      <c r="F48" s="622">
        <f t="shared" si="0"/>
        <v>0.40543775837302221</v>
      </c>
      <c r="G48" s="623" t="str">
        <f t="shared" si="1"/>
        <v>YES</v>
      </c>
      <c r="H48" s="82"/>
    </row>
    <row r="49" spans="3:8" ht="20.100000000000001" customHeight="1" thickBot="1">
      <c r="C49" s="627" t="s">
        <v>128</v>
      </c>
      <c r="D49" s="628">
        <f>VLOOKUP($D$7,VLOOKUP!$A$109:$S$137,14)*30</f>
        <v>0</v>
      </c>
      <c r="E49" s="629">
        <f>+'EXHIBIT C'!F15</f>
        <v>0</v>
      </c>
      <c r="F49" s="630" t="str">
        <f t="shared" si="0"/>
        <v>0</v>
      </c>
      <c r="G49" s="631" t="str">
        <f t="shared" si="1"/>
        <v>NO</v>
      </c>
      <c r="H49" s="82"/>
    </row>
    <row r="50" spans="3:8" ht="20.100000000000001" customHeight="1" thickBot="1">
      <c r="C50" s="113" t="s">
        <v>48</v>
      </c>
      <c r="D50" s="114">
        <f>SUM(D44:D49)</f>
        <v>393397.81243270932</v>
      </c>
      <c r="E50" s="115">
        <f>+'EXHIBIT C'!F17</f>
        <v>431555.81618070218</v>
      </c>
      <c r="F50" s="116">
        <f t="shared" si="0"/>
        <v>9.6995973394030433E-2</v>
      </c>
      <c r="G50" s="117" t="str">
        <f t="shared" si="1"/>
        <v>YES</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387.75" customHeight="1" thickBot="1">
      <c r="C53" s="1048" t="s">
        <v>793</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1516.6515442964001</v>
      </c>
      <c r="F59" s="633" t="str">
        <f t="shared" ref="F59:F65" si="2">IF(D59=0,"0",(E59/D59-1))</f>
        <v>0</v>
      </c>
      <c r="G59" s="634" t="str">
        <f>IF(OR(F59&gt;5%, F59&lt;-5%),"YES","NO")</f>
        <v>NO</v>
      </c>
    </row>
    <row r="60" spans="3:8" ht="20.100000000000001" customHeight="1">
      <c r="C60" s="111" t="s">
        <v>125</v>
      </c>
      <c r="D60" s="632">
        <f>VLOOKUP($D$7,VLOOKUP!$A$109:$S$137,6)*30</f>
        <v>8959.4211502305097</v>
      </c>
      <c r="E60" s="125">
        <f>+'EXHIBIT C'!D20</f>
        <v>9953.0682800346003</v>
      </c>
      <c r="F60" s="633">
        <f t="shared" si="2"/>
        <v>0.11090528206484929</v>
      </c>
      <c r="G60" s="634" t="str">
        <f t="shared" ref="G60:G65" si="3">IF(OR(F60&gt;5%, F60&lt;-5%),"YES","NO")</f>
        <v>YES</v>
      </c>
      <c r="H60" s="82"/>
    </row>
    <row r="61" spans="3:8" ht="20.100000000000001" customHeight="1">
      <c r="C61" s="624" t="s">
        <v>126</v>
      </c>
      <c r="D61" s="635">
        <f>VLOOKUP($D$7,VLOOKUP!$A$109:$S$137,9)*30</f>
        <v>4089.4906226556641</v>
      </c>
      <c r="E61" s="636">
        <f>+'EXHIBIT C'!D21</f>
        <v>4075.8776803720998</v>
      </c>
      <c r="F61" s="633">
        <f t="shared" si="2"/>
        <v>-3.3287623177685743E-3</v>
      </c>
      <c r="G61" s="634" t="str">
        <f t="shared" si="3"/>
        <v>NO</v>
      </c>
      <c r="H61" s="82"/>
    </row>
    <row r="62" spans="3:8" ht="20.100000000000001" customHeight="1">
      <c r="C62" s="624" t="s">
        <v>75</v>
      </c>
      <c r="D62" s="635">
        <f>VLOOKUP($D$7,VLOOKUP!$A$109:$S$137,18)*30</f>
        <v>1860.8613317043373</v>
      </c>
      <c r="E62" s="636">
        <f>+'EXHIBIT C'!D22</f>
        <v>291.5168593917</v>
      </c>
      <c r="F62" s="633">
        <f t="shared" si="2"/>
        <v>-0.84334305064810833</v>
      </c>
      <c r="G62" s="634" t="str">
        <f t="shared" si="3"/>
        <v>YES</v>
      </c>
      <c r="H62" s="82"/>
    </row>
    <row r="63" spans="3:8" ht="20.100000000000001" customHeight="1">
      <c r="C63" s="624" t="s">
        <v>127</v>
      </c>
      <c r="D63" s="635">
        <f>VLOOKUP($D$7,VLOOKUP!$A$109:$S$137,12)*30</f>
        <v>1184.9222797927459</v>
      </c>
      <c r="E63" s="636">
        <f>+'EXHIBIT C'!D23</f>
        <v>1142.4455694118999</v>
      </c>
      <c r="F63" s="633">
        <f t="shared" si="2"/>
        <v>-3.5847676345722501E-2</v>
      </c>
      <c r="G63" s="634" t="str">
        <f t="shared" si="3"/>
        <v>NO</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16094.69538438326</v>
      </c>
      <c r="E65" s="127">
        <f>SUM(E59:E64)</f>
        <v>16979.559933506702</v>
      </c>
      <c r="F65" s="128">
        <f t="shared" si="2"/>
        <v>5.497864532323038E-2</v>
      </c>
      <c r="G65" s="129" t="str">
        <f t="shared" si="3"/>
        <v>YES</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333" customHeight="1" thickBot="1">
      <c r="A68" s="92"/>
      <c r="B68" s="92"/>
      <c r="C68" s="1051" t="s">
        <v>794</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77492481.402347744</v>
      </c>
      <c r="E84" s="1089">
        <f>+'EXHIBIT D'!G77</f>
        <v>77492481.402347744</v>
      </c>
      <c r="F84" s="1089">
        <f>D84-E84</f>
        <v>0</v>
      </c>
      <c r="G84" s="82"/>
      <c r="H84" s="82"/>
    </row>
    <row r="85" spans="1:8" ht="20.100000000000001" customHeight="1">
      <c r="A85" s="92"/>
      <c r="B85" s="92"/>
      <c r="C85" s="643" t="s">
        <v>149</v>
      </c>
      <c r="D85" s="642">
        <f>VLOOKUP($D$7,VLOOKUP!$A$150:$B$178,2)</f>
        <v>1662776</v>
      </c>
      <c r="E85" s="1089">
        <f>'EXHIBIT D'!G79</f>
        <v>1662776</v>
      </c>
      <c r="F85" s="1089">
        <f>D85-E85</f>
        <v>0</v>
      </c>
      <c r="G85" s="82"/>
      <c r="H85" s="82"/>
    </row>
    <row r="86" spans="1:8" ht="20.100000000000001" customHeight="1">
      <c r="A86" s="92"/>
      <c r="B86" s="92"/>
      <c r="C86" s="643" t="s">
        <v>150</v>
      </c>
      <c r="D86" s="642">
        <f>VLOOKUP($D$7,VLOOKUP!$A$7:$E$35,3)</f>
        <v>15840843.597652253</v>
      </c>
      <c r="E86" s="1089">
        <f>'EXHIBIT D'!G82</f>
        <v>15840843.597652253</v>
      </c>
      <c r="F86" s="1089">
        <f>D86-E86</f>
        <v>0</v>
      </c>
      <c r="G86" s="82"/>
      <c r="H86" s="82"/>
    </row>
    <row r="87" spans="1:8" ht="20.100000000000001" customHeight="1" thickBot="1">
      <c r="A87" s="91"/>
      <c r="B87" s="91"/>
      <c r="C87" s="137" t="s">
        <v>688</v>
      </c>
      <c r="D87" s="642">
        <f>VLOOKUP($D$7,VLOOKUP!$A$185:$B$213,2)</f>
        <v>2139506</v>
      </c>
      <c r="E87" s="1090">
        <f>'EXHIBIT D'!G78</f>
        <v>2139506</v>
      </c>
      <c r="F87" s="1089">
        <f>D87-E87</f>
        <v>0</v>
      </c>
      <c r="G87" s="82"/>
      <c r="H87" s="82"/>
    </row>
    <row r="88" spans="1:8" ht="20.100000000000001" customHeight="1" thickBot="1">
      <c r="A88" s="91"/>
      <c r="B88" s="91"/>
      <c r="C88" s="138" t="s">
        <v>151</v>
      </c>
      <c r="D88" s="139">
        <f>SUM(D84:D87)</f>
        <v>97135607</v>
      </c>
      <c r="E88" s="139">
        <f>SUM(E84:E87)</f>
        <v>97135607</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62567500</v>
      </c>
      <c r="D101" s="787" t="s">
        <v>744</v>
      </c>
      <c r="E101" s="787"/>
      <c r="F101" s="787"/>
      <c r="G101" s="82"/>
      <c r="H101" s="82"/>
    </row>
    <row r="102" spans="1:8" ht="20.100000000000001" customHeight="1">
      <c r="A102" s="89"/>
      <c r="B102" s="89"/>
      <c r="C102" s="645">
        <f>'EXHIBIT D'!G266-'EXHIBIT D'!G252-'EXHIBIT D'!G264</f>
        <v>62567500</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118400000</v>
      </c>
      <c r="D108" s="11" t="s">
        <v>746</v>
      </c>
    </row>
    <row r="109" spans="1:8" ht="26.25" customHeight="1">
      <c r="A109" s="145"/>
      <c r="B109" s="145"/>
      <c r="C109" s="647">
        <f>'EXHIBIT A'!E36</f>
        <v>119271000</v>
      </c>
      <c r="D109" s="11" t="s">
        <v>747</v>
      </c>
    </row>
    <row r="110" spans="1:8" ht="26.1" customHeight="1">
      <c r="A110" s="145"/>
      <c r="B110" s="145"/>
      <c r="C110" s="648">
        <f>C108-C109</f>
        <v>-871000</v>
      </c>
      <c r="D110" s="83" t="s">
        <v>159</v>
      </c>
      <c r="E110" s="83"/>
      <c r="F110" s="83"/>
      <c r="G110" s="83"/>
    </row>
    <row r="111" spans="1:8" ht="20.100000000000001" customHeight="1">
      <c r="A111" s="145"/>
      <c r="B111" s="145"/>
      <c r="C111" s="148"/>
    </row>
    <row r="112" spans="1:8" ht="26.1" customHeight="1">
      <c r="A112" s="145"/>
      <c r="B112" s="145"/>
      <c r="C112" s="646">
        <f>'EXHIBIT D'!G186</f>
        <v>871000</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91.790000000000049</v>
      </c>
      <c r="D119" s="11" t="s">
        <v>80</v>
      </c>
    </row>
    <row r="120" spans="1:8" ht="20.100000000000001" customHeight="1">
      <c r="C120" s="151"/>
    </row>
    <row r="121" spans="1:8" ht="20.100000000000001" customHeight="1">
      <c r="C121" s="152">
        <f>IF('EXHIBIT G'!D118=0,"No Credit Hours or Not Applicable",('EXHIBIT G'!D118/'EXHIBIT C'!D19))</f>
        <v>275.5300000000085</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c3QPCO5VegKFiG5hFhsC/0j4zkC6eA2+9OBVZSXTj9UgKbnWCgChMPmI5iGb7EV+qCfKoXlp0jAWFRISB2mzA==" saltValue="xCrW/Koc/0CpPFAsiGasb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St. Petersburg College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v>60400000</v>
      </c>
    </row>
    <row r="14" spans="2:7" ht="25.35" customHeight="1">
      <c r="B14" s="11" t="s">
        <v>173</v>
      </c>
      <c r="D14" s="22"/>
      <c r="E14" s="1161">
        <v>118400000</v>
      </c>
    </row>
    <row r="15" spans="2:7" ht="25.35" customHeight="1">
      <c r="B15" s="22"/>
      <c r="D15" s="22"/>
      <c r="E15" s="156"/>
    </row>
    <row r="16" spans="2:7" ht="25.35" customHeight="1">
      <c r="B16" s="11" t="s">
        <v>751</v>
      </c>
      <c r="C16" s="22"/>
      <c r="D16" s="22"/>
      <c r="E16" s="556">
        <f>+E14+E13</f>
        <v>178800000</v>
      </c>
    </row>
    <row r="17" spans="2:7" ht="25.35" customHeight="1">
      <c r="B17" s="22"/>
      <c r="C17" s="22"/>
      <c r="D17" s="22"/>
      <c r="E17" s="157"/>
    </row>
    <row r="18" spans="2:7" ht="25.35" customHeight="1">
      <c r="B18" s="11" t="s">
        <v>174</v>
      </c>
      <c r="C18" s="22"/>
      <c r="D18" s="22"/>
      <c r="E18" s="167">
        <f>+'EXHIBIT D'!G143-SUM(+'EXHIBIT D'!G133+'EXHIBIT D'!G134)</f>
        <v>159157895</v>
      </c>
      <c r="G18" s="132"/>
    </row>
    <row r="19" spans="2:7" ht="25.35" customHeight="1">
      <c r="B19" s="11" t="s">
        <v>175</v>
      </c>
      <c r="D19" s="22"/>
      <c r="E19" s="556">
        <f>+'EXHIBIT D'!G133+'EXHIBIT D'!G134</f>
        <v>20343050</v>
      </c>
    </row>
    <row r="20" spans="2:7" ht="25.35" customHeight="1">
      <c r="B20" s="22"/>
      <c r="D20" s="22"/>
      <c r="E20" s="162"/>
    </row>
    <row r="21" spans="2:7" ht="25.35" customHeight="1">
      <c r="B21" s="11" t="s">
        <v>176</v>
      </c>
      <c r="C21" s="22"/>
      <c r="D21" s="22"/>
      <c r="E21" s="557">
        <f>+E19+E18</f>
        <v>179500945</v>
      </c>
    </row>
    <row r="22" spans="2:7" ht="25.35" customHeight="1">
      <c r="B22" s="22"/>
      <c r="C22" s="22"/>
      <c r="D22" s="22"/>
      <c r="E22" s="162"/>
    </row>
    <row r="23" spans="2:7" ht="25.35" customHeight="1">
      <c r="B23" s="22" t="s">
        <v>177</v>
      </c>
      <c r="C23" s="22"/>
      <c r="D23" s="22"/>
      <c r="E23" s="557">
        <f>+E21+E16</f>
        <v>358300945</v>
      </c>
    </row>
    <row r="24" spans="2:7" ht="25.35" customHeight="1">
      <c r="B24" s="22"/>
      <c r="C24" s="22"/>
      <c r="D24" s="22"/>
      <c r="E24" s="162"/>
    </row>
    <row r="25" spans="2:7" ht="25.35" customHeight="1">
      <c r="B25" s="11" t="s">
        <v>178</v>
      </c>
      <c r="C25" s="22"/>
      <c r="D25" s="22"/>
      <c r="E25" s="168">
        <f>'EXHIBIT D'!G248-SUM(+'EXHIBIT D'!G222+'EXHIBIT D'!G223)</f>
        <v>175108803</v>
      </c>
    </row>
    <row r="26" spans="2:7" ht="25.35" customHeight="1">
      <c r="B26" s="11" t="s">
        <v>179</v>
      </c>
      <c r="D26" s="22"/>
      <c r="E26" s="556">
        <f>'EXHIBIT D'!G222+'EXHIBIT D'!G223</f>
        <v>4392142</v>
      </c>
    </row>
    <row r="27" spans="2:7" ht="25.35" customHeight="1">
      <c r="B27" s="22"/>
      <c r="D27" s="22"/>
      <c r="E27" s="162"/>
    </row>
    <row r="28" spans="2:7" ht="25.35" customHeight="1">
      <c r="B28" s="22" t="s">
        <v>180</v>
      </c>
      <c r="C28" s="22"/>
      <c r="D28" s="22"/>
      <c r="E28" s="558">
        <f>+E26+E25</f>
        <v>179500945</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178800000</v>
      </c>
      <c r="E32" s="158"/>
    </row>
    <row r="33" spans="2:10" ht="25.35" customHeight="1">
      <c r="B33" s="11" t="s">
        <v>182</v>
      </c>
      <c r="C33" s="22"/>
      <c r="D33" s="559">
        <f>+'EXHIBIT D'!G186</f>
        <v>871000</v>
      </c>
      <c r="E33" s="158"/>
    </row>
    <row r="34" spans="2:10" ht="25.35" customHeight="1">
      <c r="B34" s="22"/>
      <c r="D34" s="22"/>
      <c r="E34" s="158"/>
      <c r="J34" s="160"/>
    </row>
    <row r="35" spans="2:10" ht="25.35" customHeight="1">
      <c r="B35" s="11" t="s">
        <v>753</v>
      </c>
      <c r="C35" s="22"/>
      <c r="D35" s="22"/>
      <c r="E35" s="161">
        <f>+D32+D33</f>
        <v>179671000</v>
      </c>
    </row>
    <row r="36" spans="2:10" ht="25.35" customHeight="1">
      <c r="B36" s="11" t="s">
        <v>754</v>
      </c>
      <c r="C36" s="22"/>
      <c r="D36" s="22"/>
      <c r="E36" s="557">
        <f>-'EXHIBIT D'!G264</f>
        <v>119271000</v>
      </c>
      <c r="J36" s="42"/>
    </row>
    <row r="37" spans="2:10" ht="25.35" customHeight="1">
      <c r="D37" s="22"/>
      <c r="E37" s="161"/>
    </row>
    <row r="38" spans="2:10" ht="25.35" customHeight="1">
      <c r="B38" s="22" t="s">
        <v>755</v>
      </c>
      <c r="D38" s="22"/>
      <c r="E38" s="556">
        <f>+E35-E36</f>
        <v>60400000</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62567500</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0.17462276020511194</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80" zoomScaleNormal="8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St. Petersburg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9.18</v>
      </c>
      <c r="E14" s="930">
        <v>12.55</v>
      </c>
      <c r="F14" s="930">
        <v>4.59</v>
      </c>
      <c r="G14" s="650">
        <f>SUM(B14:F14)</f>
        <v>122.7</v>
      </c>
      <c r="H14" s="355">
        <f>G14*30</f>
        <v>3681</v>
      </c>
    </row>
    <row r="15" spans="1:18" s="11" customFormat="1" ht="20.100000000000001" customHeight="1">
      <c r="A15" s="22" t="s">
        <v>200</v>
      </c>
      <c r="B15" s="931">
        <v>80.94</v>
      </c>
      <c r="C15" s="931">
        <v>4.04</v>
      </c>
      <c r="D15" s="931">
        <v>7.63</v>
      </c>
      <c r="E15" s="931">
        <v>15.1</v>
      </c>
      <c r="F15" s="931">
        <v>4.04</v>
      </c>
      <c r="G15" s="650">
        <f>SUM(B15:F15)</f>
        <v>111.75</v>
      </c>
      <c r="H15" s="328">
        <f>G15*30</f>
        <v>3352.5</v>
      </c>
    </row>
    <row r="16" spans="1:18" s="11" customFormat="1" ht="20.100000000000001" customHeight="1" thickBot="1">
      <c r="A16" s="22" t="s">
        <v>75</v>
      </c>
      <c r="B16" s="932">
        <v>68.599999999999994</v>
      </c>
      <c r="C16" s="932">
        <v>0</v>
      </c>
      <c r="D16" s="933"/>
      <c r="E16" s="932">
        <v>3.43</v>
      </c>
      <c r="F16" s="932">
        <v>3.43</v>
      </c>
      <c r="G16" s="329">
        <f>SUM(B16:F16)</f>
        <v>75.460000000000008</v>
      </c>
      <c r="H16" s="651">
        <f>G16*30</f>
        <v>2263.8000000000002</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0</v>
      </c>
      <c r="C19" s="356"/>
      <c r="D19" s="356"/>
      <c r="E19" s="356"/>
      <c r="F19" s="356"/>
      <c r="G19" s="650">
        <f>B19</f>
        <v>0</v>
      </c>
      <c r="H19" s="578">
        <f>G19*3</f>
        <v>0</v>
      </c>
    </row>
    <row r="20" spans="1:11" s="11" customFormat="1" ht="20.100000000000001" customHeight="1" thickBot="1">
      <c r="A20" s="22" t="s">
        <v>204</v>
      </c>
      <c r="B20" s="569">
        <v>0</v>
      </c>
      <c r="C20" s="310"/>
      <c r="D20" s="310"/>
      <c r="E20" s="310"/>
      <c r="F20" s="310"/>
      <c r="G20" s="331">
        <f>B20</f>
        <v>0</v>
      </c>
      <c r="H20" s="544">
        <f>G20*3</f>
        <v>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275.52999999999997</v>
      </c>
      <c r="D29" s="930">
        <v>18.37</v>
      </c>
      <c r="E29" s="516">
        <f>D14</f>
        <v>9.18</v>
      </c>
      <c r="F29" s="930">
        <v>12.55</v>
      </c>
      <c r="G29" s="930">
        <v>18.37</v>
      </c>
      <c r="H29" s="336">
        <f>SUM(B29:G29)</f>
        <v>425.79</v>
      </c>
      <c r="I29" s="349">
        <f>H29*30</f>
        <v>12773.7</v>
      </c>
    </row>
    <row r="30" spans="1:11" s="11" customFormat="1" ht="20.100000000000001" customHeight="1">
      <c r="A30" s="22" t="str">
        <f t="shared" si="0"/>
        <v>LOWER LEVEL - CREDIT (A &amp; P, PSV, DEVELOPMENTAL EDUCATION AND EPI)</v>
      </c>
      <c r="B30" s="654">
        <f t="shared" si="0"/>
        <v>80.94</v>
      </c>
      <c r="C30" s="934">
        <v>242.97</v>
      </c>
      <c r="D30" s="934">
        <v>16.2</v>
      </c>
      <c r="E30" s="655">
        <f>D15</f>
        <v>7.63</v>
      </c>
      <c r="F30" s="934">
        <v>22.96</v>
      </c>
      <c r="G30" s="934">
        <v>16.2</v>
      </c>
      <c r="H30" s="650">
        <f>SUM(B30:G30)</f>
        <v>386.89999999999992</v>
      </c>
      <c r="I30" s="328">
        <f>H30*30</f>
        <v>11606.999999999998</v>
      </c>
    </row>
    <row r="31" spans="1:11" s="11" customFormat="1" ht="20.100000000000001" customHeight="1">
      <c r="A31" s="22" t="str">
        <f t="shared" si="0"/>
        <v>CAREER CERTIFICATE AND APPLIED TECHNOLOGY DIPLOMA</v>
      </c>
      <c r="B31" s="1109">
        <f t="shared" si="0"/>
        <v>68.599999999999994</v>
      </c>
      <c r="C31" s="931">
        <v>205.82</v>
      </c>
      <c r="D31" s="931">
        <v>0</v>
      </c>
      <c r="E31" s="1110"/>
      <c r="F31" s="931">
        <v>13.72</v>
      </c>
      <c r="G31" s="931">
        <v>13.72</v>
      </c>
      <c r="H31" s="1111">
        <f>SUM(B31:G31)</f>
        <v>301.86</v>
      </c>
      <c r="I31" s="1111">
        <f>H31*30</f>
        <v>9055.8000000000011</v>
      </c>
    </row>
    <row r="32" spans="1:11" s="11" customFormat="1" ht="20.100000000000001" customHeight="1" thickBot="1">
      <c r="A32" s="22" t="s">
        <v>738</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0</v>
      </c>
      <c r="C35" s="356"/>
      <c r="D35" s="356"/>
      <c r="E35" s="356"/>
      <c r="F35" s="356"/>
      <c r="G35" s="356"/>
      <c r="H35" s="656">
        <f>B35</f>
        <v>0</v>
      </c>
      <c r="I35" s="350">
        <f>H35*3</f>
        <v>0</v>
      </c>
      <c r="J35" s="334"/>
      <c r="K35" s="334"/>
    </row>
    <row r="36" spans="1:11" s="11" customFormat="1" ht="20.100000000000001" customHeight="1" thickBot="1">
      <c r="A36" s="22" t="str">
        <f>A20</f>
        <v>ADULT GENERAL EDUCATION AND SECONDARY (PER TERM)</v>
      </c>
      <c r="B36" s="657">
        <f>B20</f>
        <v>0</v>
      </c>
      <c r="C36" s="310"/>
      <c r="D36" s="310"/>
      <c r="E36" s="310"/>
      <c r="F36" s="310"/>
      <c r="G36" s="310"/>
      <c r="H36" s="340">
        <f>B36</f>
        <v>0</v>
      </c>
      <c r="I36" s="658">
        <f>H36*3</f>
        <v>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St. Petersburg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72675.672731234299</v>
      </c>
      <c r="E10" s="519">
        <v>0</v>
      </c>
      <c r="F10" s="520">
        <f t="shared" ref="F10:F15" si="0">+D10-E10</f>
        <v>72675.672731234299</v>
      </c>
      <c r="G10" s="520">
        <f>'EXHIBIT B'!B14</f>
        <v>91.79</v>
      </c>
      <c r="H10" s="1160">
        <f>ROUND(+F10*G10,0)</f>
        <v>6670900</v>
      </c>
    </row>
    <row r="11" spans="1:9" ht="20.100000000000001" customHeight="1">
      <c r="A11" s="661" t="s">
        <v>193</v>
      </c>
      <c r="B11" s="661" t="s">
        <v>125</v>
      </c>
      <c r="C11" s="662" t="s">
        <v>220</v>
      </c>
      <c r="D11" s="660">
        <v>230935.161848282</v>
      </c>
      <c r="E11" s="660">
        <v>0</v>
      </c>
      <c r="F11" s="663">
        <f t="shared" si="0"/>
        <v>230935.161848282</v>
      </c>
      <c r="G11" s="663">
        <f>+'EXHIBIT B'!B15</f>
        <v>80.94</v>
      </c>
      <c r="H11" s="664">
        <f t="shared" ref="H11:H15" si="1">ROUND(+F11*G11,0)</f>
        <v>18691892</v>
      </c>
    </row>
    <row r="12" spans="1:9" ht="20.100000000000001" customHeight="1">
      <c r="A12" s="661" t="s">
        <v>193</v>
      </c>
      <c r="B12" s="661" t="s">
        <v>126</v>
      </c>
      <c r="C12" s="662" t="s">
        <v>221</v>
      </c>
      <c r="D12" s="660">
        <v>108931.257721769</v>
      </c>
      <c r="E12" s="660">
        <v>0</v>
      </c>
      <c r="F12" s="663">
        <f t="shared" si="0"/>
        <v>108931.257721769</v>
      </c>
      <c r="G12" s="663">
        <f>+'EXHIBIT B'!B15</f>
        <v>80.94</v>
      </c>
      <c r="H12" s="664">
        <f t="shared" si="1"/>
        <v>8816896</v>
      </c>
    </row>
    <row r="13" spans="1:9" ht="20.100000000000001" customHeight="1">
      <c r="A13" s="661" t="s">
        <v>193</v>
      </c>
      <c r="B13" s="661" t="s">
        <v>75</v>
      </c>
      <c r="C13" s="662" t="s">
        <v>222</v>
      </c>
      <c r="D13" s="665">
        <v>5626.82</v>
      </c>
      <c r="E13" s="665">
        <v>0</v>
      </c>
      <c r="F13" s="663">
        <f t="shared" si="0"/>
        <v>5626.82</v>
      </c>
      <c r="G13" s="663">
        <f>+'EXHIBIT B'!B16</f>
        <v>68.599999999999994</v>
      </c>
      <c r="H13" s="664">
        <f t="shared" si="1"/>
        <v>386000</v>
      </c>
    </row>
    <row r="14" spans="1:9" ht="20.100000000000001" customHeight="1">
      <c r="A14" s="661" t="s">
        <v>193</v>
      </c>
      <c r="B14" s="661" t="s">
        <v>127</v>
      </c>
      <c r="C14" s="662" t="s">
        <v>223</v>
      </c>
      <c r="D14" s="660">
        <v>13386.903879416899</v>
      </c>
      <c r="E14" s="660">
        <v>0</v>
      </c>
      <c r="F14" s="663">
        <f t="shared" si="0"/>
        <v>13386.903879416899</v>
      </c>
      <c r="G14" s="663">
        <f>+'EXHIBIT B'!B15</f>
        <v>80.94</v>
      </c>
      <c r="H14" s="664">
        <f t="shared" si="1"/>
        <v>1083536</v>
      </c>
    </row>
    <row r="15" spans="1:9" ht="20.100000000000001" customHeight="1" thickBot="1">
      <c r="A15" s="666" t="s">
        <v>193</v>
      </c>
      <c r="B15" s="666" t="s">
        <v>128</v>
      </c>
      <c r="C15" s="667">
        <v>40160</v>
      </c>
      <c r="D15" s="668">
        <v>0</v>
      </c>
      <c r="E15" s="668">
        <v>0</v>
      </c>
      <c r="F15" s="669">
        <f t="shared" si="0"/>
        <v>0</v>
      </c>
      <c r="G15" s="669">
        <f>+'EXHIBIT B'!B15</f>
        <v>80.94</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431555.81618070218</v>
      </c>
      <c r="E17" s="292">
        <f>SUM(E10:E15)</f>
        <v>0</v>
      </c>
      <c r="F17" s="293">
        <f>SUM(F10:F15)</f>
        <v>431555.81618070218</v>
      </c>
      <c r="G17" s="293"/>
      <c r="H17" s="294">
        <f>SUM(H10:H15)</f>
        <v>35649224</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1516.6515442964001</v>
      </c>
      <c r="E19" s="672">
        <f>'EXHIBIT B'!C29</f>
        <v>275.52999999999997</v>
      </c>
      <c r="F19" s="1159">
        <f t="shared" ref="F19:F25" si="2">ROUND(+D19*E19,0)</f>
        <v>417883</v>
      </c>
      <c r="G19" s="296"/>
      <c r="H19" s="296"/>
    </row>
    <row r="20" spans="1:9" ht="20.100000000000001" customHeight="1">
      <c r="A20" s="612" t="s">
        <v>208</v>
      </c>
      <c r="B20" s="612" t="s">
        <v>125</v>
      </c>
      <c r="C20" s="673" t="s">
        <v>227</v>
      </c>
      <c r="D20" s="680">
        <v>9953.0682800346003</v>
      </c>
      <c r="E20" s="674">
        <f>+'EXHIBIT B'!C30</f>
        <v>242.97</v>
      </c>
      <c r="F20" s="675">
        <f t="shared" si="2"/>
        <v>2418297</v>
      </c>
      <c r="G20" s="42"/>
      <c r="H20" s="42"/>
    </row>
    <row r="21" spans="1:9" ht="20.100000000000001" customHeight="1">
      <c r="A21" s="612" t="s">
        <v>208</v>
      </c>
      <c r="B21" s="612" t="s">
        <v>126</v>
      </c>
      <c r="C21" s="673" t="s">
        <v>228</v>
      </c>
      <c r="D21" s="680">
        <v>4075.8776803720998</v>
      </c>
      <c r="E21" s="674">
        <f>+'EXHIBIT B'!C30</f>
        <v>242.97</v>
      </c>
      <c r="F21" s="675">
        <f t="shared" si="2"/>
        <v>990316</v>
      </c>
      <c r="G21" s="42"/>
      <c r="H21" s="42"/>
    </row>
    <row r="22" spans="1:9" ht="20.100000000000001" customHeight="1">
      <c r="A22" s="612" t="s">
        <v>208</v>
      </c>
      <c r="B22" s="612" t="s">
        <v>75</v>
      </c>
      <c r="C22" s="673" t="s">
        <v>229</v>
      </c>
      <c r="D22" s="680">
        <v>291.5168593917</v>
      </c>
      <c r="E22" s="674">
        <f>+'EXHIBIT B'!C31</f>
        <v>205.82</v>
      </c>
      <c r="F22" s="675">
        <f t="shared" si="2"/>
        <v>60000</v>
      </c>
      <c r="G22" s="42"/>
      <c r="H22" s="42"/>
    </row>
    <row r="23" spans="1:9" ht="20.100000000000001" customHeight="1">
      <c r="A23" s="612" t="s">
        <v>208</v>
      </c>
      <c r="B23" s="612" t="s">
        <v>127</v>
      </c>
      <c r="C23" s="673" t="s">
        <v>230</v>
      </c>
      <c r="D23" s="680">
        <v>1142.4455694118999</v>
      </c>
      <c r="E23" s="674">
        <f>+'EXHIBIT B'!C30</f>
        <v>242.97</v>
      </c>
      <c r="F23" s="675">
        <f t="shared" si="2"/>
        <v>277580</v>
      </c>
      <c r="G23" s="42"/>
      <c r="H23" s="42"/>
    </row>
    <row r="24" spans="1:9" ht="20.100000000000001" customHeight="1">
      <c r="A24" s="1020" t="s">
        <v>208</v>
      </c>
      <c r="B24" s="1020" t="s">
        <v>128</v>
      </c>
      <c r="C24" s="1114">
        <v>40360</v>
      </c>
      <c r="D24" s="1115">
        <v>0</v>
      </c>
      <c r="E24" s="1116">
        <f>+'EXHIBIT B'!C30</f>
        <v>242.97</v>
      </c>
      <c r="F24" s="1117">
        <f t="shared" si="2"/>
        <v>0</v>
      </c>
      <c r="G24" s="42"/>
      <c r="H24" s="42"/>
    </row>
    <row r="25" spans="1:9" ht="20.100000000000001" customHeight="1" thickBot="1">
      <c r="A25" s="373" t="s">
        <v>208</v>
      </c>
      <c r="B25" s="373" t="s">
        <v>735</v>
      </c>
      <c r="C25" s="1112" t="s">
        <v>736</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16979.559933506702</v>
      </c>
      <c r="E27" s="678"/>
      <c r="F27" s="679">
        <f>SUM(F19:F25)</f>
        <v>4164076</v>
      </c>
      <c r="G27" s="300"/>
      <c r="H27" s="300"/>
    </row>
    <row r="28" spans="1:9" ht="20.100000000000001" customHeight="1" thickBot="1">
      <c r="A28" s="301" t="s">
        <v>231</v>
      </c>
      <c r="B28" s="301"/>
      <c r="C28" s="301"/>
      <c r="D28" s="301"/>
      <c r="E28" s="301"/>
      <c r="F28" s="302"/>
      <c r="G28" s="521"/>
      <c r="H28" s="303">
        <f>H17+F27</f>
        <v>39813300</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0</v>
      </c>
      <c r="H33" s="526">
        <f>ROUND(+F33*G33,0)</f>
        <v>0</v>
      </c>
    </row>
    <row r="34" spans="1:8" ht="20.100000000000001" customHeight="1">
      <c r="A34" s="612" t="s">
        <v>237</v>
      </c>
      <c r="B34" s="612" t="s">
        <v>240</v>
      </c>
      <c r="C34" s="673" t="s">
        <v>241</v>
      </c>
      <c r="D34" s="680">
        <v>0</v>
      </c>
      <c r="E34" s="680">
        <v>0</v>
      </c>
      <c r="F34" s="674">
        <f>D34-E34</f>
        <v>0</v>
      </c>
      <c r="G34" s="674">
        <f>'EXHIBIT B'!B20</f>
        <v>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0</v>
      </c>
      <c r="F40" s="1157">
        <f>D40*E40</f>
        <v>0</v>
      </c>
    </row>
    <row r="41" spans="1:8" ht="20.100000000000001" customHeight="1">
      <c r="A41" s="612" t="s">
        <v>237</v>
      </c>
      <c r="B41" s="612" t="s">
        <v>240</v>
      </c>
      <c r="C41" s="673">
        <v>40390</v>
      </c>
      <c r="D41" s="680">
        <v>0</v>
      </c>
      <c r="E41" s="674">
        <f>'EXHIBIT B'!B36</f>
        <v>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39813300</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t="s">
        <v>788</v>
      </c>
      <c r="B56" s="680">
        <v>694000</v>
      </c>
      <c r="C56" s="938" t="s">
        <v>786</v>
      </c>
      <c r="D56" s="939"/>
      <c r="E56" s="938" t="s">
        <v>789</v>
      </c>
      <c r="F56" s="939"/>
      <c r="J56" s="86"/>
    </row>
    <row r="57" spans="1:10" ht="24.95" customHeight="1">
      <c r="A57" s="686" t="s">
        <v>788</v>
      </c>
      <c r="B57" s="680">
        <v>733500</v>
      </c>
      <c r="C57" s="938" t="s">
        <v>786</v>
      </c>
      <c r="D57" s="939"/>
      <c r="E57" s="938" t="s">
        <v>790</v>
      </c>
      <c r="F57" s="939"/>
    </row>
    <row r="58" spans="1:10" ht="24.95" customHeight="1">
      <c r="A58" s="686" t="s">
        <v>791</v>
      </c>
      <c r="B58" s="680">
        <v>2964642</v>
      </c>
      <c r="C58" s="938" t="s">
        <v>786</v>
      </c>
      <c r="D58" s="939"/>
      <c r="E58" s="938" t="s">
        <v>792</v>
      </c>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4392142</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0</v>
      </c>
      <c r="C64" s="936"/>
      <c r="D64" s="937"/>
      <c r="E64" s="936"/>
      <c r="F64" s="937"/>
    </row>
    <row r="65" spans="1:6" ht="24.95" customHeight="1">
      <c r="A65" s="686" t="s">
        <v>680</v>
      </c>
      <c r="B65" s="680">
        <v>0</v>
      </c>
      <c r="C65" s="938"/>
      <c r="D65" s="939"/>
      <c r="E65" s="938"/>
      <c r="F65" s="939"/>
    </row>
    <row r="66" spans="1:6" ht="24.95" customHeight="1">
      <c r="A66" s="686" t="s">
        <v>784</v>
      </c>
      <c r="B66" s="680">
        <v>2500000</v>
      </c>
      <c r="C66" s="938" t="s">
        <v>785</v>
      </c>
      <c r="D66" s="939"/>
      <c r="E66" s="938" t="s">
        <v>786</v>
      </c>
      <c r="F66" s="939"/>
    </row>
    <row r="67" spans="1:6" ht="24.95" customHeight="1">
      <c r="A67" s="686" t="s">
        <v>787</v>
      </c>
      <c r="B67" s="680">
        <v>17843050</v>
      </c>
      <c r="C67" s="938" t="s">
        <v>786</v>
      </c>
      <c r="D67" s="939"/>
      <c r="E67" s="938" t="s">
        <v>786</v>
      </c>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20343050</v>
      </c>
      <c r="C70" s="946"/>
      <c r="D70" s="947"/>
      <c r="E70" s="946"/>
      <c r="F70" s="947"/>
    </row>
    <row r="71" spans="1:6" ht="24.95" customHeight="1" thickBot="1">
      <c r="A71" s="280" t="s">
        <v>256</v>
      </c>
      <c r="B71" s="281">
        <f>+B70+B61</f>
        <v>24735192</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St. Petersburg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St. Petersburg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6670900</v>
      </c>
    </row>
    <row r="13" spans="1:8" ht="20.100000000000001" customHeight="1">
      <c r="A13" s="478" t="s">
        <v>193</v>
      </c>
      <c r="B13" s="176"/>
      <c r="C13" s="169" t="s">
        <v>125</v>
      </c>
      <c r="D13" s="176"/>
      <c r="E13" s="176"/>
      <c r="F13" s="180" t="s">
        <v>220</v>
      </c>
      <c r="G13" s="1149">
        <f>+'EXHIBIT C'!H11+'EXHIBIT C(2)'!E14</f>
        <v>18691892</v>
      </c>
    </row>
    <row r="14" spans="1:8" ht="20.100000000000001" customHeight="1">
      <c r="A14" s="478" t="s">
        <v>193</v>
      </c>
      <c r="B14" s="176"/>
      <c r="C14" s="176" t="s">
        <v>126</v>
      </c>
      <c r="D14" s="176"/>
      <c r="E14" s="176"/>
      <c r="F14" s="180" t="s">
        <v>221</v>
      </c>
      <c r="G14" s="1150">
        <f>+'EXHIBIT C'!H12+'EXHIBIT C(2)'!E15</f>
        <v>8816896</v>
      </c>
    </row>
    <row r="15" spans="1:8" ht="20.100000000000001" customHeight="1">
      <c r="A15" s="478" t="s">
        <v>193</v>
      </c>
      <c r="B15" s="176"/>
      <c r="C15" s="181" t="s">
        <v>273</v>
      </c>
      <c r="D15" s="176"/>
      <c r="E15" s="176"/>
      <c r="F15" s="180" t="s">
        <v>222</v>
      </c>
      <c r="G15" s="1150">
        <f>+'EXHIBIT C'!H13+'EXHIBIT C(2)'!E16</f>
        <v>386000</v>
      </c>
    </row>
    <row r="16" spans="1:8" ht="20.100000000000001" customHeight="1">
      <c r="A16" s="478" t="s">
        <v>193</v>
      </c>
      <c r="B16" s="176"/>
      <c r="C16" s="181" t="s">
        <v>274</v>
      </c>
      <c r="D16" s="176"/>
      <c r="E16" s="176"/>
      <c r="F16" s="180" t="s">
        <v>223</v>
      </c>
      <c r="G16" s="182">
        <f>+'EXHIBIT C'!H14+'EXHIBIT C(2)'!E17</f>
        <v>1083536</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35649224</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417883</v>
      </c>
    </row>
    <row r="22" spans="1:7" ht="20.100000000000001" customHeight="1">
      <c r="A22" s="478" t="s">
        <v>208</v>
      </c>
      <c r="B22" s="176"/>
      <c r="C22" s="169" t="s">
        <v>125</v>
      </c>
      <c r="D22" s="176"/>
      <c r="E22" s="176"/>
      <c r="F22" s="180" t="s">
        <v>227</v>
      </c>
      <c r="G22" s="1151">
        <f>+'EXHIBIT C'!F20+'EXHIBIT C(2)'!E23</f>
        <v>2418297</v>
      </c>
    </row>
    <row r="23" spans="1:7" ht="20.100000000000001" customHeight="1">
      <c r="A23" s="478" t="s">
        <v>208</v>
      </c>
      <c r="B23" s="176"/>
      <c r="C23" s="176" t="s">
        <v>126</v>
      </c>
      <c r="D23" s="176"/>
      <c r="E23" s="176"/>
      <c r="F23" s="180" t="s">
        <v>228</v>
      </c>
      <c r="G23" s="1152">
        <f>+'EXHIBIT C'!F21+'EXHIBIT C(2)'!E24</f>
        <v>990316</v>
      </c>
    </row>
    <row r="24" spans="1:7" ht="20.100000000000001" customHeight="1">
      <c r="A24" s="478" t="s">
        <v>208</v>
      </c>
      <c r="B24" s="176"/>
      <c r="C24" s="181" t="s">
        <v>273</v>
      </c>
      <c r="D24" s="176"/>
      <c r="E24" s="176"/>
      <c r="F24" s="180" t="s">
        <v>229</v>
      </c>
      <c r="G24" s="1152">
        <f>+'EXHIBIT C'!F22+'EXHIBIT C(2)'!E25</f>
        <v>60000</v>
      </c>
    </row>
    <row r="25" spans="1:7" ht="20.100000000000001" customHeight="1">
      <c r="A25" s="478" t="s">
        <v>208</v>
      </c>
      <c r="B25" s="176"/>
      <c r="C25" s="181" t="s">
        <v>274</v>
      </c>
      <c r="D25" s="176"/>
      <c r="E25" s="176"/>
      <c r="F25" s="180" t="s">
        <v>230</v>
      </c>
      <c r="G25" s="1152">
        <f>+'EXHIBIT C'!F23+'EXHIBIT C(2)'!E26</f>
        <v>277580</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4164076</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39813300</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25000</v>
      </c>
    </row>
    <row r="48" spans="1:7" ht="20.100000000000001" customHeight="1">
      <c r="A48" s="478" t="s">
        <v>286</v>
      </c>
      <c r="B48" s="187"/>
      <c r="C48" s="187"/>
      <c r="D48" s="187"/>
      <c r="E48" s="187"/>
      <c r="F48" s="188" t="s">
        <v>287</v>
      </c>
      <c r="G48" s="1153">
        <f>2586636+250000</f>
        <v>2836636</v>
      </c>
    </row>
    <row r="49" spans="1:7" ht="20.100000000000001" customHeight="1">
      <c r="A49" s="478" t="s">
        <v>288</v>
      </c>
      <c r="C49" s="187"/>
      <c r="D49" s="187"/>
      <c r="E49" s="187"/>
      <c r="F49" s="188" t="s">
        <v>289</v>
      </c>
      <c r="G49" s="1153">
        <v>0</v>
      </c>
    </row>
    <row r="50" spans="1:7" ht="20.100000000000001" customHeight="1">
      <c r="A50" s="478" t="s">
        <v>290</v>
      </c>
      <c r="B50" s="176"/>
      <c r="C50" s="176"/>
      <c r="D50" s="176"/>
      <c r="E50" s="176"/>
      <c r="F50" s="180" t="s">
        <v>291</v>
      </c>
      <c r="G50" s="1153">
        <v>11798</v>
      </c>
    </row>
    <row r="51" spans="1:7" ht="20.100000000000001" customHeight="1">
      <c r="A51" s="478" t="s">
        <v>774</v>
      </c>
      <c r="B51" s="176"/>
      <c r="C51" s="176"/>
      <c r="D51" s="176"/>
      <c r="E51" s="176"/>
      <c r="F51" s="195">
        <v>40280</v>
      </c>
      <c r="G51" s="1153">
        <v>0</v>
      </c>
    </row>
    <row r="52" spans="1:7" ht="20.100000000000001" customHeight="1">
      <c r="A52" s="478" t="s">
        <v>292</v>
      </c>
      <c r="B52" s="176"/>
      <c r="C52" s="176"/>
      <c r="D52" s="176"/>
      <c r="E52" s="176"/>
      <c r="F52" s="180" t="s">
        <v>293</v>
      </c>
      <c r="G52" s="1153">
        <f>1485265+1321617</f>
        <v>2806882</v>
      </c>
    </row>
    <row r="53" spans="1:7" ht="20.100000000000001" customHeight="1">
      <c r="A53" s="478" t="s">
        <v>294</v>
      </c>
      <c r="B53" s="176"/>
      <c r="C53" s="176"/>
      <c r="D53" s="176"/>
      <c r="E53" s="176"/>
      <c r="F53" s="179">
        <v>40450</v>
      </c>
      <c r="G53" s="1153">
        <v>4693440</v>
      </c>
    </row>
    <row r="54" spans="1:7" ht="20.100000000000001" customHeight="1">
      <c r="A54" s="478" t="s">
        <v>295</v>
      </c>
      <c r="B54" s="176"/>
      <c r="C54" s="176"/>
      <c r="D54" s="176"/>
      <c r="E54" s="176"/>
      <c r="F54" s="180" t="s">
        <v>296</v>
      </c>
      <c r="G54" s="1153">
        <f>350000+21000</f>
        <v>371000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96500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2035406</v>
      </c>
    </row>
    <row r="61" spans="1:7" ht="20.100000000000001" customHeight="1">
      <c r="A61" s="478" t="s">
        <v>309</v>
      </c>
      <c r="B61" s="176"/>
      <c r="C61" s="176"/>
      <c r="D61" s="176"/>
      <c r="E61" s="176"/>
      <c r="F61" s="180" t="s">
        <v>310</v>
      </c>
      <c r="G61" s="1153">
        <f>5000+45000+15000</f>
        <v>65000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52754962</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945857</v>
      </c>
    </row>
    <row r="70" spans="1:7" ht="20.100000000000001" customHeight="1">
      <c r="A70" s="478" t="s">
        <v>319</v>
      </c>
      <c r="B70" s="176"/>
      <c r="C70" s="176"/>
      <c r="D70" s="176"/>
      <c r="E70" s="176"/>
      <c r="F70" s="180" t="s">
        <v>320</v>
      </c>
      <c r="G70" s="1153">
        <v>2100000</v>
      </c>
    </row>
    <row r="71" spans="1:7" ht="20.100000000000001" customHeight="1">
      <c r="A71" s="478" t="s">
        <v>321</v>
      </c>
      <c r="B71" s="176"/>
      <c r="C71" s="176"/>
      <c r="D71" s="176"/>
      <c r="E71" s="176"/>
      <c r="F71" s="180" t="s">
        <v>322</v>
      </c>
      <c r="G71" s="1153">
        <v>2000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3047857</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77492481.402347744</v>
      </c>
    </row>
    <row r="78" spans="1:7" ht="20.100000000000001" customHeight="1">
      <c r="A78" s="478" t="s">
        <v>689</v>
      </c>
      <c r="B78" s="176"/>
      <c r="C78" s="176"/>
      <c r="D78" s="176"/>
      <c r="E78" s="176"/>
      <c r="F78" s="179">
        <v>42130</v>
      </c>
      <c r="G78" s="1155">
        <v>2139506</v>
      </c>
    </row>
    <row r="79" spans="1:7" ht="20.100000000000001" customHeight="1">
      <c r="A79" s="480" t="s">
        <v>327</v>
      </c>
      <c r="B79" s="481"/>
      <c r="C79" s="481"/>
      <c r="D79" s="481"/>
      <c r="E79" s="481"/>
      <c r="F79" s="191" t="s">
        <v>328</v>
      </c>
      <c r="G79" s="1153">
        <v>1662776</v>
      </c>
    </row>
    <row r="80" spans="1:7" ht="20.100000000000001" customHeight="1">
      <c r="A80" s="478" t="s">
        <v>329</v>
      </c>
      <c r="B80" s="176"/>
      <c r="C80" s="176"/>
      <c r="D80" s="176"/>
      <c r="E80" s="176"/>
      <c r="F80" s="180" t="s">
        <v>330</v>
      </c>
      <c r="G80" s="1155">
        <v>0</v>
      </c>
    </row>
    <row r="81" spans="1:10" ht="20.100000000000001" customHeight="1">
      <c r="A81" s="478" t="s">
        <v>707</v>
      </c>
      <c r="B81" s="176"/>
      <c r="C81" s="176"/>
      <c r="D81" s="176"/>
      <c r="E81" s="176"/>
      <c r="F81" s="180" t="s">
        <v>331</v>
      </c>
      <c r="G81" s="1155">
        <v>700000</v>
      </c>
    </row>
    <row r="82" spans="1:10" ht="20.100000000000001" customHeight="1">
      <c r="A82" s="478" t="s">
        <v>332</v>
      </c>
      <c r="B82" s="176"/>
      <c r="C82" s="176"/>
      <c r="D82" s="176"/>
      <c r="E82" s="176"/>
      <c r="F82" s="180" t="s">
        <v>333</v>
      </c>
      <c r="G82" s="1154">
        <f>'CHECK SHEET'!D86</f>
        <v>15840843.597652253</v>
      </c>
    </row>
    <row r="83" spans="1:10" ht="20.100000000000001" customHeight="1">
      <c r="A83" s="482" t="s">
        <v>334</v>
      </c>
      <c r="B83" s="483"/>
      <c r="C83" s="483"/>
      <c r="D83" s="483"/>
      <c r="E83" s="483"/>
      <c r="F83" s="190" t="s">
        <v>335</v>
      </c>
      <c r="G83" s="1155">
        <v>-2139506</v>
      </c>
    </row>
    <row r="84" spans="1:10" ht="20.100000000000001" customHeight="1">
      <c r="A84" s="478" t="s">
        <v>336</v>
      </c>
      <c r="B84" s="176"/>
      <c r="C84" s="176"/>
      <c r="D84" s="176"/>
      <c r="E84" s="176"/>
      <c r="F84" s="180" t="s">
        <v>337</v>
      </c>
      <c r="G84" s="1155">
        <v>50000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95746101</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70000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350000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420000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1350250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1350250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8000</v>
      </c>
    </row>
    <row r="112" spans="1:7" ht="20.100000000000001" customHeight="1">
      <c r="A112" s="478" t="s">
        <v>361</v>
      </c>
      <c r="B112" s="176"/>
      <c r="C112" s="176"/>
      <c r="D112" s="176"/>
      <c r="E112" s="176"/>
      <c r="F112" s="180" t="s">
        <v>362</v>
      </c>
      <c r="G112" s="432">
        <f>1708856+25000+775000</f>
        <v>2508856</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2516856</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3293869</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2000</v>
      </c>
    </row>
    <row r="127" spans="1:7" ht="20.100000000000001" customHeight="1">
      <c r="A127" s="478" t="s">
        <v>378</v>
      </c>
      <c r="B127" s="176"/>
      <c r="C127" s="176"/>
      <c r="D127" s="176"/>
      <c r="E127" s="176"/>
      <c r="F127" s="180" t="s">
        <v>379</v>
      </c>
      <c r="G127" s="432">
        <f>25000+1000</f>
        <v>26000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3321869</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7">
        <v>49200</v>
      </c>
      <c r="G134" s="432">
        <f>17843050+2500000</f>
        <v>20343050</v>
      </c>
    </row>
    <row r="135" spans="1:7" ht="20.100000000000001" customHeight="1">
      <c r="A135" s="478" t="s">
        <v>384</v>
      </c>
      <c r="B135" s="176"/>
      <c r="C135" s="176"/>
      <c r="D135" s="176"/>
      <c r="E135" s="176"/>
      <c r="F135" s="1015" t="s">
        <v>385</v>
      </c>
      <c r="G135" s="432">
        <v>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20343050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179500945</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4331243.26</v>
      </c>
    </row>
    <row r="148" spans="1:7" ht="20.100000000000001" customHeight="1">
      <c r="A148" s="478" t="s">
        <v>396</v>
      </c>
      <c r="F148" s="180" t="s">
        <v>397</v>
      </c>
      <c r="G148" s="434">
        <v>6050796.4000000004</v>
      </c>
    </row>
    <row r="149" spans="1:7" ht="20.100000000000001" customHeight="1">
      <c r="A149" s="478" t="s">
        <v>398</v>
      </c>
      <c r="F149" s="180" t="s">
        <v>399</v>
      </c>
      <c r="G149" s="434">
        <v>2003463.07</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23180805.620000001</v>
      </c>
    </row>
    <row r="153" spans="1:7" ht="20.100000000000001" customHeight="1">
      <c r="A153" s="478" t="s">
        <v>406</v>
      </c>
      <c r="B153" s="176"/>
      <c r="C153" s="176"/>
      <c r="D153" s="176"/>
      <c r="E153" s="176"/>
      <c r="F153" s="180" t="s">
        <v>407</v>
      </c>
      <c r="G153" s="434">
        <v>3643336</v>
      </c>
    </row>
    <row r="154" spans="1:7" ht="20.100000000000001" customHeight="1">
      <c r="A154" s="478" t="s">
        <v>408</v>
      </c>
      <c r="B154" s="176"/>
      <c r="C154" s="176"/>
      <c r="D154" s="176"/>
      <c r="E154" s="176"/>
      <c r="F154" s="180" t="s">
        <v>409</v>
      </c>
      <c r="G154" s="434">
        <v>20367</v>
      </c>
    </row>
    <row r="155" spans="1:7" ht="20.100000000000001" customHeight="1">
      <c r="A155" s="478" t="s">
        <v>410</v>
      </c>
      <c r="B155" s="176"/>
      <c r="C155" s="176"/>
      <c r="D155" s="176"/>
      <c r="E155" s="176"/>
      <c r="F155" s="180" t="s">
        <v>411</v>
      </c>
      <c r="G155" s="434">
        <v>1675473.47</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21652550.039999999</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0</v>
      </c>
    </row>
    <row r="167" spans="1:7" ht="20.100000000000001" customHeight="1">
      <c r="A167" s="478" t="s">
        <v>433</v>
      </c>
      <c r="B167" s="176"/>
      <c r="C167" s="176"/>
      <c r="D167" s="176"/>
      <c r="E167" s="176"/>
      <c r="F167" s="180" t="s">
        <v>434</v>
      </c>
      <c r="G167" s="434">
        <v>19742913.460000001</v>
      </c>
    </row>
    <row r="168" spans="1:7" ht="20.100000000000001" customHeight="1">
      <c r="A168" s="478" t="s">
        <v>435</v>
      </c>
      <c r="B168" s="176"/>
      <c r="C168" s="176"/>
      <c r="D168" s="176"/>
      <c r="E168" s="176"/>
      <c r="F168" s="180" t="s">
        <v>436</v>
      </c>
      <c r="G168" s="434">
        <v>443154.96</v>
      </c>
    </row>
    <row r="169" spans="1:7" ht="20.100000000000001" customHeight="1">
      <c r="A169" s="478" t="s">
        <v>437</v>
      </c>
      <c r="B169" s="176"/>
      <c r="C169" s="176"/>
      <c r="D169" s="176"/>
      <c r="E169" s="176"/>
      <c r="F169" s="180" t="s">
        <v>438</v>
      </c>
      <c r="G169" s="434">
        <v>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7775565.8099999996</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16412</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11675</v>
      </c>
    </row>
    <row r="177" spans="1:7" ht="20.100000000000001" customHeight="1">
      <c r="A177" s="486" t="s">
        <v>450</v>
      </c>
      <c r="F177" s="195" t="s">
        <v>451</v>
      </c>
      <c r="G177" s="434">
        <v>462376.39</v>
      </c>
    </row>
    <row r="178" spans="1:7" ht="20.100000000000001" customHeight="1">
      <c r="A178" s="478" t="s">
        <v>452</v>
      </c>
      <c r="B178" s="176"/>
      <c r="C178" s="176"/>
      <c r="D178" s="176"/>
      <c r="E178" s="176"/>
      <c r="F178" s="180" t="s">
        <v>453</v>
      </c>
      <c r="G178" s="434">
        <v>1088651.6200000001</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493851</v>
      </c>
    </row>
    <row r="183" spans="1:7" ht="20.100000000000001" customHeight="1">
      <c r="A183" s="478" t="s">
        <v>462</v>
      </c>
      <c r="B183" s="176"/>
      <c r="C183" s="176"/>
      <c r="D183" s="176"/>
      <c r="E183" s="176"/>
      <c r="F183" s="180" t="s">
        <v>463</v>
      </c>
      <c r="G183" s="434">
        <v>31000</v>
      </c>
    </row>
    <row r="184" spans="1:7" ht="20.100000000000001" customHeight="1">
      <c r="A184" s="478" t="s">
        <v>464</v>
      </c>
      <c r="B184" s="176"/>
      <c r="C184" s="176"/>
      <c r="D184" s="176"/>
      <c r="E184" s="176"/>
      <c r="F184" s="180" t="s">
        <v>465</v>
      </c>
      <c r="G184" s="434">
        <v>5093068.5999999996</v>
      </c>
    </row>
    <row r="185" spans="1:7" ht="20.100000000000001" customHeight="1">
      <c r="A185" s="478" t="s">
        <v>466</v>
      </c>
      <c r="B185" s="176"/>
      <c r="C185" s="176"/>
      <c r="D185" s="176"/>
      <c r="E185" s="176"/>
      <c r="F185" s="180" t="s">
        <v>467</v>
      </c>
      <c r="G185" s="434">
        <v>10866757.539999999</v>
      </c>
    </row>
    <row r="186" spans="1:7" ht="20.100000000000001" customHeight="1">
      <c r="A186" s="478" t="s">
        <v>468</v>
      </c>
      <c r="B186" s="176"/>
      <c r="C186" s="176"/>
      <c r="D186" s="176"/>
      <c r="E186" s="176"/>
      <c r="F186" s="180" t="s">
        <v>469</v>
      </c>
      <c r="G186" s="434">
        <v>871000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18906208.760000002</v>
      </c>
    </row>
    <row r="191" spans="1:7" ht="20.100000000000001" customHeight="1">
      <c r="A191" s="478" t="s">
        <v>477</v>
      </c>
      <c r="B191" s="176"/>
      <c r="C191" s="176"/>
      <c r="D191" s="176"/>
      <c r="E191" s="176"/>
      <c r="F191" s="180" t="s">
        <v>478</v>
      </c>
      <c r="G191" s="434">
        <v>208194</v>
      </c>
    </row>
    <row r="192" spans="1:7" ht="20.100000000000001" customHeight="1">
      <c r="A192" s="478" t="s">
        <v>479</v>
      </c>
      <c r="B192" s="176"/>
      <c r="C192" s="176"/>
      <c r="D192" s="176"/>
      <c r="E192" s="176"/>
      <c r="F192" s="180" t="s">
        <v>480</v>
      </c>
      <c r="G192" s="434">
        <v>1160159</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129729022.99999999</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1005179</v>
      </c>
    </row>
    <row r="199" spans="1:7" ht="20.100000000000001" customHeight="1">
      <c r="A199" s="478" t="s">
        <v>485</v>
      </c>
      <c r="B199" s="176"/>
      <c r="C199" s="176"/>
      <c r="D199" s="176"/>
      <c r="E199" s="176"/>
      <c r="F199" s="180" t="s">
        <v>486</v>
      </c>
      <c r="G199" s="434">
        <v>172598</v>
      </c>
    </row>
    <row r="200" spans="1:7" ht="20.100000000000001" customHeight="1">
      <c r="A200" s="478" t="s">
        <v>487</v>
      </c>
      <c r="B200" s="176"/>
      <c r="C200" s="176"/>
      <c r="D200" s="176"/>
      <c r="E200" s="176"/>
      <c r="F200" s="180" t="s">
        <v>488</v>
      </c>
      <c r="G200" s="434">
        <v>850407.6</v>
      </c>
    </row>
    <row r="201" spans="1:7" ht="20.100000000000001" customHeight="1">
      <c r="A201" s="478" t="s">
        <v>489</v>
      </c>
      <c r="B201" s="176"/>
      <c r="C201" s="176"/>
      <c r="D201" s="176"/>
      <c r="E201" s="176"/>
      <c r="F201" s="180" t="s">
        <v>490</v>
      </c>
      <c r="G201" s="434">
        <v>312549.8</v>
      </c>
    </row>
    <row r="202" spans="1:7" ht="20.100000000000001" customHeight="1">
      <c r="A202" s="478" t="s">
        <v>491</v>
      </c>
      <c r="B202" s="176"/>
      <c r="C202" s="176"/>
      <c r="D202" s="176"/>
      <c r="E202" s="176"/>
      <c r="F202" s="180" t="s">
        <v>492</v>
      </c>
      <c r="G202" s="434">
        <v>1553406</v>
      </c>
    </row>
    <row r="203" spans="1:7" ht="20.100000000000001" customHeight="1">
      <c r="A203" s="478" t="s">
        <v>493</v>
      </c>
      <c r="B203" s="176"/>
      <c r="C203" s="176"/>
      <c r="D203" s="176"/>
      <c r="E203" s="176"/>
      <c r="F203" s="180" t="s">
        <v>494</v>
      </c>
      <c r="G203" s="434">
        <v>347795.5</v>
      </c>
    </row>
    <row r="204" spans="1:7" ht="20.100000000000001" customHeight="1">
      <c r="A204" s="478" t="s">
        <v>683</v>
      </c>
      <c r="B204" s="176"/>
      <c r="C204" s="176"/>
      <c r="D204" s="176"/>
      <c r="E204" s="176"/>
      <c r="F204" s="972">
        <v>63100</v>
      </c>
      <c r="G204" s="434">
        <v>81112</v>
      </c>
    </row>
    <row r="205" spans="1:7" ht="20.100000000000001" customHeight="1">
      <c r="A205" s="478" t="s">
        <v>495</v>
      </c>
      <c r="B205" s="176"/>
      <c r="C205" s="176"/>
      <c r="D205" s="176"/>
      <c r="E205" s="176"/>
      <c r="F205" s="180" t="s">
        <v>496</v>
      </c>
      <c r="G205" s="434">
        <v>3668830</v>
      </c>
    </row>
    <row r="206" spans="1:7" ht="20.100000000000001" customHeight="1">
      <c r="A206" s="478" t="s">
        <v>497</v>
      </c>
      <c r="B206" s="176"/>
      <c r="C206" s="176"/>
      <c r="D206" s="176"/>
      <c r="E206" s="176"/>
      <c r="F206" s="180" t="s">
        <v>498</v>
      </c>
      <c r="G206" s="434">
        <f>6969455+150+250+28146</f>
        <v>6998001</v>
      </c>
    </row>
    <row r="207" spans="1:7" ht="20.100000000000001" customHeight="1">
      <c r="A207" s="478" t="s">
        <v>499</v>
      </c>
      <c r="B207" s="176"/>
      <c r="C207" s="176"/>
      <c r="D207" s="176"/>
      <c r="E207" s="176"/>
      <c r="F207" s="180" t="s">
        <v>500</v>
      </c>
      <c r="G207" s="434">
        <f>3575111.07+104173.3</f>
        <v>3679284.3699999996</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4493927.0999999996</v>
      </c>
    </row>
    <row r="211" spans="1:9" ht="20.100000000000001" customHeight="1">
      <c r="A211" s="478" t="s">
        <v>506</v>
      </c>
      <c r="B211" s="176"/>
      <c r="C211" s="176"/>
      <c r="D211" s="176"/>
      <c r="E211" s="176"/>
      <c r="F211" s="180" t="s">
        <v>507</v>
      </c>
      <c r="G211" s="434">
        <v>1738073.31</v>
      </c>
    </row>
    <row r="212" spans="1:9" ht="20.100000000000001" customHeight="1">
      <c r="A212" s="478" t="s">
        <v>508</v>
      </c>
      <c r="F212" s="195" t="s">
        <v>509</v>
      </c>
      <c r="G212" s="434">
        <v>7128886.3300000001</v>
      </c>
    </row>
    <row r="213" spans="1:9" ht="20.100000000000001" customHeight="1">
      <c r="A213" s="478" t="s">
        <v>510</v>
      </c>
      <c r="B213" s="176"/>
      <c r="C213" s="176"/>
      <c r="D213" s="176"/>
      <c r="E213" s="176"/>
      <c r="F213" s="180" t="s">
        <v>511</v>
      </c>
      <c r="G213" s="434">
        <v>674445</v>
      </c>
    </row>
    <row r="214" spans="1:9" ht="20.100000000000001" customHeight="1">
      <c r="A214" s="478" t="s">
        <v>512</v>
      </c>
      <c r="B214" s="176"/>
      <c r="C214" s="176"/>
      <c r="D214" s="176"/>
      <c r="E214" s="176"/>
      <c r="F214" s="180" t="s">
        <v>513</v>
      </c>
      <c r="G214" s="434">
        <f>1275171.99+17950</f>
        <v>1293121.99</v>
      </c>
    </row>
    <row r="215" spans="1:9" ht="20.100000000000001" customHeight="1">
      <c r="A215" s="478" t="s">
        <v>514</v>
      </c>
      <c r="B215" s="176"/>
      <c r="C215" s="176"/>
      <c r="D215" s="176"/>
      <c r="E215" s="176"/>
      <c r="F215" s="180" t="s">
        <v>515</v>
      </c>
      <c r="G215" s="434">
        <v>411835</v>
      </c>
    </row>
    <row r="216" spans="1:9" ht="20.100000000000001" customHeight="1">
      <c r="A216" s="478" t="s">
        <v>516</v>
      </c>
      <c r="B216" s="176"/>
      <c r="C216" s="176"/>
      <c r="D216" s="176"/>
      <c r="E216" s="176"/>
      <c r="F216" s="193" t="s">
        <v>517</v>
      </c>
      <c r="G216" s="434">
        <v>6000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2344329</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694000</v>
      </c>
    </row>
    <row r="223" spans="1:9" ht="20.100000000000001" customHeight="1">
      <c r="A223" s="489" t="s">
        <v>693</v>
      </c>
      <c r="B223" s="202"/>
      <c r="C223" s="202"/>
      <c r="D223" s="203"/>
      <c r="E223" s="202"/>
      <c r="F223" s="1058">
        <v>69200</v>
      </c>
      <c r="G223" s="434">
        <v>3698142</v>
      </c>
    </row>
    <row r="224" spans="1:9" ht="20.100000000000001" customHeight="1">
      <c r="A224" s="478" t="s">
        <v>528</v>
      </c>
      <c r="B224" s="176"/>
      <c r="C224" s="176"/>
      <c r="D224" s="176"/>
      <c r="E224" s="176"/>
      <c r="F224" s="180" t="s">
        <v>529</v>
      </c>
      <c r="G224" s="434">
        <v>886523</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6274704</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48313150</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1458772</v>
      </c>
    </row>
    <row r="233" spans="1:7" ht="20.100000000000001" customHeight="1">
      <c r="A233" s="478" t="s">
        <v>537</v>
      </c>
      <c r="B233" s="176"/>
      <c r="C233" s="176"/>
      <c r="D233" s="176"/>
      <c r="E233" s="176"/>
      <c r="F233" s="180" t="s">
        <v>538</v>
      </c>
      <c r="G233" s="434">
        <v>0</v>
      </c>
    </row>
    <row r="234" spans="1:7" ht="20.100000000000001" customHeight="1">
      <c r="A234" s="478" t="s">
        <v>539</v>
      </c>
      <c r="B234" s="176"/>
      <c r="C234" s="176"/>
      <c r="D234" s="176"/>
      <c r="E234" s="176"/>
      <c r="F234" s="180" t="s">
        <v>540</v>
      </c>
      <c r="G234" s="434">
        <v>0</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1458772</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179500945</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1910320</v>
      </c>
    </row>
    <row r="256" spans="1:7" ht="20.100000000000001" customHeight="1">
      <c r="A256" s="478" t="s">
        <v>560</v>
      </c>
      <c r="B256" s="176"/>
      <c r="C256" s="176"/>
      <c r="D256" s="176"/>
      <c r="E256" s="176"/>
      <c r="F256" s="189">
        <v>30500</v>
      </c>
      <c r="G256" s="434">
        <v>257180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v>60400000</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62567500</v>
      </c>
    </row>
    <row r="263" spans="1:12" ht="20.100000000000001" customHeight="1">
      <c r="A263" s="479"/>
      <c r="B263" s="176"/>
      <c r="C263" s="176"/>
      <c r="D263" s="176"/>
      <c r="E263" s="176"/>
      <c r="F263" s="189"/>
      <c r="G263" s="205"/>
    </row>
    <row r="264" spans="1:12" ht="20.100000000000001" customHeight="1" thickBot="1">
      <c r="A264" s="490" t="s">
        <v>762</v>
      </c>
      <c r="F264" s="195">
        <v>30800</v>
      </c>
      <c r="G264" s="1156">
        <v>-119271000</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-56703500</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schemas.microsoft.com/office/2006/metadata/properties"/>
    <ds:schemaRef ds:uri="http://www.w3.org/XML/1998/namespace"/>
    <ds:schemaRef ds:uri="http://purl.org/dc/dcmitype/"/>
    <ds:schemaRef ds:uri="http://purl.org/dc/elements/1.1/"/>
    <ds:schemaRef ds:uri="ee822479-6e51-4d14-b6b0-2c589e913e66"/>
    <ds:schemaRef ds:uri="http://schemas.openxmlformats.org/package/2006/metadata/core-properties"/>
    <ds:schemaRef ds:uri="http://schemas.microsoft.com/office/2006/documentManagement/types"/>
    <ds:schemaRef ds:uri="http://purl.org/dc/terms/"/>
    <ds:schemaRef ds:uri="http://schemas.microsoft.com/office/infopath/2007/PartnerControls"/>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2025-08-06T15:42:30Z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V_QUERY_LIST_4F35BF76-6C0D-4D9B-82B2-816C12CF3733">
    <vt:lpwstr>empty_477D106A-C0D6-4607-AEBD-E2C9D60EA279</vt:lpwstr>
  </property>
  <property fmtid="{D5CDD505-2E9C-101B-9397-08002B2CF9AE}" pid="7" name="SV_HIDDEN_GRID_QUERY_LIST_4F35BF76-6C0D-4D9B-82B2-816C12CF3733">
    <vt:lpwstr>empty_477D106A-C0D6-4607-AEBD-E2C9D60EA279</vt:lpwstr>
  </property>
</Properties>
</file>