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7C3BBF9E-5E62-4CA4-A1DD-430B6E3D2B13}" xr6:coauthVersionLast="47" xr6:coauthVersionMax="47" xr10:uidLastSave="{00000000-0000-0000-0000-000000000000}"/>
  <workbookProtection workbookAlgorithmName="SHA-512" workbookHashValue="cwye+sSRPXpituTFFLv+eVi2HqfWNFwMnBvheEehDdrdOZyopase0bsFazw8V61QqHMqpK2YfSv1NsNAJoZGZw==" workbookSaltValue="1SHdXbLMHqUDNhCIdg5Kmw=="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0" i="7" l="1"/>
  <c r="B28" i="23" l="1"/>
  <c r="E30" i="12"/>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H11" i="6"/>
  <c r="G13" i="7" s="1"/>
  <c r="F14" i="6"/>
  <c r="F15" i="6"/>
  <c r="E49" i="3" s="1"/>
  <c r="F10" i="6"/>
  <c r="E44" i="3" s="1"/>
  <c r="E47" i="3"/>
  <c r="C93" i="3" l="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F48" i="3" l="1"/>
  <c r="G48" i="3" s="1"/>
  <c r="G36" i="7"/>
  <c r="H37" i="6"/>
  <c r="H45" i="6" s="1"/>
  <c r="G38" i="7"/>
  <c r="G43" i="7" s="1"/>
  <c r="H17" i="6"/>
  <c r="H28"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126" i="3"/>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<sst xmlns="http://schemas.openxmlformats.org/spreadsheetml/2006/main" count="1303" uniqueCount="789">
  <si>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</si>
  <si>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</si>
  <si>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</si>
  <si>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</si>
  <si>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</si>
  <si>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</si>
  <si>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</si>
  <si>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</si>
  <si>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</si>
  <si>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</si>
  <si>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</si>
  <si>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</si>
  <si>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</si>
  <si>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</si>
  <si>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</si>
  <si>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</si>
  <si>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</si>
  <si>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</si>
  <si>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</si>
  <si>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</si>
  <si>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</si>
  <si>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</si>
  <si>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</si>
  <si>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</si>
  <si>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</si>
  <si>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</si>
  <si>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</si>
  <si>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</si>
  <si>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</si>
  <si>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</si>
  <si>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</si>
  <si>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</si>
  <si>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</si>
  <si>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</si>
  <si>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</si>
  <si>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</si>
  <si>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</si>
  <si>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</si>
  <si>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</si>
  <si>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</si>
  <si>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</si>
  <si>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</si>
  <si>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</si>
  <si>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</si>
  <si>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</si>
  <si>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</si>
  <si>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</si>
  <si>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</si>
  <si>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</si>
  <si>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</si>
  <si>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</si>
  <si>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</si>
  <si>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</si>
  <si>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</si>
  <si>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</si>
  <si>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</si>
  <si>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</si>
  <si>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</si>
  <si>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</si>
  <si>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</si>
  <si>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</si>
  <si>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</si>
  <si>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</si>
  <si>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</si>
  <si>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</si>
  <si>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</si>
  <si>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</si>
  <si>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</si>
  <si>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</si>
  <si>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</si>
  <si>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</si>
  <si>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</si>
  <si>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</si>
  <si>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</si>
  <si>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</si>
  <si>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</si>
  <si>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</si>
  <si>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</si>
  <si>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</si>
  <si>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</si>
  <si>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</si>
  <si>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</si>
  <si>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</si>
  <si>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</si>
  <si>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</si>
  <si>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</si>
  <si>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</si>
  <si>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</si>
  <si>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</si>
  <si>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</si>
  <si>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</si>
  <si>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</si>
  <si>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</si>
  <si>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</si>
  <si>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</si>
  <si>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</si>
  <si>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</si>
  <si>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</si>
  <si>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</si>
  <si>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</si>
  <si>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</si>
  <si>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</si>
  <si>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</si>
  <si>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</si>
  <si>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</si>
  <si>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</si>
  <si>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</si>
  <si>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</si>
  <si>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</si>
  <si>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</si>
  <si>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</si>
  <si>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</si>
  <si>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</si>
  <si>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</si>
  <si>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</si>
  <si>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</si>
  <si>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</si>
  <si>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</si>
  <si>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</si>
  <si>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</si>
  <si>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</si>
  <si>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</si>
  <si>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</si>
  <si>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</si>
  <si>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</si>
  <si>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</si>
  <si>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</si>
  <si>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</si>
  <si>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</si>
  <si>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</si>
  <si>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</si>
  <si>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</si>
  <si>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</si>
  <si>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</si>
  <si>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</si>
  <si>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</si>
  <si>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</si>
  <si>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</si>
  <si>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</si>
  <si>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</si>
  <si>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</si>
  <si>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</si>
  <si>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</si>
  <si>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</si>
  <si>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</si>
  <si>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</si>
  <si>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</si>
  <si>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</si>
  <si>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</si>
  <si>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</si>
  <si>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</si>
  <si>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</si>
  <si>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</si>
  <si>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</si>
  <si>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</si>
  <si>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</si>
  <si>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</si>
  <si>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</si>
  <si>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</si>
  <si>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</si>
  <si>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</si>
  <si>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</si>
  <si>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</si>
  <si>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</si>
  <si>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</si>
  <si>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</si>
  <si>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</si>
  <si>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</si>
  <si>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</si>
  <si>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</si>
  <si>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</si>
  <si>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</si>
  <si>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</si>
  <si>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</si>
  <si>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</si>
  <si>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</si>
  <si>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</si>
  <si>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</si>
  <si>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</si>
  <si>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</si>
  <si>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</si>
  <si>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</si>
  <si>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</si>
  <si>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</si>
  <si>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</si>
  <si>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</si>
  <si>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</si>
  <si>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</si>
  <si>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</si>
  <si>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</si>
  <si>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</si>
  <si>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</si>
  <si>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</si>
  <si>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</si>
  <si>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</si>
  <si>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</si>
  <si>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</si>
  <si>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</si>
  <si>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</si>
  <si>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</si>
  <si>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</si>
  <si>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</si>
  <si>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</si>
  <si>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</si>
  <si>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</si>
  <si>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</si>
  <si>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</si>
  <si>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</si>
  <si>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</si>
  <si>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</si>
  <si>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</si>
  <si>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</si>
  <si>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</si>
  <si>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</si>
  <si>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</si>
  <si>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</si>
  <si>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</si>
  <si>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</si>
  <si>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</si>
  <si>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</si>
  <si>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</si>
  <si>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</si>
  <si>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</si>
  <si>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</si>
  <si>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</si>
  <si>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</si>
  <si>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</si>
  <si>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</si>
  <si>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</si>
  <si>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</si>
  <si>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</si>
  <si>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</si>
  <si>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</si>
  <si>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</si>
  <si>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</si>
  <si>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</si>
  <si>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</si>
  <si>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</si>
  <si>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</si>
  <si>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</si>
  <si>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</si>
  <si>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</si>
  <si>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</si>
  <si>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</si>
  <si>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</si>
  <si>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</si>
  <si>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</si>
  <si>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</si>
  <si>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</si>
  <si>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</si>
  <si>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</si>
  <si>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</si>
  <si>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</si>
  <si>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</si>
  <si>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</si>
  <si>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</si>
  <si>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</si>
  <si>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</si>
  <si>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</si>
  <si>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</si>
  <si>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</si>
  <si>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</si>
  <si>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</si>
  <si>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</si>
  <si>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</si>
  <si>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</si>
  <si>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</si>
  <si>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</si>
  <si>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</si>
  <si>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</si>
  <si>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</si>
  <si>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</si>
  <si>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</si>
  <si>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</si>
  <si>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</si>
  <si>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</si>
  <si>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</si>
  <si>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</si>
  <si>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</si>
  <si>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</si>
  <si>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</si>
  <si>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</si>
  <si>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</si>
  <si>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</si>
  <si>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</si>
  <si>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</si>
  <si>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</si>
  <si>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</si>
  <si>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</si>
  <si>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</si>
  <si>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</si>
  <si>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</si>
  <si>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</si>
  <si>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</si>
  <si>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</si>
  <si>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</si>
  <si>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</si>
  <si>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</si>
  <si>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</si>
  <si>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</si>
  <si>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</si>
  <si>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</si>
  <si>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</si>
  <si>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</si>
  <si>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</si>
  <si>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</si>
  <si>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</si>
  <si>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</si>
  <si>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</si>
  <si>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</si>
  <si>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</si>
  <si>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</si>
  <si>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</si>
  <si>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</si>
  <si>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</si>
  <si>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</si>
  <si>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</si>
  <si>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</si>
  <si>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</si>
  <si>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</si>
  <si>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</si>
  <si>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</si>
  <si>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</si>
  <si>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</si>
  <si>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</si>
  <si>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</si>
  <si>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</si>
  <si>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</si>
  <si>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</si>
  <si>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</si>
  <si>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</si>
  <si>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</si>
  <si>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</si>
  <si>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</si>
  <si>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</si>
  <si>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</si>
  <si>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</si>
  <si>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</si>
  <si>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</si>
  <si>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</si>
  <si>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</si>
  <si>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</si>
  <si>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</si>
  <si>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</si>
  <si>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</si>
  <si>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</si>
  <si>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</si>
  <si>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</si>
  <si>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</si>
  <si>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</si>
  <si>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</si>
  <si>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</si>
  <si>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</si>
  <si>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</si>
  <si>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</si>
  <si>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</si>
  <si>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</si>
  <si>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</si>
  <si>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</si>
  <si>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</si>
  <si>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</si>
  <si>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</si>
  <si>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</si>
  <si>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</si>
  <si>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</si>
  <si>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</si>
  <si>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</si>
  <si>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</si>
  <si>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</si>
  <si>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</si>
  <si>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</si>
  <si>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</si>
  <si>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</si>
  <si>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</si>
  <si>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</si>
  <si>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</si>
  <si>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</si>
  <si>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</si>
  <si>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</si>
  <si>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</si>
  <si>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</si>
  <si>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</si>
  <si>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</si>
  <si>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</si>
  <si>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</si>
  <si>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</si>
  <si>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</si>
  <si>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</si>
  <si>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</si>
  <si>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</si>
  <si>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</si>
  <si>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</si>
  <si>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</si>
  <si>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</si>
  <si>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</si>
  <si>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</si>
  <si>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</si>
  <si>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</si>
  <si>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</si>
  <si>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</si>
  <si>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</si>
  <si>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</si>
  <si>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</si>
  <si>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</si>
  <si>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</si>
  <si>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</si>
  <si>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</si>
  <si>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</si>
  <si>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</si>
  <si>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</si>
  <si>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</si>
  <si>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</si>
  <si>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</si>
  <si>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</si>
  <si>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</si>
  <si>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</si>
  <si>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</si>
  <si>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</si>
  <si>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</si>
  <si>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</si>
  <si>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</si>
  <si>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</si>
  <si>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</si>
  <si>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</si>
  <si>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</si>
  <si>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</si>
  <si>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</si>
  <si>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</si>
  <si>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</si>
  <si>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</si>
  <si>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</si>
  <si>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</si>
  <si>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</si>
  <si>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</si>
  <si>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</si>
  <si>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</si>
  <si>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</si>
  <si>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</si>
  <si>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</si>
  <si>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</si>
  <si>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</si>
  <si>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</si>
  <si>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</si>
  <si>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</si>
  <si>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</si>
  <si>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</si>
  <si>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</si>
  <si>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</si>
  <si>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</si>
  <si>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</si>
  <si>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</si>
  <si>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</si>
  <si>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</si>
  <si>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</si>
  <si>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</si>
  <si>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</si>
  <si>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</si>
  <si>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</si>
  <si>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</si>
  <si>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</si>
  <si>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</si>
  <si>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</si>
  <si>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</si>
  <si>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</si>
  <si>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</si>
  <si>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</si>
  <si>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</si>
  <si>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</si>
  <si>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</si>
  <si>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</si>
  <si>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</si>
  <si>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</si>
  <si>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</si>
  <si>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</si>
  <si>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</si>
  <si>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</si>
  <si>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</si>
  <si>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</si>
  <si>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</si>
  <si>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</si>
  <si>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</si>
  <si>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</si>
  <si>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</si>
  <si>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</si>
  <si>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</si>
  <si>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</si>
  <si>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</si>
  <si>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</si>
  <si>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</si>
  <si>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</si>
  <si>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</si>
  <si>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</si>
  <si>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</si>
  <si>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</si>
  <si>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</si>
  <si>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</si>
  <si>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</si>
  <si>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</si>
  <si>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</si>
  <si>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</si>
  <si>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</si>
  <si>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</si>
  <si>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</si>
  <si>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</si>
  <si>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</si>
  <si>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</si>
  <si>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</si>
  <si>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</si>
  <si>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</si>
  <si>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</si>
  <si>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</si>
  <si>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</si>
  <si>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</si>
  <si>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</si>
  <si>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</si>
  <si>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</si>
  <si>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</si>
  <si>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</si>
  <si>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</si>
  <si>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</si>
  <si>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</si>
  <si>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</si>
  <si>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</si>
  <si>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</si>
  <si>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</si>
  <si>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</si>
  <si>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</si>
  <si>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</si>
  <si>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</si>
  <si>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</si>
  <si>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</si>
  <si>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</si>
  <si>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</si>
  <si>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</si>
  <si>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</si>
  <si>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</si>
  <si>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</si>
  <si>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</si>
  <si>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</si>
  <si>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</si>
  <si>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</si>
  <si>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</si>
  <si>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</si>
  <si>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</si>
  <si>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</si>
  <si>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</si>
  <si>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</si>
  <si>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</si>
  <si>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</si>
  <si>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</si>
  <si>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</si>
  <si>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</si>
  <si>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</si>
  <si>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</si>
  <si>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</si>
  <si>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</si>
  <si>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</si>
  <si>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</si>
  <si>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</si>
  <si>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</si>
  <si>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</si>
  <si>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</si>
  <si>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</si>
  <si>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</si>
  <si>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</si>
  <si>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</si>
  <si>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</si>
  <si>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</si>
  <si>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</si>
  <si>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</si>
  <si>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</si>
  <si>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</si>
  <si>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</si>
  <si>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</si>
  <si>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</si>
  <si>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</si>
  <si>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</si>
  <si>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</si>
  <si>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</si>
  <si>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</si>
  <si>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</si>
  <si>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</si>
  <si>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</si>
  <si>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</si>
  <si>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</si>
  <si>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</si>
  <si>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</si>
  <si>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</si>
  <si>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</si>
  <si>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</si>
  <si>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</si>
  <si>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</si>
  <si>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</si>
  <si>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</si>
  <si>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</si>
  <si>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</si>
  <si>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</si>
  <si>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</si>
  <si>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</si>
  <si>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</si>
  <si>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</si>
  <si>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</si>
  <si>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</si>
  <si>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</si>
  <si>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</si>
  <si>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</si>
  <si>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</si>
  <si>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</si>
  <si>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</si>
  <si>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</si>
  <si>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</si>
  <si>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</si>
  <si>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</si>
  <si>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</si>
  <si>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</si>
  <si>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</si>
  <si>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</si>
  <si>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</si>
  <si>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</si>
  <si>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</si>
  <si>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</si>
  <si>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</si>
  <si>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</si>
  <si>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</si>
  <si>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</si>
  <si>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</si>
  <si>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</si>
  <si>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</si>
  <si>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</si>
  <si>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</si>
  <si>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</si>
  <si>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</si>
  <si>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</si>
  <si>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</si>
  <si>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</si>
  <si>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</si>
  <si>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</si>
  <si>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</si>
  <si>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</si>
  <si>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</si>
  <si>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</si>
  <si>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</si>
  <si>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</si>
  <si>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</si>
  <si>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</si>
  <si>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</si>
  <si>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</si>
  <si>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</si>
  <si>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</si>
  <si>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</si>
  <si>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</si>
  <si>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</si>
  <si>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</si>
  <si>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</si>
  <si>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</si>
  <si>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</si>
  <si>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</si>
  <si>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</si>
  <si>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</si>
  <si>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</si>
  <si>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</si>
  <si>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</si>
  <si>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</si>
  <si>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</si>
  <si>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</si>
  <si>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</si>
  <si>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</si>
  <si>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</si>
  <si>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</si>
  <si>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</si>
  <si>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</si>
  <si>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</si>
  <si>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</si>
  <si>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</si>
  <si>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</si>
  <si>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</si>
  <si>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</si>
  <si>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</si>
  <si>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</si>
  <si>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</si>
  <si>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</si>
  <si>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</si>
  <si>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</si>
  <si>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</si>
  <si>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</si>
  <si>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</si>
  <si>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</si>
  <si>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</si>
  <si>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</si>
  <si>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</si>
  <si>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</si>
  <si>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</si>
  <si>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</si>
  <si>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</si>
  <si>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</si>
  <si>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</si>
  <si>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</si>
  <si>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</si>
  <si>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</si>
  <si>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</si>
  <si>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</si>
  <si>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</si>
  <si>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</si>
  <si>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</si>
  <si>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</si>
  <si>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</si>
  <si>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</si>
  <si>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</si>
  <si>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</si>
  <si>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</si>
  <si>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</si>
  <si>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</si>
  <si>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</si>
  <si>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</si>
  <si>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</si>
  <si>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</si>
  <si>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</si>
  <si>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</si>
  <si>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</si>
  <si>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</si>
  <si>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</si>
  <si>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</si>
  <si>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</si>
  <si>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</si>
  <si>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</si>
  <si>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</si>
  <si>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</si>
  <si>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</si>
  <si>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</si>
  <si>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</si>
  <si>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</si>
  <si>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</si>
  <si>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</si>
  <si>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</si>
  <si>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</si>
  <si>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</si>
  <si>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</si>
  <si>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</si>
  <si>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</si>
  <si>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</si>
  <si>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</si>
  <si>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</si>
  <si>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</si>
  <si>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</si>
  <si>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</si>
  <si>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</si>
  <si>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</si>
  <si>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</si>
  <si>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</si>
  <si>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</si>
  <si>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</si>
  <si>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</si>
  <si>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</si>
  <si>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</si>
  <si>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</si>
  <si>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</si>
  <si>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</si>
  <si>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</si>
  <si>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</si>
  <si>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</si>
  <si>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</si>
  <si>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</si>
  <si>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</si>
  <si>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</si>
  <si>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</si>
  <si>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</si>
  <si>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</si>
  <si>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</si>
  <si>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</si>
  <si>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</si>
  <si>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</si>
  <si>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</si>
  <si>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</si>
  <si>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</si>
  <si>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</si>
  <si>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</si>
  <si>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</si>
  <si>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</si>
  <si>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</si>
  <si>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</si>
  <si>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</si>
  <si>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</si>
  <si>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</si>
  <si>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</si>
  <si>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Operating Fund</t>
  </si>
  <si>
    <t>Unexpended Plant Funf</t>
  </si>
  <si>
    <t>Auxilliary Fund</t>
  </si>
  <si>
    <t>A&amp;P Baccalaureate adjusted up due to five new degree programs (Biological Sciences, Digital Art &amp; Media, Exceptional Student Education, Performance Design &amp; Production, and Social &amp; Human Services) beginning in 25-26; A&amp;P Lower Level adjusted upward to reflect general FTE increase both the State and the college are projecting; PSV adjusted up due to success of new Sonography and Paralegal programs beginning that began in 24-25 and increased demand in Allied Health programs; Career Certifcate adjusted down to more closely match actaul results from prior year and anticipation of increased fee exemptions; Education Prepapration Instututes are anticipated to increase slighty in 25-26 due to enhanced partnerships with local school districts (since these are small numbers to begin with, a small quantity change will cause a large percentage increase).</t>
  </si>
  <si>
    <t>Based on the actual revenue results for the past 2 years, the estimated out of state credit hours were adjusted to ensure the budgeted revenues in A &amp; P-lower level, PSV, Career Certificate, and Dev Ed was aligned with expected revenue results for the 25-26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</si>
</sst>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St. Johns River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18433207</v>
      </c>
      <c r="C10" s="436">
        <v>1978275</v>
      </c>
      <c r="D10" s="436">
        <v>1175038</v>
      </c>
      <c r="E10" s="359">
        <f>SUM(B10:D10)</f>
        <v>21586520</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428769</v>
      </c>
      <c r="C12" s="430">
        <v>116161</v>
      </c>
      <c r="D12" s="430">
        <v>0</v>
      </c>
      <c r="E12" s="360">
        <f>SUM(B12:D12)</f>
        <v>544930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4099567</v>
      </c>
      <c r="C14" s="438">
        <v>626181</v>
      </c>
      <c r="D14" s="438">
        <v>0</v>
      </c>
      <c r="E14" s="360">
        <f t="shared" ref="E14:E20" si="0">SUM(B14:D14)</f>
        <v>4725748</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4644100</v>
      </c>
      <c r="C16" s="430">
        <v>388908</v>
      </c>
      <c r="D16" s="430">
        <v>31000</v>
      </c>
      <c r="E16" s="360">
        <f t="shared" si="0"/>
        <v>5064008</v>
      </c>
      <c r="F16" s="342"/>
    </row>
    <row r="17" spans="1:6" s="11" customFormat="1" ht="20.100000000000001" customHeight="1">
      <c r="A17" s="358" t="s">
        <v>582</v>
      </c>
      <c r="B17" s="437">
        <v>6915397</v>
      </c>
      <c r="C17" s="430">
        <v>2576022</v>
      </c>
      <c r="D17" s="430">
        <v>263000</v>
      </c>
      <c r="E17" s="360">
        <f t="shared" si="0"/>
        <v>9754419</v>
      </c>
      <c r="F17" s="342"/>
    </row>
    <row r="18" spans="1:6" s="11" customFormat="1" ht="20.100000000000001" customHeight="1">
      <c r="A18" s="358" t="s">
        <v>583</v>
      </c>
      <c r="B18" s="437">
        <v>2984076</v>
      </c>
      <c r="C18" s="430">
        <v>4893621</v>
      </c>
      <c r="D18" s="430">
        <v>100000</v>
      </c>
      <c r="E18" s="360">
        <f t="shared" si="0"/>
        <v>7977697</v>
      </c>
      <c r="F18" s="342"/>
    </row>
    <row r="19" spans="1:6" s="11" customFormat="1" ht="20.100000000000001" customHeight="1">
      <c r="A19" s="358" t="s">
        <v>584</v>
      </c>
      <c r="B19" s="437">
        <v>155219</v>
      </c>
      <c r="C19" s="430">
        <v>0</v>
      </c>
      <c r="D19" s="430">
        <v>0</v>
      </c>
      <c r="E19" s="360">
        <f t="shared" si="0"/>
        <v>155219</v>
      </c>
      <c r="F19" s="342"/>
    </row>
    <row r="20" spans="1:6" s="11" customFormat="1" ht="20.100000000000001" customHeight="1" thickBot="1">
      <c r="A20" s="358" t="s">
        <v>585</v>
      </c>
      <c r="B20" s="437">
        <v>300000</v>
      </c>
      <c r="C20" s="431">
        <v>725000</v>
      </c>
      <c r="D20" s="431">
        <v>0</v>
      </c>
      <c r="E20" s="360">
        <f t="shared" si="0"/>
        <v>1025000</v>
      </c>
      <c r="F20" s="342"/>
    </row>
    <row r="21" spans="1:6" s="11" customFormat="1" ht="24" customHeight="1" thickBot="1">
      <c r="A21" s="283" t="s">
        <v>48</v>
      </c>
      <c r="B21" s="343">
        <f>SUM(B10:B20)</f>
        <v>37960335</v>
      </c>
      <c r="C21" s="346">
        <f>SUM(C10:C20)</f>
        <v>11304168</v>
      </c>
      <c r="D21" s="346">
        <f>SUM(D10:D20)</f>
        <v>1569038</v>
      </c>
      <c r="E21" s="345">
        <f>SUM(E10:E20)</f>
        <v>50833541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St. Johns River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87810</v>
      </c>
      <c r="E11" s="725">
        <v>0</v>
      </c>
      <c r="F11" s="726">
        <f t="shared" si="0"/>
        <v>87810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552057</v>
      </c>
      <c r="E15" s="725">
        <v>0</v>
      </c>
      <c r="F15" s="726">
        <f t="shared" si="0"/>
        <v>552057</v>
      </c>
      <c r="I15" s="82"/>
      <c r="J15" s="23"/>
      <c r="K15" s="87"/>
      <c r="L15" s="87"/>
      <c r="M15" s="87"/>
      <c r="N15" s="87"/>
    </row>
    <row r="16" spans="1:224" s="11" customFormat="1" ht="30" customHeight="1">
      <c r="A16" s="722" t="s">
        <v>406</v>
      </c>
      <c r="B16" s="723"/>
      <c r="C16" s="724" t="s">
        <v>407</v>
      </c>
      <c r="D16" s="725">
        <v>81100</v>
      </c>
      <c r="E16" s="725">
        <v>0</v>
      </c>
      <c r="F16" s="726">
        <f t="shared" si="0"/>
        <v>81100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10450</v>
      </c>
      <c r="E26" s="725">
        <v>0</v>
      </c>
      <c r="F26" s="726">
        <f t="shared" si="0"/>
        <v>10450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46741</v>
      </c>
      <c r="E28" s="725">
        <v>0</v>
      </c>
      <c r="F28" s="726">
        <f t="shared" si="0"/>
        <v>46741</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43800</v>
      </c>
      <c r="E34" s="725">
        <v>0</v>
      </c>
      <c r="F34" s="726">
        <f t="shared" si="0"/>
        <v>43800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60164</v>
      </c>
      <c r="E47" s="725">
        <v>0</v>
      </c>
      <c r="F47" s="726">
        <f t="shared" si="0"/>
        <v>60164</v>
      </c>
    </row>
    <row r="48" spans="1:6" s="11" customFormat="1" ht="30" customHeight="1">
      <c r="A48" s="722" t="s">
        <v>466</v>
      </c>
      <c r="B48" s="723"/>
      <c r="C48" s="724" t="s">
        <v>467</v>
      </c>
      <c r="D48" s="725">
        <v>110560</v>
      </c>
      <c r="E48" s="725">
        <v>0</v>
      </c>
      <c r="F48" s="726">
        <f t="shared" si="0"/>
        <v>110560</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151053</v>
      </c>
      <c r="E53" s="725">
        <v>0</v>
      </c>
      <c r="F53" s="726">
        <f t="shared" si="0"/>
        <v>151053</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1143735</v>
      </c>
      <c r="E56" s="258">
        <f>SUM(E10:E55)</f>
        <v>0</v>
      </c>
      <c r="F56" s="258">
        <f t="shared" si="0"/>
        <v>1143735</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11335</v>
      </c>
      <c r="E63" s="439">
        <v>0</v>
      </c>
      <c r="F63" s="224">
        <f t="shared" si="0"/>
        <v>11335</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200</v>
      </c>
      <c r="E66" s="725">
        <v>0</v>
      </c>
      <c r="F66" s="726">
        <f t="shared" si="0"/>
        <v>200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4280</v>
      </c>
      <c r="E72" s="725">
        <v>0</v>
      </c>
      <c r="F72" s="726">
        <f t="shared" si="0"/>
        <v>4280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2975</v>
      </c>
      <c r="E75" s="725">
        <v>0</v>
      </c>
      <c r="F75" s="726">
        <f t="shared" si="1"/>
        <v>2975</v>
      </c>
    </row>
    <row r="76" spans="1:6" s="11" customFormat="1" ht="30" customHeight="1">
      <c r="A76" s="722" t="s">
        <v>506</v>
      </c>
      <c r="B76" s="723"/>
      <c r="C76" s="732" t="s">
        <v>507</v>
      </c>
      <c r="D76" s="725">
        <v>3100</v>
      </c>
      <c r="E76" s="725">
        <v>0</v>
      </c>
      <c r="F76" s="726">
        <f t="shared" si="1"/>
        <v>3100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21890</v>
      </c>
      <c r="E92" s="254">
        <f>SUM(E63:E91)</f>
        <v>0</v>
      </c>
      <c r="F92" s="254">
        <f t="shared" si="1"/>
        <v>21890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1165625</v>
      </c>
      <c r="E112" s="254">
        <f>+E56+E92+E110</f>
        <v>0</v>
      </c>
      <c r="F112" s="254">
        <f>SUM(D112:E112)</f>
        <v>1165625</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603060</v>
      </c>
      <c r="E117" s="725">
        <v>0</v>
      </c>
      <c r="F117" s="726">
        <f t="shared" ref="F117:F127" si="3">+D117+E117</f>
        <v>603060</v>
      </c>
    </row>
    <row r="118" spans="1:6" s="63" customFormat="1" ht="30" customHeight="1">
      <c r="A118" s="722" t="s">
        <v>606</v>
      </c>
      <c r="B118" s="575"/>
      <c r="C118" s="734"/>
      <c r="D118" s="1042">
        <f>'EXHIBIT C'!F19</f>
        <v>34342</v>
      </c>
      <c r="E118" s="725">
        <v>0</v>
      </c>
      <c r="F118" s="726">
        <f t="shared" si="3"/>
        <v>34342</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528223</v>
      </c>
      <c r="E122" s="725">
        <v>0</v>
      </c>
      <c r="F122" s="726">
        <f t="shared" si="3"/>
        <v>528223</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1165625</v>
      </c>
      <c r="E128" s="248">
        <f>SUM(E116:E127)</f>
        <v>0</v>
      </c>
      <c r="F128" s="249">
        <f>SUM(F116:F127)</f>
        <v>1165625</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election activeCell="C35" sqref="C35"/>
    </sheetView>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election activeCell="B29" sqref="B29"/>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f>33932430.7552692-3000000</f>
        <v>30932430.7552692</v>
      </c>
      <c r="C28" s="1108">
        <v>4419727.2447307603</v>
      </c>
      <c r="D28" s="68">
        <f t="shared" si="0"/>
        <v>35352157.999999963</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1348368168.9999998</v>
      </c>
      <c r="C35" s="418">
        <f>SUM(C7:C34)</f>
        <v>258926426.00000006</v>
      </c>
      <c r="D35" s="391">
        <f>SUM(D7:D34)</f>
        <v>1607294595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tMZEehEUFkSe//YjT1VMvHfzfoyUEHSNSb6zuWWlVOKXnxSe7AiRVufEHmtazQrLUukWpMc4pOhWn7ohnqOXdg==" saltValue="pdy70p72c6NTJGeKigzZQ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41</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0.33655389586279499</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6300</v>
      </c>
      <c r="E44" s="108">
        <f>+'EXHIBIT C'!F10</f>
        <v>6570</v>
      </c>
      <c r="F44" s="109">
        <f t="shared" ref="F44:F50" si="0">IF(D44=0,"0",(E44/D44-1))</f>
        <v>4.2857142857142927E-2</v>
      </c>
      <c r="G44" s="110" t="str">
        <f t="shared" ref="G44:G50" si="1">IF(OR(F44&gt;3%, F44&lt;-3%),"YES","NO")</f>
        <v>YES</v>
      </c>
      <c r="H44" s="82"/>
    </row>
    <row r="45" spans="1:8" ht="20.100000000000001" customHeight="1">
      <c r="C45" s="111" t="s">
        <v>125</v>
      </c>
      <c r="D45" s="621">
        <f>VLOOKUP($D$7,VLOOKUP!$A$109:$S$137,5)*30+D60</f>
        <v>65706.774365347068</v>
      </c>
      <c r="E45" s="112">
        <f>+'EXHIBIT C'!F11</f>
        <v>69450</v>
      </c>
      <c r="F45" s="622">
        <f t="shared" si="0"/>
        <v>5.6968640917291147E-2</v>
      </c>
      <c r="G45" s="623" t="str">
        <f t="shared" si="1"/>
        <v>YES</v>
      </c>
      <c r="H45" s="82"/>
    </row>
    <row r="46" spans="1:8" ht="20.100000000000001" customHeight="1">
      <c r="C46" s="624" t="s">
        <v>126</v>
      </c>
      <c r="D46" s="625">
        <f>VLOOKUP($D$7,VLOOKUP!$A$109:$S$137,8)*30</f>
        <v>21716.275413391162</v>
      </c>
      <c r="E46" s="626">
        <f>+'EXHIBIT C'!F12</f>
        <v>22500</v>
      </c>
      <c r="F46" s="622">
        <f t="shared" si="0"/>
        <v>3.6089272754643797E-2</v>
      </c>
      <c r="G46" s="623" t="str">
        <f t="shared" si="1"/>
        <v>YES</v>
      </c>
      <c r="H46" s="82"/>
    </row>
    <row r="47" spans="1:8" ht="20.100000000000001" customHeight="1">
      <c r="C47" s="624" t="s">
        <v>75</v>
      </c>
      <c r="D47" s="625">
        <f>VLOOKUP($D$7,VLOOKUP!$A$109:$S$137,17)*30</f>
        <v>3561.520190023753</v>
      </c>
      <c r="E47" s="626">
        <f>+'EXHIBIT C'!F13</f>
        <v>3390</v>
      </c>
      <c r="F47" s="622">
        <f t="shared" si="0"/>
        <v>-4.815926370548218E-2</v>
      </c>
      <c r="G47" s="623" t="str">
        <f t="shared" si="1"/>
        <v>YES</v>
      </c>
      <c r="H47" s="82"/>
    </row>
    <row r="48" spans="1:8" ht="20.100000000000001" customHeight="1">
      <c r="C48" s="624" t="s">
        <v>127</v>
      </c>
      <c r="D48" s="625">
        <f>VLOOKUP($D$7,VLOOKUP!$A$109:$S$137,11)*30</f>
        <v>789.75</v>
      </c>
      <c r="E48" s="626">
        <f>+'EXHIBIT C'!F14</f>
        <v>810</v>
      </c>
      <c r="F48" s="622">
        <f t="shared" si="0"/>
        <v>2.564102564102555E-2</v>
      </c>
      <c r="G48" s="623" t="str">
        <f t="shared" si="1"/>
        <v>NO</v>
      </c>
      <c r="H48" s="82"/>
    </row>
    <row r="49" spans="3:8" ht="20.100000000000001" customHeight="1" thickBot="1">
      <c r="C49" s="627" t="s">
        <v>128</v>
      </c>
      <c r="D49" s="628">
        <f>VLOOKUP($D$7,VLOOKUP!$A$109:$S$137,14)*30</f>
        <v>179.40886699507388</v>
      </c>
      <c r="E49" s="629">
        <f>+'EXHIBIT C'!F15</f>
        <v>210</v>
      </c>
      <c r="F49" s="630">
        <f t="shared" si="0"/>
        <v>0.17051070840197702</v>
      </c>
      <c r="G49" s="631" t="str">
        <f t="shared" si="1"/>
        <v>YES</v>
      </c>
      <c r="H49" s="82"/>
    </row>
    <row r="50" spans="3:8" ht="20.100000000000001" customHeight="1" thickBot="1">
      <c r="C50" s="113" t="s">
        <v>48</v>
      </c>
      <c r="D50" s="114">
        <f>SUM(D44:D49)</f>
        <v>98253.728835757065</v>
      </c>
      <c r="E50" s="115">
        <f>+'EXHIBIT C'!F17</f>
        <v>102930</v>
      </c>
      <c r="F50" s="116">
        <f t="shared" si="0"/>
        <v>4.7593828953401696E-2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787</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91.98</v>
      </c>
      <c r="F59" s="633" t="str">
        <f t="shared" ref="F59:F65" si="2">IF(D59=0,"0",(E59/D59-1))</f>
        <v>0</v>
      </c>
      <c r="G59" s="634" t="str">
        <f>IF(OR(F59&gt;5%, F59&lt;-5%),"YES","NO")</f>
        <v>NO</v>
      </c>
    </row>
    <row r="60" spans="3:8" ht="20.100000000000001" customHeight="1">
      <c r="C60" s="111" t="s">
        <v>125</v>
      </c>
      <c r="D60" s="632">
        <f>VLOOKUP($D$7,VLOOKUP!$A$109:$S$137,6)*30</f>
        <v>1928.4700869873955</v>
      </c>
      <c r="E60" s="125">
        <f>+'EXHIBIT C'!D20</f>
        <v>2100</v>
      </c>
      <c r="F60" s="633">
        <f t="shared" si="2"/>
        <v>8.8946110271569623E-2</v>
      </c>
      <c r="G60" s="634" t="str">
        <f t="shared" ref="G60:G65" si="3">IF(OR(F60&gt;5%, F60&lt;-5%),"YES","NO")</f>
        <v>YES</v>
      </c>
      <c r="H60" s="82"/>
    </row>
    <row r="61" spans="3:8" ht="20.100000000000001" customHeight="1">
      <c r="C61" s="624" t="s">
        <v>126</v>
      </c>
      <c r="D61" s="635">
        <f>VLOOKUP($D$7,VLOOKUP!$A$109:$S$137,9)*30</f>
        <v>356.24288425047445</v>
      </c>
      <c r="E61" s="636">
        <f>+'EXHIBIT C'!D21</f>
        <v>420</v>
      </c>
      <c r="F61" s="633">
        <f t="shared" si="2"/>
        <v>0.1789709172259506</v>
      </c>
      <c r="G61" s="634" t="str">
        <f t="shared" si="3"/>
        <v>YES</v>
      </c>
      <c r="H61" s="82"/>
    </row>
    <row r="62" spans="3:8" ht="20.100000000000001" customHeight="1">
      <c r="C62" s="624" t="s">
        <v>75</v>
      </c>
      <c r="D62" s="635">
        <f>VLOOKUP($D$7,VLOOKUP!$A$109:$S$137,18)*30</f>
        <v>8.4798099762470311</v>
      </c>
      <c r="E62" s="636">
        <f>+'EXHIBIT C'!D22</f>
        <v>40.68</v>
      </c>
      <c r="F62" s="633">
        <f t="shared" si="2"/>
        <v>3.7972773109243692</v>
      </c>
      <c r="G62" s="634" t="str">
        <f t="shared" si="3"/>
        <v>YES</v>
      </c>
      <c r="H62" s="82"/>
    </row>
    <row r="63" spans="3:8" ht="20.100000000000001" customHeight="1">
      <c r="C63" s="624" t="s">
        <v>127</v>
      </c>
      <c r="D63" s="635">
        <f>VLOOKUP($D$7,VLOOKUP!$A$109:$S$137,12)*30</f>
        <v>20.25</v>
      </c>
      <c r="E63" s="636">
        <f>+'EXHIBIT C'!D23</f>
        <v>30</v>
      </c>
      <c r="F63" s="633">
        <f t="shared" si="2"/>
        <v>0.4814814814814814</v>
      </c>
      <c r="G63" s="634" t="str">
        <f t="shared" si="3"/>
        <v>YES</v>
      </c>
      <c r="H63" s="82"/>
    </row>
    <row r="64" spans="3:8" ht="20.100000000000001" customHeight="1" thickBot="1">
      <c r="C64" s="627" t="s">
        <v>128</v>
      </c>
      <c r="D64" s="637">
        <f>VLOOKUP($D$7,VLOOKUP!$A$109:$S$137,15)*30</f>
        <v>0.59113300492610843</v>
      </c>
      <c r="E64" s="638">
        <f>+'EXHIBIT C'!D24</f>
        <v>0</v>
      </c>
      <c r="F64" s="639">
        <f t="shared" si="2"/>
        <v>-1</v>
      </c>
      <c r="G64" s="640" t="str">
        <f t="shared" si="3"/>
        <v>YES</v>
      </c>
      <c r="H64" s="82"/>
    </row>
    <row r="65" spans="1:8" ht="20.100000000000001" customHeight="1" thickBot="1">
      <c r="C65" s="113" t="s">
        <v>48</v>
      </c>
      <c r="D65" s="126">
        <f>SUM(D59:D64)</f>
        <v>2314.0339142190433</v>
      </c>
      <c r="E65" s="127">
        <f>SUM(E59:E64)</f>
        <v>2682.66</v>
      </c>
      <c r="F65" s="128">
        <f t="shared" si="2"/>
        <v>0.15930020883266227</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788</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30932430.7552692</v>
      </c>
      <c r="E84" s="1089">
        <f>+'EXHIBIT D'!G77</f>
        <v>30932430.7552692</v>
      </c>
      <c r="F84" s="1089">
        <f>D84-E84</f>
        <v>0</v>
      </c>
      <c r="G84" s="82"/>
      <c r="H84" s="82"/>
    </row>
    <row r="85" spans="1:8" ht="20.100000000000001" customHeight="1">
      <c r="A85" s="92"/>
      <c r="B85" s="92"/>
      <c r="C85" s="643" t="s">
        <v>149</v>
      </c>
      <c r="D85" s="642">
        <f>VLOOKUP($D$7,VLOOKUP!$A$150:$B$178,2)</f>
        <v>432461</v>
      </c>
      <c r="E85" s="1089">
        <f>'EXHIBIT D'!G79</f>
        <v>432461</v>
      </c>
      <c r="F85" s="1089">
        <f>D85-E85</f>
        <v>0</v>
      </c>
      <c r="G85" s="82"/>
      <c r="H85" s="82"/>
    </row>
    <row r="86" spans="1:8" ht="20.100000000000001" customHeight="1">
      <c r="A86" s="92"/>
      <c r="B86" s="92"/>
      <c r="C86" s="643" t="s">
        <v>150</v>
      </c>
      <c r="D86" s="642">
        <f>VLOOKUP($D$7,VLOOKUP!$A$7:$E$35,3)</f>
        <v>4419727.2447307603</v>
      </c>
      <c r="E86" s="1089">
        <f>'EXHIBIT D'!G82</f>
        <v>4419727.2447307603</v>
      </c>
      <c r="F86" s="1089">
        <f>D86-E86</f>
        <v>0</v>
      </c>
      <c r="G86" s="82"/>
      <c r="H86" s="82"/>
    </row>
    <row r="87" spans="1:8" ht="20.100000000000001" customHeight="1" thickBot="1">
      <c r="A87" s="91"/>
      <c r="B87" s="91"/>
      <c r="C87" s="137" t="s">
        <v>688</v>
      </c>
      <c r="D87" s="642">
        <f>VLOOKUP($D$7,VLOOKUP!$A$185:$B$213,2)</f>
        <v>1161973</v>
      </c>
      <c r="E87" s="1090">
        <f>'EXHIBIT D'!G78</f>
        <v>1161973</v>
      </c>
      <c r="F87" s="1089">
        <f>D87-E87</f>
        <v>0</v>
      </c>
      <c r="G87" s="82"/>
      <c r="H87" s="82"/>
    </row>
    <row r="88" spans="1:8" ht="20.100000000000001" customHeight="1" thickBot="1">
      <c r="A88" s="91"/>
      <c r="B88" s="91"/>
      <c r="C88" s="138" t="s">
        <v>151</v>
      </c>
      <c r="D88" s="139">
        <f>SUM(D84:D87)</f>
        <v>36946591.999999963</v>
      </c>
      <c r="E88" s="139">
        <f>SUM(E84:E87)</f>
        <v>36946591.999999963</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25766190</v>
      </c>
      <c r="D101" s="787" t="s">
        <v>744</v>
      </c>
      <c r="E101" s="787"/>
      <c r="F101" s="787"/>
      <c r="G101" s="82"/>
      <c r="H101" s="82"/>
    </row>
    <row r="102" spans="1:8" ht="20.100000000000001" customHeight="1">
      <c r="A102" s="89"/>
      <c r="B102" s="89"/>
      <c r="C102" s="645">
        <f>'EXHIBIT D'!G266-'EXHIBIT D'!G252-'EXHIBIT D'!G264</f>
        <v>25766190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25427614</v>
      </c>
      <c r="D108" s="11" t="s">
        <v>746</v>
      </c>
    </row>
    <row r="109" spans="1:8" ht="26.25" customHeight="1">
      <c r="A109" s="145"/>
      <c r="B109" s="145"/>
      <c r="C109" s="647">
        <f>'EXHIBIT A'!E36</f>
        <v>25627614</v>
      </c>
      <c r="D109" s="11" t="s">
        <v>747</v>
      </c>
    </row>
    <row r="110" spans="1:8" ht="26.1" customHeight="1">
      <c r="A110" s="145"/>
      <c r="B110" s="145"/>
      <c r="C110" s="648">
        <f>C108-C109</f>
        <v>-200000</v>
      </c>
      <c r="D110" s="83" t="s">
        <v>159</v>
      </c>
      <c r="E110" s="83"/>
      <c r="F110" s="83"/>
      <c r="G110" s="83"/>
    </row>
    <row r="111" spans="1:8" ht="20.100000000000001" customHeight="1">
      <c r="A111" s="145"/>
      <c r="B111" s="145"/>
      <c r="C111" s="148"/>
    </row>
    <row r="112" spans="1:8" ht="26.1" customHeight="1">
      <c r="A112" s="145"/>
      <c r="B112" s="145"/>
      <c r="C112" s="646">
        <f>'EXHIBIT D'!G186</f>
        <v>200000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91.789954337899545</v>
      </c>
      <c r="D119" s="11" t="s">
        <v>80</v>
      </c>
    </row>
    <row r="120" spans="1:8" ht="20.100000000000001" customHeight="1">
      <c r="C120" s="151"/>
    </row>
    <row r="121" spans="1:8" ht="20.100000000000001" customHeight="1">
      <c r="C121" s="152">
        <f>IF('EXHIBIT G'!D118=0,"No Credit Hours or Not Applicable",('EXHIBIT G'!D118/'EXHIBIT C'!D19))</f>
        <v>373.36377473363774</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disablePrompts="1" count="1">
    <dataValidation allowBlank="1" showInputMessage="1" showErrorMessage="1" promptTitle="Select" sqref="E7:F7" xr:uid="{00000000-0002-0000-0300-000000000000}"/>
  </dataValidations>
  <pageMargins left="0.5" right="0.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St. Johns River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-1134155</v>
      </c>
    </row>
    <row r="14" spans="2:7" ht="25.35" customHeight="1">
      <c r="B14" s="11" t="s">
        <v>173</v>
      </c>
      <c r="D14" s="22"/>
      <c r="E14" s="1161">
        <v>25427614</v>
      </c>
    </row>
    <row r="15" spans="2:7" ht="25.35" customHeight="1">
      <c r="B15" s="22"/>
      <c r="D15" s="22"/>
      <c r="E15" s="156"/>
    </row>
    <row r="16" spans="2:7" ht="25.35" customHeight="1">
      <c r="B16" s="11" t="s">
        <v>751</v>
      </c>
      <c r="C16" s="22"/>
      <c r="D16" s="22"/>
      <c r="E16" s="556">
        <f>+E14+E13</f>
        <v>24293459</v>
      </c>
    </row>
    <row r="17" spans="2:7" ht="25.35" customHeight="1">
      <c r="B17" s="22"/>
      <c r="C17" s="22"/>
      <c r="D17" s="22"/>
      <c r="E17" s="157"/>
    </row>
    <row r="18" spans="2:7" ht="25.35" customHeight="1">
      <c r="B18" s="11" t="s">
        <v>174</v>
      </c>
      <c r="C18" s="22"/>
      <c r="D18" s="22"/>
      <c r="E18" s="167">
        <f>+'EXHIBIT D'!G143-SUM(+'EXHIBIT D'!G133+'EXHIBIT D'!G134)</f>
        <v>52056422.999999963</v>
      </c>
      <c r="G18" s="132"/>
    </row>
    <row r="19" spans="2:7" ht="25.35" customHeight="1">
      <c r="B19" s="11" t="s">
        <v>175</v>
      </c>
      <c r="D19" s="22"/>
      <c r="E19" s="556">
        <f>+'EXHIBIT D'!G133+'EXHIBIT D'!G134</f>
        <v>209000</v>
      </c>
    </row>
    <row r="20" spans="2:7" ht="25.35" customHeight="1">
      <c r="B20" s="22"/>
      <c r="D20" s="22"/>
      <c r="E20" s="162"/>
    </row>
    <row r="21" spans="2:7" ht="25.35" customHeight="1">
      <c r="B21" s="11" t="s">
        <v>176</v>
      </c>
      <c r="C21" s="22"/>
      <c r="D21" s="22"/>
      <c r="E21" s="557">
        <f>+E19+E18</f>
        <v>52265422.999999963</v>
      </c>
    </row>
    <row r="22" spans="2:7" ht="25.35" customHeight="1">
      <c r="B22" s="22"/>
      <c r="C22" s="22"/>
      <c r="D22" s="22"/>
      <c r="E22" s="162"/>
    </row>
    <row r="23" spans="2:7" ht="25.35" customHeight="1">
      <c r="B23" s="22" t="s">
        <v>177</v>
      </c>
      <c r="C23" s="22"/>
      <c r="D23" s="22"/>
      <c r="E23" s="557">
        <f>+E21+E16</f>
        <v>76558881.99999997</v>
      </c>
    </row>
    <row r="24" spans="2:7" ht="25.35" customHeight="1">
      <c r="B24" s="22"/>
      <c r="C24" s="22"/>
      <c r="D24" s="22"/>
      <c r="E24" s="162"/>
    </row>
    <row r="25" spans="2:7" ht="25.35" customHeight="1">
      <c r="B25" s="11" t="s">
        <v>178</v>
      </c>
      <c r="C25" s="22"/>
      <c r="D25" s="22"/>
      <c r="E25" s="168">
        <f>'EXHIBIT D'!G248-SUM(+'EXHIBIT D'!G222+'EXHIBIT D'!G223)</f>
        <v>50333541</v>
      </c>
    </row>
    <row r="26" spans="2:7" ht="25.35" customHeight="1">
      <c r="B26" s="11" t="s">
        <v>179</v>
      </c>
      <c r="D26" s="22"/>
      <c r="E26" s="556">
        <f>'EXHIBIT D'!G222+'EXHIBIT D'!G223</f>
        <v>500000</v>
      </c>
    </row>
    <row r="27" spans="2:7" ht="25.35" customHeight="1">
      <c r="B27" s="22"/>
      <c r="D27" s="22"/>
      <c r="E27" s="162"/>
    </row>
    <row r="28" spans="2:7" ht="25.35" customHeight="1">
      <c r="B28" s="22" t="s">
        <v>180</v>
      </c>
      <c r="C28" s="22"/>
      <c r="D28" s="22"/>
      <c r="E28" s="558">
        <f>+E26+E25</f>
        <v>50833541</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25725340.99999997</v>
      </c>
      <c r="E32" s="158"/>
    </row>
    <row r="33" spans="2:10" ht="25.35" customHeight="1">
      <c r="B33" s="11" t="s">
        <v>182</v>
      </c>
      <c r="C33" s="22"/>
      <c r="D33" s="559">
        <f>+'EXHIBIT D'!G186</f>
        <v>200000</v>
      </c>
      <c r="E33" s="158"/>
    </row>
    <row r="34" spans="2:10" ht="25.35" customHeight="1">
      <c r="B34" s="22"/>
      <c r="D34" s="22"/>
      <c r="E34" s="158"/>
      <c r="J34" s="160"/>
    </row>
    <row r="35" spans="2:10" ht="25.35" customHeight="1">
      <c r="B35" s="11" t="s">
        <v>753</v>
      </c>
      <c r="C35" s="22"/>
      <c r="D35" s="22"/>
      <c r="E35" s="161">
        <f>+D32+D33</f>
        <v>25925340.99999997</v>
      </c>
    </row>
    <row r="36" spans="2:10" ht="25.35" customHeight="1">
      <c r="B36" s="11" t="s">
        <v>754</v>
      </c>
      <c r="C36" s="22"/>
      <c r="D36" s="22"/>
      <c r="E36" s="557">
        <f>-'EXHIBIT D'!G264</f>
        <v>25627614</v>
      </c>
      <c r="J36" s="42"/>
    </row>
    <row r="37" spans="2:10" ht="25.35" customHeight="1">
      <c r="D37" s="22"/>
      <c r="E37" s="161"/>
    </row>
    <row r="38" spans="2:10" ht="25.35" customHeight="1">
      <c r="B38" s="22" t="s">
        <v>755</v>
      </c>
      <c r="D38" s="22"/>
      <c r="E38" s="556">
        <f>+E35-E36</f>
        <v>297726.9999999702</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25766190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0.33655389586279499</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70" zoomScaleNormal="7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St. Johns River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4.51</v>
      </c>
      <c r="D14" s="930">
        <v>9.18</v>
      </c>
      <c r="E14" s="930">
        <v>12.68</v>
      </c>
      <c r="F14" s="930">
        <v>4.59</v>
      </c>
      <c r="G14" s="650">
        <f>SUM(B14:F14)</f>
        <v>122.75000000000003</v>
      </c>
      <c r="H14" s="355">
        <f>G14*30</f>
        <v>3682.5000000000009</v>
      </c>
    </row>
    <row r="15" spans="1:18" s="11" customFormat="1" ht="20.100000000000001" customHeight="1">
      <c r="A15" s="22" t="s">
        <v>200</v>
      </c>
      <c r="B15" s="931">
        <v>78.84</v>
      </c>
      <c r="C15" s="931">
        <v>3.51</v>
      </c>
      <c r="D15" s="931">
        <v>7.88</v>
      </c>
      <c r="E15" s="931">
        <v>11.83</v>
      </c>
      <c r="F15" s="931">
        <v>3.94</v>
      </c>
      <c r="G15" s="650">
        <f>SUM(B15:F15)</f>
        <v>106</v>
      </c>
      <c r="H15" s="328">
        <f>G15*30</f>
        <v>3180</v>
      </c>
    </row>
    <row r="16" spans="1:18" s="11" customFormat="1" ht="20.100000000000001" customHeight="1" thickBot="1">
      <c r="A16" s="22" t="s">
        <v>75</v>
      </c>
      <c r="B16" s="932">
        <v>69.930000000000007</v>
      </c>
      <c r="C16" s="932">
        <v>3.57</v>
      </c>
      <c r="D16" s="933"/>
      <c r="E16" s="932">
        <v>3.5</v>
      </c>
      <c r="F16" s="932">
        <v>3.5</v>
      </c>
      <c r="G16" s="329">
        <f>SUM(B16:F16)</f>
        <v>80.5</v>
      </c>
      <c r="H16" s="651">
        <f>G16*30</f>
        <v>2415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373.36</v>
      </c>
      <c r="D29" s="930">
        <v>23.18</v>
      </c>
      <c r="E29" s="516">
        <f>D14</f>
        <v>9.18</v>
      </c>
      <c r="F29" s="930">
        <v>47.24</v>
      </c>
      <c r="G29" s="930">
        <v>23.25</v>
      </c>
      <c r="H29" s="336">
        <f>SUM(B29:G29)</f>
        <v>568</v>
      </c>
      <c r="I29" s="349">
        <f>H29*30</f>
        <v>17040</v>
      </c>
    </row>
    <row r="30" spans="1:11" s="11" customFormat="1" ht="20.100000000000001" customHeight="1">
      <c r="A30" s="22" t="str">
        <f t="shared" si="0"/>
        <v>LOWER LEVEL - CREDIT (A &amp; P, PSV, DEVELOPMENTAL EDUCATION AND EPI)</v>
      </c>
      <c r="B30" s="654">
        <f t="shared" si="0"/>
        <v>78.84</v>
      </c>
      <c r="C30" s="934">
        <v>236.69</v>
      </c>
      <c r="D30" s="934">
        <v>14.2</v>
      </c>
      <c r="E30" s="655">
        <f>D15</f>
        <v>7.88</v>
      </c>
      <c r="F30" s="934">
        <v>33.549999999999997</v>
      </c>
      <c r="G30" s="934">
        <v>15.78</v>
      </c>
      <c r="H30" s="650">
        <f>SUM(B30:G30)</f>
        <v>386.93999999999994</v>
      </c>
      <c r="I30" s="328">
        <f>H30*30</f>
        <v>11608.199999999999</v>
      </c>
    </row>
    <row r="31" spans="1:11" s="11" customFormat="1" ht="20.100000000000001" customHeight="1">
      <c r="A31" s="22" t="str">
        <f t="shared" si="0"/>
        <v>CAREER CERTIFICATE AND APPLIED TECHNOLOGY DIPLOMA</v>
      </c>
      <c r="B31" s="1109">
        <f t="shared" si="0"/>
        <v>69.930000000000007</v>
      </c>
      <c r="C31" s="931">
        <v>209.79</v>
      </c>
      <c r="D31" s="931">
        <v>14.55</v>
      </c>
      <c r="E31" s="1110"/>
      <c r="F31" s="931">
        <v>13.99</v>
      </c>
      <c r="G31" s="931">
        <v>13.99</v>
      </c>
      <c r="H31" s="1111">
        <f>SUM(B31:G31)</f>
        <v>322.25000000000006</v>
      </c>
      <c r="I31" s="1111">
        <f>H31*30</f>
        <v>9667.5000000000018</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St. Johns River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7740</v>
      </c>
      <c r="E10" s="519">
        <v>1170</v>
      </c>
      <c r="F10" s="520">
        <f t="shared" ref="F10:F15" si="0">+D10-E10</f>
        <v>6570</v>
      </c>
      <c r="G10" s="520">
        <f>'EXHIBIT B'!B14</f>
        <v>91.79</v>
      </c>
      <c r="H10" s="1160">
        <f>ROUND(+F10*G10,0)</f>
        <v>603060</v>
      </c>
    </row>
    <row r="11" spans="1:9" ht="20.100000000000001" customHeight="1">
      <c r="A11" s="661" t="s">
        <v>193</v>
      </c>
      <c r="B11" s="661" t="s">
        <v>125</v>
      </c>
      <c r="C11" s="662" t="s">
        <v>220</v>
      </c>
      <c r="D11" s="660">
        <v>105240</v>
      </c>
      <c r="E11" s="660">
        <v>35790</v>
      </c>
      <c r="F11" s="663">
        <f t="shared" si="0"/>
        <v>69450</v>
      </c>
      <c r="G11" s="663">
        <f>+'EXHIBIT B'!B15</f>
        <v>78.84</v>
      </c>
      <c r="H11" s="664">
        <f t="shared" ref="H11:H15" si="1">ROUND(+F11*G11,0)</f>
        <v>5475438</v>
      </c>
    </row>
    <row r="12" spans="1:9" ht="20.100000000000001" customHeight="1">
      <c r="A12" s="661" t="s">
        <v>193</v>
      </c>
      <c r="B12" s="661" t="s">
        <v>126</v>
      </c>
      <c r="C12" s="662" t="s">
        <v>221</v>
      </c>
      <c r="D12" s="660">
        <v>27270</v>
      </c>
      <c r="E12" s="660">
        <v>4770</v>
      </c>
      <c r="F12" s="663">
        <f t="shared" si="0"/>
        <v>22500</v>
      </c>
      <c r="G12" s="663">
        <f>+'EXHIBIT B'!B15</f>
        <v>78.84</v>
      </c>
      <c r="H12" s="664">
        <f t="shared" si="1"/>
        <v>1773900</v>
      </c>
    </row>
    <row r="13" spans="1:9" ht="20.100000000000001" customHeight="1">
      <c r="A13" s="661" t="s">
        <v>193</v>
      </c>
      <c r="B13" s="661" t="s">
        <v>75</v>
      </c>
      <c r="C13" s="662" t="s">
        <v>222</v>
      </c>
      <c r="D13" s="665">
        <v>3720</v>
      </c>
      <c r="E13" s="665">
        <v>330</v>
      </c>
      <c r="F13" s="663">
        <f t="shared" si="0"/>
        <v>3390</v>
      </c>
      <c r="G13" s="663">
        <f>+'EXHIBIT B'!B16</f>
        <v>69.930000000000007</v>
      </c>
      <c r="H13" s="664">
        <f t="shared" si="1"/>
        <v>237063</v>
      </c>
    </row>
    <row r="14" spans="1:9" ht="20.100000000000001" customHeight="1">
      <c r="A14" s="661" t="s">
        <v>193</v>
      </c>
      <c r="B14" s="661" t="s">
        <v>127</v>
      </c>
      <c r="C14" s="662" t="s">
        <v>223</v>
      </c>
      <c r="D14" s="660">
        <v>1110</v>
      </c>
      <c r="E14" s="660">
        <v>300</v>
      </c>
      <c r="F14" s="663">
        <f t="shared" si="0"/>
        <v>810</v>
      </c>
      <c r="G14" s="663">
        <f>+'EXHIBIT B'!B15</f>
        <v>78.84</v>
      </c>
      <c r="H14" s="664">
        <f t="shared" si="1"/>
        <v>63860</v>
      </c>
    </row>
    <row r="15" spans="1:9" ht="20.100000000000001" customHeight="1" thickBot="1">
      <c r="A15" s="666" t="s">
        <v>193</v>
      </c>
      <c r="B15" s="666" t="s">
        <v>128</v>
      </c>
      <c r="C15" s="667">
        <v>40160</v>
      </c>
      <c r="D15" s="668">
        <v>360</v>
      </c>
      <c r="E15" s="668">
        <v>150</v>
      </c>
      <c r="F15" s="669">
        <f t="shared" si="0"/>
        <v>210</v>
      </c>
      <c r="G15" s="669">
        <f>+'EXHIBIT B'!B15</f>
        <v>78.84</v>
      </c>
      <c r="H15" s="670">
        <f t="shared" si="1"/>
        <v>16556</v>
      </c>
    </row>
    <row r="16" spans="1:9" ht="24.95" customHeight="1" thickBot="1">
      <c r="A16" s="286"/>
      <c r="B16" s="286"/>
      <c r="C16" s="286"/>
      <c r="D16" s="287"/>
      <c r="E16" s="287"/>
      <c r="F16" s="288"/>
      <c r="G16" s="288"/>
      <c r="H16" s="289"/>
    </row>
    <row r="17" spans="1:9" ht="24.95" customHeight="1" thickBot="1">
      <c r="A17" s="290"/>
      <c r="B17" s="291" t="s">
        <v>224</v>
      </c>
      <c r="C17" s="291"/>
      <c r="D17" s="292">
        <f>SUM(D10:D15)</f>
        <v>145440</v>
      </c>
      <c r="E17" s="292">
        <f>SUM(E10:E15)</f>
        <v>42510</v>
      </c>
      <c r="F17" s="293">
        <f>SUM(F10:F15)</f>
        <v>102930</v>
      </c>
      <c r="G17" s="293"/>
      <c r="H17" s="294">
        <f>SUM(H10:H15)</f>
        <v>8169877</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91.98</v>
      </c>
      <c r="E19" s="672">
        <f>'EXHIBIT B'!C29</f>
        <v>373.36</v>
      </c>
      <c r="F19" s="1159">
        <f t="shared" ref="F19:F25" si="2">ROUND(+D19*E19,0)</f>
        <v>34342</v>
      </c>
      <c r="G19" s="296"/>
      <c r="H19" s="296"/>
    </row>
    <row r="20" spans="1:9" ht="20.100000000000001" customHeight="1">
      <c r="A20" s="612" t="s">
        <v>208</v>
      </c>
      <c r="B20" s="612" t="s">
        <v>125</v>
      </c>
      <c r="C20" s="673" t="s">
        <v>227</v>
      </c>
      <c r="D20" s="680">
        <v>2100</v>
      </c>
      <c r="E20" s="674">
        <f>+'EXHIBIT B'!C30</f>
        <v>236.69</v>
      </c>
      <c r="F20" s="675">
        <f t="shared" si="2"/>
        <v>497049</v>
      </c>
      <c r="G20" s="42"/>
      <c r="H20" s="42"/>
    </row>
    <row r="21" spans="1:9" ht="20.100000000000001" customHeight="1">
      <c r="A21" s="612" t="s">
        <v>208</v>
      </c>
      <c r="B21" s="612" t="s">
        <v>126</v>
      </c>
      <c r="C21" s="673" t="s">
        <v>228</v>
      </c>
      <c r="D21" s="680">
        <v>420</v>
      </c>
      <c r="E21" s="674">
        <f>+'EXHIBIT B'!C30</f>
        <v>236.69</v>
      </c>
      <c r="F21" s="675">
        <f t="shared" si="2"/>
        <v>99410</v>
      </c>
      <c r="G21" s="42"/>
      <c r="H21" s="42"/>
    </row>
    <row r="22" spans="1:9" ht="20.100000000000001" customHeight="1">
      <c r="A22" s="612" t="s">
        <v>208</v>
      </c>
      <c r="B22" s="612" t="s">
        <v>75</v>
      </c>
      <c r="C22" s="673" t="s">
        <v>229</v>
      </c>
      <c r="D22" s="680">
        <v>40.68</v>
      </c>
      <c r="E22" s="674">
        <f>+'EXHIBIT B'!C31</f>
        <v>209.79</v>
      </c>
      <c r="F22" s="675">
        <f t="shared" si="2"/>
        <v>8534</v>
      </c>
      <c r="G22" s="42"/>
      <c r="H22" s="42"/>
    </row>
    <row r="23" spans="1:9" ht="20.100000000000001" customHeight="1">
      <c r="A23" s="612" t="s">
        <v>208</v>
      </c>
      <c r="B23" s="612" t="s">
        <v>127</v>
      </c>
      <c r="C23" s="673" t="s">
        <v>230</v>
      </c>
      <c r="D23" s="680">
        <v>30</v>
      </c>
      <c r="E23" s="674">
        <f>+'EXHIBIT B'!C30</f>
        <v>236.69</v>
      </c>
      <c r="F23" s="675">
        <f t="shared" si="2"/>
        <v>7101</v>
      </c>
      <c r="G23" s="42"/>
      <c r="H23" s="42"/>
    </row>
    <row r="24" spans="1:9" ht="20.100000000000001" customHeight="1">
      <c r="A24" s="1020" t="s">
        <v>208</v>
      </c>
      <c r="B24" s="1020" t="s">
        <v>128</v>
      </c>
      <c r="C24" s="1114">
        <v>40360</v>
      </c>
      <c r="D24" s="1115">
        <v>0</v>
      </c>
      <c r="E24" s="1116">
        <f>+'EXHIBIT B'!C30</f>
        <v>236.69</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2682.66</v>
      </c>
      <c r="E27" s="678"/>
      <c r="F27" s="679">
        <f>SUM(F19:F25)</f>
        <v>646436</v>
      </c>
      <c r="G27" s="300"/>
      <c r="H27" s="300"/>
    </row>
    <row r="28" spans="1:9" ht="20.100000000000001" customHeight="1" thickBot="1">
      <c r="A28" s="301" t="s">
        <v>231</v>
      </c>
      <c r="B28" s="301"/>
      <c r="C28" s="301"/>
      <c r="D28" s="301"/>
      <c r="E28" s="301"/>
      <c r="F28" s="302"/>
      <c r="G28" s="521"/>
      <c r="H28" s="303">
        <f>H17+F27</f>
        <v>8816313</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440</v>
      </c>
      <c r="E34" s="680">
        <v>0</v>
      </c>
      <c r="F34" s="674">
        <f>D34-E34</f>
        <v>440</v>
      </c>
      <c r="G34" s="674">
        <f>'EXHIBIT B'!B20</f>
        <v>30</v>
      </c>
      <c r="H34" s="675">
        <f>ROUND(+F34*G34,0)</f>
        <v>13200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440</v>
      </c>
      <c r="E37" s="306">
        <f>SUM(E33:E36)</f>
        <v>0</v>
      </c>
      <c r="F37" s="307">
        <f>D37-E37</f>
        <v>440</v>
      </c>
      <c r="G37" s="307"/>
      <c r="H37" s="308">
        <f>SUM(H33:H36)</f>
        <v>13200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13200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8829513</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500000</v>
      </c>
      <c r="C55" s="1095" t="s">
        <v>784</v>
      </c>
      <c r="D55" s="1096"/>
      <c r="E55" s="936" t="s">
        <v>785</v>
      </c>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500000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209000</v>
      </c>
      <c r="C64" s="936" t="s">
        <v>786</v>
      </c>
      <c r="D64" s="937"/>
      <c r="E64" s="936" t="s">
        <v>784</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209000</v>
      </c>
      <c r="C70" s="946"/>
      <c r="D70" s="947"/>
      <c r="E70" s="946"/>
      <c r="F70" s="947"/>
    </row>
    <row r="71" spans="1:6" ht="24.95" customHeight="1" thickBot="1">
      <c r="A71" s="280" t="s">
        <v>256</v>
      </c>
      <c r="B71" s="281">
        <f>+B70+B61</f>
        <v>709000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St. Johns River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St. Johns River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603060</v>
      </c>
    </row>
    <row r="13" spans="1:8" ht="20.100000000000001" customHeight="1">
      <c r="A13" s="478" t="s">
        <v>193</v>
      </c>
      <c r="B13" s="176"/>
      <c r="C13" s="169" t="s">
        <v>125</v>
      </c>
      <c r="D13" s="176"/>
      <c r="E13" s="176"/>
      <c r="F13" s="180" t="s">
        <v>220</v>
      </c>
      <c r="G13" s="1149">
        <f>+'EXHIBIT C'!H11+'EXHIBIT C(2)'!E14</f>
        <v>5475438</v>
      </c>
    </row>
    <row r="14" spans="1:8" ht="20.100000000000001" customHeight="1">
      <c r="A14" s="478" t="s">
        <v>193</v>
      </c>
      <c r="B14" s="176"/>
      <c r="C14" s="176" t="s">
        <v>126</v>
      </c>
      <c r="D14" s="176"/>
      <c r="E14" s="176"/>
      <c r="F14" s="180" t="s">
        <v>221</v>
      </c>
      <c r="G14" s="1150">
        <f>+'EXHIBIT C'!H12+'EXHIBIT C(2)'!E15</f>
        <v>1773900</v>
      </c>
    </row>
    <row r="15" spans="1:8" ht="20.100000000000001" customHeight="1">
      <c r="A15" s="478" t="s">
        <v>193</v>
      </c>
      <c r="B15" s="176"/>
      <c r="C15" s="181" t="s">
        <v>273</v>
      </c>
      <c r="D15" s="176"/>
      <c r="E15" s="176"/>
      <c r="F15" s="180" t="s">
        <v>222</v>
      </c>
      <c r="G15" s="1150">
        <f>+'EXHIBIT C'!H13+'EXHIBIT C(2)'!E16</f>
        <v>237063</v>
      </c>
    </row>
    <row r="16" spans="1:8" ht="20.100000000000001" customHeight="1">
      <c r="A16" s="478" t="s">
        <v>193</v>
      </c>
      <c r="B16" s="176"/>
      <c r="C16" s="181" t="s">
        <v>274</v>
      </c>
      <c r="D16" s="176"/>
      <c r="E16" s="176"/>
      <c r="F16" s="180" t="s">
        <v>223</v>
      </c>
      <c r="G16" s="182">
        <f>+'EXHIBIT C'!H14+'EXHIBIT C(2)'!E17</f>
        <v>63860</v>
      </c>
    </row>
    <row r="17" spans="1:7" ht="20.100000000000001" customHeight="1">
      <c r="A17" s="478" t="s">
        <v>193</v>
      </c>
      <c r="B17" s="176"/>
      <c r="C17" s="169" t="s">
        <v>128</v>
      </c>
      <c r="D17" s="176"/>
      <c r="E17" s="176"/>
      <c r="F17" s="179">
        <v>40160</v>
      </c>
      <c r="G17" s="182">
        <f>+'EXHIBIT C'!H15+'EXHIBIT C(2)'!E18</f>
        <v>16556</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8169877</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34342</v>
      </c>
    </row>
    <row r="22" spans="1:7" ht="20.100000000000001" customHeight="1">
      <c r="A22" s="478" t="s">
        <v>208</v>
      </c>
      <c r="B22" s="176"/>
      <c r="C22" s="169" t="s">
        <v>125</v>
      </c>
      <c r="D22" s="176"/>
      <c r="E22" s="176"/>
      <c r="F22" s="180" t="s">
        <v>227</v>
      </c>
      <c r="G22" s="1151">
        <f>+'EXHIBIT C'!F20+'EXHIBIT C(2)'!E23</f>
        <v>497049</v>
      </c>
    </row>
    <row r="23" spans="1:7" ht="20.100000000000001" customHeight="1">
      <c r="A23" s="478" t="s">
        <v>208</v>
      </c>
      <c r="B23" s="176"/>
      <c r="C23" s="176" t="s">
        <v>126</v>
      </c>
      <c r="D23" s="176"/>
      <c r="E23" s="176"/>
      <c r="F23" s="180" t="s">
        <v>228</v>
      </c>
      <c r="G23" s="1152">
        <f>+'EXHIBIT C'!F21+'EXHIBIT C(2)'!E24</f>
        <v>99410</v>
      </c>
    </row>
    <row r="24" spans="1:7" ht="20.100000000000001" customHeight="1">
      <c r="A24" s="478" t="s">
        <v>208</v>
      </c>
      <c r="B24" s="176"/>
      <c r="C24" s="181" t="s">
        <v>273</v>
      </c>
      <c r="D24" s="176"/>
      <c r="E24" s="176"/>
      <c r="F24" s="180" t="s">
        <v>229</v>
      </c>
      <c r="G24" s="1152">
        <f>+'EXHIBIT C'!F22+'EXHIBIT C(2)'!E25</f>
        <v>8534</v>
      </c>
    </row>
    <row r="25" spans="1:7" ht="20.100000000000001" customHeight="1">
      <c r="A25" s="478" t="s">
        <v>208</v>
      </c>
      <c r="B25" s="176"/>
      <c r="C25" s="181" t="s">
        <v>274</v>
      </c>
      <c r="D25" s="176"/>
      <c r="E25" s="176"/>
      <c r="F25" s="180" t="s">
        <v>230</v>
      </c>
      <c r="G25" s="1152">
        <f>+'EXHIBIT C'!F23+'EXHIBIT C(2)'!E26</f>
        <v>7101</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646436</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13200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13200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8829513</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81000</v>
      </c>
    </row>
    <row r="48" spans="1:7" ht="20.100000000000001" customHeight="1">
      <c r="A48" s="478" t="s">
        <v>286</v>
      </c>
      <c r="B48" s="187"/>
      <c r="C48" s="187"/>
      <c r="D48" s="187"/>
      <c r="E48" s="187"/>
      <c r="F48" s="188" t="s">
        <v>287</v>
      </c>
      <c r="G48" s="1153">
        <v>145000</v>
      </c>
    </row>
    <row r="49" spans="1:7" ht="20.100000000000001" customHeight="1">
      <c r="A49" s="478" t="s">
        <v>288</v>
      </c>
      <c r="C49" s="187"/>
      <c r="D49" s="187"/>
      <c r="E49" s="187"/>
      <c r="F49" s="188" t="s">
        <v>289</v>
      </c>
      <c r="G49" s="1153">
        <v>175000</v>
      </c>
    </row>
    <row r="50" spans="1:7" ht="20.100000000000001" customHeight="1">
      <c r="A50" s="478" t="s">
        <v>290</v>
      </c>
      <c r="B50" s="176"/>
      <c r="C50" s="176"/>
      <c r="D50" s="176"/>
      <c r="E50" s="176"/>
      <c r="F50" s="180" t="s">
        <v>291</v>
      </c>
      <c r="G50" s="1153">
        <v>1200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390000</v>
      </c>
    </row>
    <row r="53" spans="1:7" ht="20.100000000000001" customHeight="1">
      <c r="A53" s="478" t="s">
        <v>294</v>
      </c>
      <c r="B53" s="176"/>
      <c r="C53" s="176"/>
      <c r="D53" s="176"/>
      <c r="E53" s="176"/>
      <c r="F53" s="179">
        <v>40450</v>
      </c>
      <c r="G53" s="1153">
        <v>730000</v>
      </c>
    </row>
    <row r="54" spans="1:7" ht="20.100000000000001" customHeight="1">
      <c r="A54" s="478" t="s">
        <v>295</v>
      </c>
      <c r="B54" s="176"/>
      <c r="C54" s="176"/>
      <c r="D54" s="176"/>
      <c r="E54" s="176"/>
      <c r="F54" s="180" t="s">
        <v>296</v>
      </c>
      <c r="G54" s="1153">
        <v>105000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800</v>
      </c>
    </row>
    <row r="58" spans="1:7" ht="20.100000000000001" customHeight="1">
      <c r="A58" s="478" t="s">
        <v>303</v>
      </c>
      <c r="B58" s="176"/>
      <c r="C58" s="176"/>
      <c r="D58" s="176"/>
      <c r="E58" s="176"/>
      <c r="F58" s="180" t="s">
        <v>304</v>
      </c>
      <c r="G58" s="1153">
        <v>14000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440658</v>
      </c>
    </row>
    <row r="61" spans="1:7" ht="20.100000000000001" customHeight="1">
      <c r="A61" s="478" t="s">
        <v>309</v>
      </c>
      <c r="B61" s="176"/>
      <c r="C61" s="176"/>
      <c r="D61" s="176"/>
      <c r="E61" s="176"/>
      <c r="F61" s="180" t="s">
        <v>310</v>
      </c>
      <c r="G61" s="1153">
        <v>386360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64000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11362531</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2100000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2100000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30932430.7552692</v>
      </c>
    </row>
    <row r="78" spans="1:7" ht="20.100000000000001" customHeight="1">
      <c r="A78" s="478" t="s">
        <v>689</v>
      </c>
      <c r="B78" s="176"/>
      <c r="C78" s="176"/>
      <c r="D78" s="176"/>
      <c r="E78" s="176"/>
      <c r="F78" s="179">
        <v>42130</v>
      </c>
      <c r="G78" s="1155">
        <v>1161973</v>
      </c>
    </row>
    <row r="79" spans="1:7" ht="20.100000000000001" customHeight="1">
      <c r="A79" s="480" t="s">
        <v>327</v>
      </c>
      <c r="B79" s="481"/>
      <c r="C79" s="481"/>
      <c r="D79" s="481"/>
      <c r="E79" s="481"/>
      <c r="F79" s="191" t="s">
        <v>328</v>
      </c>
      <c r="G79" s="1153">
        <v>432461</v>
      </c>
    </row>
    <row r="80" spans="1:7" ht="20.100000000000001" customHeight="1">
      <c r="A80" s="478" t="s">
        <v>329</v>
      </c>
      <c r="B80" s="176"/>
      <c r="C80" s="176"/>
      <c r="D80" s="176"/>
      <c r="E80" s="176"/>
      <c r="F80" s="180" t="s">
        <v>330</v>
      </c>
      <c r="G80" s="1155">
        <v>2500</v>
      </c>
    </row>
    <row r="81" spans="1:10" ht="20.100000000000001" customHeight="1">
      <c r="A81" s="478" t="s">
        <v>707</v>
      </c>
      <c r="B81" s="176"/>
      <c r="C81" s="176"/>
      <c r="D81" s="176"/>
      <c r="E81" s="176"/>
      <c r="F81" s="180" t="s">
        <v>331</v>
      </c>
      <c r="G81" s="1155">
        <v>240000</v>
      </c>
    </row>
    <row r="82" spans="1:10" ht="20.100000000000001" customHeight="1">
      <c r="A82" s="478" t="s">
        <v>332</v>
      </c>
      <c r="B82" s="176"/>
      <c r="C82" s="176"/>
      <c r="D82" s="176"/>
      <c r="E82" s="176"/>
      <c r="F82" s="180" t="s">
        <v>333</v>
      </c>
      <c r="G82" s="1154">
        <f>'CHECK SHEET'!D86</f>
        <v>4419727.2447307603</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37189091.999999963</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11000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11000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19000</v>
      </c>
    </row>
    <row r="112" spans="1:7" ht="20.100000000000001" customHeight="1">
      <c r="A112" s="478" t="s">
        <v>361</v>
      </c>
      <c r="B112" s="176"/>
      <c r="C112" s="176"/>
      <c r="D112" s="176"/>
      <c r="E112" s="176"/>
      <c r="F112" s="180" t="s">
        <v>362</v>
      </c>
      <c r="G112" s="432">
        <v>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19000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1334300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500</v>
      </c>
    </row>
    <row r="127" spans="1:7" ht="20.100000000000001" customHeight="1">
      <c r="A127" s="478" t="s">
        <v>378</v>
      </c>
      <c r="B127" s="176"/>
      <c r="C127" s="176"/>
      <c r="D127" s="176"/>
      <c r="E127" s="176"/>
      <c r="F127" s="180" t="s">
        <v>379</v>
      </c>
      <c r="G127" s="432">
        <v>40000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1374800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209000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209000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52265422.999999963</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1068826</v>
      </c>
    </row>
    <row r="148" spans="1:7" ht="20.100000000000001" customHeight="1">
      <c r="A148" s="478" t="s">
        <v>396</v>
      </c>
      <c r="F148" s="180" t="s">
        <v>397</v>
      </c>
      <c r="G148" s="434">
        <v>1156190</v>
      </c>
    </row>
    <row r="149" spans="1:7" ht="20.100000000000001" customHeight="1">
      <c r="A149" s="478" t="s">
        <v>398</v>
      </c>
      <c r="F149" s="180" t="s">
        <v>399</v>
      </c>
      <c r="G149" s="434">
        <v>1694077</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9070558</v>
      </c>
    </row>
    <row r="153" spans="1:7" ht="20.100000000000001" customHeight="1">
      <c r="A153" s="478" t="s">
        <v>406</v>
      </c>
      <c r="B153" s="176"/>
      <c r="C153" s="176"/>
      <c r="D153" s="176"/>
      <c r="E153" s="176"/>
      <c r="F153" s="180" t="s">
        <v>407</v>
      </c>
      <c r="G153" s="434">
        <v>1612900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2741950</v>
      </c>
    </row>
    <row r="163" spans="1:7" ht="20.100000000000001" customHeight="1">
      <c r="A163" s="478" t="s">
        <v>425</v>
      </c>
      <c r="B163" s="176"/>
      <c r="C163" s="176"/>
      <c r="D163" s="176"/>
      <c r="E163" s="176"/>
      <c r="F163" s="180" t="s">
        <v>426</v>
      </c>
      <c r="G163" s="434">
        <v>265650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3923744</v>
      </c>
    </row>
    <row r="166" spans="1:7" ht="20.100000000000001" customHeight="1">
      <c r="A166" s="478" t="s">
        <v>431</v>
      </c>
      <c r="B166" s="176"/>
      <c r="C166" s="176"/>
      <c r="D166" s="176"/>
      <c r="E166" s="176"/>
      <c r="F166" s="180" t="s">
        <v>432</v>
      </c>
      <c r="G166" s="434">
        <v>37000</v>
      </c>
    </row>
    <row r="167" spans="1:7" ht="20.100000000000001" customHeight="1">
      <c r="A167" s="478" t="s">
        <v>433</v>
      </c>
      <c r="B167" s="176"/>
      <c r="C167" s="176"/>
      <c r="D167" s="176"/>
      <c r="E167" s="176"/>
      <c r="F167" s="180" t="s">
        <v>434</v>
      </c>
      <c r="G167" s="434">
        <v>2350518</v>
      </c>
    </row>
    <row r="168" spans="1:7" ht="20.100000000000001" customHeight="1">
      <c r="A168" s="478" t="s">
        <v>435</v>
      </c>
      <c r="B168" s="176"/>
      <c r="C168" s="176"/>
      <c r="D168" s="176"/>
      <c r="E168" s="176"/>
      <c r="F168" s="180" t="s">
        <v>436</v>
      </c>
      <c r="G168" s="434">
        <v>4000</v>
      </c>
    </row>
    <row r="169" spans="1:7" ht="20.100000000000001" customHeight="1">
      <c r="A169" s="478" t="s">
        <v>437</v>
      </c>
      <c r="B169" s="176"/>
      <c r="C169" s="176"/>
      <c r="D169" s="176"/>
      <c r="E169" s="176"/>
      <c r="F169" s="180" t="s">
        <v>438</v>
      </c>
      <c r="G169" s="434">
        <v>148630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1792625</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181500</v>
      </c>
    </row>
    <row r="178" spans="1:7" ht="20.100000000000001" customHeight="1">
      <c r="A178" s="478" t="s">
        <v>452</v>
      </c>
      <c r="B178" s="176"/>
      <c r="C178" s="176"/>
      <c r="D178" s="176"/>
      <c r="E178" s="176"/>
      <c r="F178" s="180" t="s">
        <v>453</v>
      </c>
      <c r="G178" s="434">
        <v>167200</v>
      </c>
    </row>
    <row r="179" spans="1:7" ht="20.100000000000001" customHeight="1">
      <c r="A179" s="478" t="s">
        <v>454</v>
      </c>
      <c r="B179" s="176"/>
      <c r="C179" s="176"/>
      <c r="D179" s="176"/>
      <c r="E179" s="176"/>
      <c r="F179" s="180" t="s">
        <v>455</v>
      </c>
      <c r="G179" s="434">
        <v>2000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153000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1875649</v>
      </c>
    </row>
    <row r="185" spans="1:7" ht="20.100000000000001" customHeight="1">
      <c r="A185" s="478" t="s">
        <v>466</v>
      </c>
      <c r="B185" s="176"/>
      <c r="C185" s="176"/>
      <c r="D185" s="176"/>
      <c r="E185" s="176"/>
      <c r="F185" s="180" t="s">
        <v>467</v>
      </c>
      <c r="G185" s="434">
        <v>3793871</v>
      </c>
    </row>
    <row r="186" spans="1:7" ht="20.100000000000001" customHeight="1">
      <c r="A186" s="478" t="s">
        <v>468</v>
      </c>
      <c r="B186" s="176"/>
      <c r="C186" s="176"/>
      <c r="D186" s="176"/>
      <c r="E186" s="176"/>
      <c r="F186" s="180" t="s">
        <v>469</v>
      </c>
      <c r="G186" s="434">
        <v>200000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9000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f>5611444+3</f>
        <v>5611447</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100000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37960335</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416621</v>
      </c>
    </row>
    <row r="199" spans="1:7" ht="20.100000000000001" customHeight="1">
      <c r="A199" s="478" t="s">
        <v>485</v>
      </c>
      <c r="B199" s="176"/>
      <c r="C199" s="176"/>
      <c r="D199" s="176"/>
      <c r="E199" s="176"/>
      <c r="F199" s="180" t="s">
        <v>486</v>
      </c>
      <c r="G199" s="434">
        <v>54357</v>
      </c>
    </row>
    <row r="200" spans="1:7" ht="20.100000000000001" customHeight="1">
      <c r="A200" s="478" t="s">
        <v>487</v>
      </c>
      <c r="B200" s="176"/>
      <c r="C200" s="176"/>
      <c r="D200" s="176"/>
      <c r="E200" s="176"/>
      <c r="F200" s="180" t="s">
        <v>488</v>
      </c>
      <c r="G200" s="434">
        <v>151755</v>
      </c>
    </row>
    <row r="201" spans="1:7" ht="20.100000000000001" customHeight="1">
      <c r="A201" s="478" t="s">
        <v>489</v>
      </c>
      <c r="B201" s="176"/>
      <c r="C201" s="176"/>
      <c r="D201" s="176"/>
      <c r="E201" s="176"/>
      <c r="F201" s="180" t="s">
        <v>490</v>
      </c>
      <c r="G201" s="434">
        <v>60247</v>
      </c>
    </row>
    <row r="202" spans="1:7" ht="20.100000000000001" customHeight="1">
      <c r="A202" s="478" t="s">
        <v>491</v>
      </c>
      <c r="B202" s="176"/>
      <c r="C202" s="176"/>
      <c r="D202" s="176"/>
      <c r="E202" s="176"/>
      <c r="F202" s="180" t="s">
        <v>492</v>
      </c>
      <c r="G202" s="434">
        <v>1457472</v>
      </c>
    </row>
    <row r="203" spans="1:7" ht="20.100000000000001" customHeight="1">
      <c r="A203" s="478" t="s">
        <v>493</v>
      </c>
      <c r="B203" s="176"/>
      <c r="C203" s="176"/>
      <c r="D203" s="176"/>
      <c r="E203" s="176"/>
      <c r="F203" s="180" t="s">
        <v>494</v>
      </c>
      <c r="G203" s="434">
        <v>66342</v>
      </c>
    </row>
    <row r="204" spans="1:7" ht="20.100000000000001" customHeight="1">
      <c r="A204" s="478" t="s">
        <v>683</v>
      </c>
      <c r="B204" s="176"/>
      <c r="C204" s="176"/>
      <c r="D204" s="176"/>
      <c r="E204" s="176"/>
      <c r="F204" s="972">
        <v>63100</v>
      </c>
      <c r="G204" s="434">
        <v>90647</v>
      </c>
    </row>
    <row r="205" spans="1:7" ht="20.100000000000001" customHeight="1">
      <c r="A205" s="478" t="s">
        <v>495</v>
      </c>
      <c r="B205" s="176"/>
      <c r="C205" s="176"/>
      <c r="D205" s="176"/>
      <c r="E205" s="176"/>
      <c r="F205" s="180" t="s">
        <v>496</v>
      </c>
      <c r="G205" s="434">
        <v>962000</v>
      </c>
    </row>
    <row r="206" spans="1:7" ht="20.100000000000001" customHeight="1">
      <c r="A206" s="478" t="s">
        <v>497</v>
      </c>
      <c r="B206" s="176"/>
      <c r="C206" s="176"/>
      <c r="D206" s="176"/>
      <c r="E206" s="176"/>
      <c r="F206" s="180" t="s">
        <v>498</v>
      </c>
      <c r="G206" s="434">
        <v>1259909</v>
      </c>
    </row>
    <row r="207" spans="1:7" ht="20.100000000000001" customHeight="1">
      <c r="A207" s="478" t="s">
        <v>499</v>
      </c>
      <c r="B207" s="176"/>
      <c r="C207" s="176"/>
      <c r="D207" s="176"/>
      <c r="E207" s="176"/>
      <c r="F207" s="180" t="s">
        <v>500</v>
      </c>
      <c r="G207" s="434">
        <v>2548908</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251718</v>
      </c>
    </row>
    <row r="211" spans="1:9" ht="20.100000000000001" customHeight="1">
      <c r="A211" s="478" t="s">
        <v>506</v>
      </c>
      <c r="B211" s="176"/>
      <c r="C211" s="176"/>
      <c r="D211" s="176"/>
      <c r="E211" s="176"/>
      <c r="F211" s="180" t="s">
        <v>507</v>
      </c>
      <c r="G211" s="434">
        <v>434921</v>
      </c>
    </row>
    <row r="212" spans="1:9" ht="20.100000000000001" customHeight="1">
      <c r="A212" s="478" t="s">
        <v>508</v>
      </c>
      <c r="F212" s="195" t="s">
        <v>509</v>
      </c>
      <c r="G212" s="434">
        <v>1235888</v>
      </c>
    </row>
    <row r="213" spans="1:9" ht="20.100000000000001" customHeight="1">
      <c r="A213" s="478" t="s">
        <v>510</v>
      </c>
      <c r="B213" s="176"/>
      <c r="C213" s="176"/>
      <c r="D213" s="176"/>
      <c r="E213" s="176"/>
      <c r="F213" s="180" t="s">
        <v>511</v>
      </c>
      <c r="G213" s="434">
        <v>255729</v>
      </c>
    </row>
    <row r="214" spans="1:9" ht="20.100000000000001" customHeight="1">
      <c r="A214" s="478" t="s">
        <v>512</v>
      </c>
      <c r="B214" s="176"/>
      <c r="C214" s="176"/>
      <c r="D214" s="176"/>
      <c r="E214" s="176"/>
      <c r="F214" s="180" t="s">
        <v>513</v>
      </c>
      <c r="G214" s="434">
        <v>162261</v>
      </c>
    </row>
    <row r="215" spans="1:9" ht="20.100000000000001" customHeight="1">
      <c r="A215" s="478" t="s">
        <v>514</v>
      </c>
      <c r="B215" s="176"/>
      <c r="C215" s="176"/>
      <c r="D215" s="176"/>
      <c r="E215" s="176"/>
      <c r="F215" s="180" t="s">
        <v>515</v>
      </c>
      <c r="G215" s="434">
        <v>203393</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850000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500000</v>
      </c>
    </row>
    <row r="224" spans="1:9" ht="20.100000000000001" customHeight="1">
      <c r="A224" s="478" t="s">
        <v>528</v>
      </c>
      <c r="B224" s="176"/>
      <c r="C224" s="176"/>
      <c r="D224" s="176"/>
      <c r="E224" s="176"/>
      <c r="F224" s="180" t="s">
        <v>529</v>
      </c>
      <c r="G224" s="434">
        <v>117000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225000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11304168</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13000</v>
      </c>
    </row>
    <row r="233" spans="1:7" ht="20.100000000000001" customHeight="1">
      <c r="A233" s="478" t="s">
        <v>537</v>
      </c>
      <c r="B233" s="176"/>
      <c r="C233" s="176"/>
      <c r="D233" s="176"/>
      <c r="E233" s="176"/>
      <c r="F233" s="180" t="s">
        <v>538</v>
      </c>
      <c r="G233" s="434">
        <v>260000</v>
      </c>
    </row>
    <row r="234" spans="1:7" ht="20.100000000000001" customHeight="1">
      <c r="A234" s="478" t="s">
        <v>539</v>
      </c>
      <c r="B234" s="176"/>
      <c r="C234" s="176"/>
      <c r="D234" s="176"/>
      <c r="E234" s="176"/>
      <c r="F234" s="180" t="s">
        <v>540</v>
      </c>
      <c r="G234" s="434">
        <v>1181038</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15000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100000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1569038</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50833541</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200000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21936204</v>
      </c>
    </row>
    <row r="260" spans="1:12" ht="20.100000000000001" customHeight="1">
      <c r="A260" s="478" t="s">
        <v>564</v>
      </c>
      <c r="B260" s="176"/>
      <c r="C260" s="176"/>
      <c r="D260" s="176"/>
      <c r="E260" s="176"/>
      <c r="F260" s="189">
        <v>31100</v>
      </c>
      <c r="G260" s="582">
        <v>3829986</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25966190</v>
      </c>
    </row>
    <row r="263" spans="1:12" ht="20.100000000000001" customHeight="1">
      <c r="A263" s="479"/>
      <c r="B263" s="176"/>
      <c r="C263" s="176"/>
      <c r="D263" s="176"/>
      <c r="E263" s="176"/>
      <c r="F263" s="189"/>
      <c r="G263" s="205"/>
    </row>
    <row r="264" spans="1:12" ht="20.100000000000001" customHeight="1" thickBot="1">
      <c r="A264" s="490" t="s">
        <v>762</v>
      </c>
      <c r="F264" s="195">
        <v>30800</v>
      </c>
      <c r="G264" s="1156">
        <v>-25627614</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338576</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ee822479-6e51-4d14-b6b0-2c589e913e66"/>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2025-06-24T21:42:19Z</cp:lastPrinted>
  <dcterms:created xsi:type="dcterms:W3CDTF">2005-03-22T15:46:43Z</dcterms:created>
  <dcterms:modified xsi:type="dcterms:W3CDTF">2025-08-06T15:41:00Z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