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J:\Finance\FCS Finance Website\2025-26 Reports\Operating Budgets\"/>
    </mc:Choice>
  </mc:AlternateContent>
  <xr:revisionPtr revIDLastSave="0" documentId="13_ncr:1_{674D6ABE-52E2-427C-80FC-56479DE4E7CC}" xr6:coauthVersionLast="47" xr6:coauthVersionMax="47" xr10:uidLastSave="{00000000-0000-0000-0000-000000000000}"/>
  <workbookProtection workbookAlgorithmName="SHA-512" workbookHashValue="T/VC6KMvIcEjjPhz2J7QOT5mpgvNag4VK1gZIu1FlBq7aJnpfu5K0wx44oqgsbgrNsycr18a8H6AijBp10ILxA==" workbookSaltValue="LOZwK2dMtDcnh3jltfNz9A==" workbookSpinCount="100000" lockStructure="1"/>
  <bookViews>
    <workbookView xWindow="16080" yWindow="-120" windowWidth="29040" windowHeight="15720" tabRatio="769" firstSheet="3" activeTab="4"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G'!$C$116:$C$128</definedName>
    <definedName name="AccountTitle">'EXHIBIT D'!$A$9</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G'!$A$96</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2">'EXHIBIT C'!$B$32</definedName>
    <definedName name="DISCIPLINE">'EXHIBIT C'!$B$9</definedName>
    <definedName name="Discipline4">'EXHIBIT C(2)'!$B$12</definedName>
    <definedName name="Enter_amounts_only_for_cells_highlighted_in_light_yellow.">'EXHIBIT G'!$A$7</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LEDGER_CODE">'EXHIBIT C(2)'!$C$12</definedName>
    <definedName name="GL25p">'EXHIBIT G'!$C$61</definedName>
    <definedName name="GLC">'EXHIBIT G'!$C$8</definedName>
    <definedName name="GLC21b">'EXHIBIT G'!$C$115</definedName>
    <definedName name="GLC23b">'EXHIBIT G'!$C$96</definedName>
    <definedName name="GLCode2">'EXHIBIT C'!$C$39</definedName>
    <definedName name="Ledger">'EXHIBIT C(2)'!$C$21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UT_OF_STATE_FEES">'EXHIBIT B'!$C$28</definedName>
    <definedName name="PERSONNEL____GLC_500S">'EXHIBIT E'!$B$9</definedName>
    <definedName name="PLANNED">'EXHIBIT G'!$B$61</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D'!$A$10:$G$266</definedName>
    <definedName name="_xlnm.Print_Area" localSheetId="9">'EXHIBIT E'!$A$1:$E$21</definedName>
    <definedName name="_xlnm.Print_Area" localSheetId="10">'EXHIBIT F'!$A$1:$B$50</definedName>
    <definedName name="_xlnm.Print_Area" localSheetId="11">'EXHIBIT G'!$A$1:$F$136</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PURPOSE_OF_TRANSFER">'EXHIBIT C'!$A$52</definedName>
    <definedName name="RESTRICTED_SOURCES">'EXHIBIT G'!$E$8</definedName>
    <definedName name="restrictedandunrestrictedsources">'EXHIBIT G'!$F$115</definedName>
    <definedName name="RestrictedSources">'EXHIBIT G'!$E$96</definedName>
    <definedName name="Restrictedsources1">'EXHIBIT G'!$E$115</definedName>
    <definedName name="RSources">'EXHIBIT G'!$E$61</definedName>
    <definedName name="SOURCES_OF_FUNDS">'EXHIBIT G'!$A$115</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TECHNOLOGY_FEE__1">'EXHIBIT B'!$F$13</definedName>
    <definedName name="TOTAL">'EXHIBIT B'!$G$13</definedName>
    <definedName name="TOTAL_ANNUAL_HEADCOUNT_UNDUPLICATED_BY_TERM_BLOCK">'EXHIBIT C'!$D$39</definedName>
    <definedName name="TOTAL_FEE_PAYING">'EXHIBIT C'!$F$9</definedName>
    <definedName name="TOTAL_PLANNED_CREDIT_HOURS">'EXHIBIT C'!$D$9</definedName>
    <definedName name="TOTAL_UNRESTRICTED_AND_RESTRICTED_SOURCES">'EXHIBIT G'!$F$8</definedName>
    <definedName name="total25b">'EXHIBIT G'!$F$61</definedName>
    <definedName name="Total4">'EXHIBIT E'!$E$9</definedName>
    <definedName name="Totalsources">'EXHIBIT G'!$F$96</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G'!$D$115</definedName>
    <definedName name="UNRESTRICTED_SOURCES">'EXHIBIT G'!$D$8</definedName>
    <definedName name="UNSources">'EXHIBIT G'!$D$61</definedName>
    <definedName name="UPDATED_CHARGE_PER_STUDENT_CREDIT_HOUR">'EXHIBIT C(2)'!$D$21</definedName>
    <definedName name="USouces24">'EXHIBIT G'!$D$96</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G'!$A$1:$E$122</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8" l="1"/>
  <c r="E14" i="4"/>
  <c r="G186" i="7"/>
  <c r="C18" i="8"/>
  <c r="C20" i="8"/>
  <c r="G233" i="7"/>
  <c r="G226" i="7"/>
  <c r="C14" i="8"/>
  <c r="G207" i="7"/>
  <c r="G211" i="7"/>
  <c r="G198" i="7"/>
  <c r="B25" i="23" l="1"/>
  <c r="D13" i="6"/>
  <c r="D12" i="6"/>
  <c r="D11" i="6"/>
  <c r="E13" i="6"/>
  <c r="E12" i="6"/>
  <c r="E11" i="6"/>
  <c r="E30" i="12" l="1"/>
  <c r="D27" i="6"/>
  <c r="H32" i="5"/>
  <c r="I32" i="5" s="1"/>
  <c r="D54" i="23"/>
  <c r="E53" i="23"/>
  <c r="E52" i="23"/>
  <c r="E48" i="23"/>
  <c r="E46" i="23"/>
  <c r="E47" i="23"/>
  <c r="E25" i="6" l="1"/>
  <c r="F25" i="6" s="1"/>
  <c r="G27" i="7" s="1"/>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5" i="15" l="1"/>
  <c r="F103" i="15"/>
  <c r="F102"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3"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0"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5"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D56" i="15"/>
  <c r="E56" i="15"/>
  <c r="F63" i="15"/>
  <c r="F64" i="15"/>
  <c r="F65" i="15"/>
  <c r="F66" i="15"/>
  <c r="F67" i="15"/>
  <c r="F68" i="15"/>
  <c r="F70" i="15"/>
  <c r="F71" i="15"/>
  <c r="F72" i="15"/>
  <c r="F73" i="15"/>
  <c r="F74" i="15"/>
  <c r="F75" i="15"/>
  <c r="F76" i="15"/>
  <c r="F77" i="15"/>
  <c r="F78" i="15"/>
  <c r="F79" i="15"/>
  <c r="F80" i="15"/>
  <c r="F81" i="15"/>
  <c r="F82" i="15"/>
  <c r="F83" i="15"/>
  <c r="F84" i="15"/>
  <c r="F85" i="15"/>
  <c r="F86" i="15"/>
  <c r="F87" i="15"/>
  <c r="F88" i="15"/>
  <c r="F89" i="15"/>
  <c r="F90" i="15"/>
  <c r="F91" i="15"/>
  <c r="D92" i="15"/>
  <c r="E92" i="15"/>
  <c r="F97" i="15"/>
  <c r="F98" i="15"/>
  <c r="F99" i="15"/>
  <c r="F100" i="15"/>
  <c r="F101" i="15"/>
  <c r="F104" i="15"/>
  <c r="F106" i="15"/>
  <c r="F107" i="15"/>
  <c r="F108" i="15"/>
  <c r="F109" i="15"/>
  <c r="D110" i="15"/>
  <c r="E110" i="15"/>
  <c r="F119" i="15"/>
  <c r="F120" i="15"/>
  <c r="F121" i="15"/>
  <c r="F122" i="15"/>
  <c r="F123" i="15"/>
  <c r="F124" i="15"/>
  <c r="F125" i="15"/>
  <c r="F126" i="15"/>
  <c r="F127" i="15"/>
  <c r="E128"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6" i="7"/>
  <c r="E15" i="8"/>
  <c r="E37" i="6"/>
  <c r="D37" i="6"/>
  <c r="D44" i="6"/>
  <c r="E17" i="6"/>
  <c r="G20" i="5"/>
  <c r="H20" i="5"/>
  <c r="G19" i="5"/>
  <c r="H19" i="5"/>
  <c r="G22" i="5"/>
  <c r="H22" i="5" s="1"/>
  <c r="G23" i="5"/>
  <c r="H23" i="5" s="1"/>
  <c r="E20" i="12"/>
  <c r="E31" i="12"/>
  <c r="G194" i="7"/>
  <c r="D21" i="8"/>
  <c r="E59" i="3"/>
  <c r="C95" i="12"/>
  <c r="B31" i="5"/>
  <c r="H31" i="5"/>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2" i="7"/>
  <c r="G266" i="7" s="1"/>
  <c r="C102" i="3" s="1"/>
  <c r="E67" i="22"/>
  <c r="E14" i="8"/>
  <c r="G228" i="7"/>
  <c r="X137" i="23"/>
  <c r="E60" i="22"/>
  <c r="H36" i="6"/>
  <c r="G34" i="7" s="1"/>
  <c r="E62" i="22"/>
  <c r="D17" i="6"/>
  <c r="F12" i="6"/>
  <c r="F11" i="6"/>
  <c r="E45" i="3" s="1"/>
  <c r="F14" i="6"/>
  <c r="F15" i="6"/>
  <c r="E49" i="3" s="1"/>
  <c r="F10" i="6"/>
  <c r="E44" i="3" s="1"/>
  <c r="E47" i="3"/>
  <c r="C93" i="3" l="1"/>
  <c r="H11" i="6"/>
  <c r="G13" i="7" s="1"/>
  <c r="H30" i="5"/>
  <c r="I30" i="5" s="1"/>
  <c r="H36" i="5"/>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E69" i="22"/>
  <c r="D62" i="22"/>
  <c r="F17" i="6"/>
  <c r="E50" i="3" s="1"/>
  <c r="B71" i="6"/>
  <c r="E21" i="8"/>
  <c r="C77" i="3"/>
  <c r="E65" i="3"/>
  <c r="G77" i="7"/>
  <c r="G86" i="7" s="1"/>
  <c r="D88" i="3"/>
  <c r="F110" i="15"/>
  <c r="G248" i="7"/>
  <c r="C94" i="3"/>
  <c r="C103" i="3"/>
  <c r="D118" i="15"/>
  <c r="C110" i="3"/>
  <c r="C114" i="3" s="1"/>
  <c r="E112" i="15"/>
  <c r="E130" i="15" s="1"/>
  <c r="F92" i="15"/>
  <c r="D112" i="15"/>
  <c r="F56"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8" i="3" l="1"/>
  <c r="G48" i="3" s="1"/>
  <c r="F46" i="3"/>
  <c r="G46" i="3" s="1"/>
  <c r="G36" i="7"/>
  <c r="H37" i="6"/>
  <c r="H45" i="6"/>
  <c r="G38" i="7"/>
  <c r="G43" i="7" s="1"/>
  <c r="H17" i="6"/>
  <c r="H28" i="6" s="1"/>
  <c r="H47" i="6" s="1"/>
  <c r="E25" i="4"/>
  <c r="E28" i="4" s="1"/>
  <c r="D68" i="22"/>
  <c r="D69" i="22"/>
  <c r="D70" i="22"/>
  <c r="G12" i="7"/>
  <c r="G19" i="7" s="1"/>
  <c r="G45" i="7" s="1"/>
  <c r="G65" i="7" s="1"/>
  <c r="G143" i="7" s="1"/>
  <c r="D117" i="15"/>
  <c r="D128" i="15" s="1"/>
  <c r="D130" i="15" s="1"/>
  <c r="E84" i="3"/>
  <c r="E88" i="3" s="1"/>
  <c r="F112" i="15"/>
  <c r="C96" i="3"/>
  <c r="C121" i="3"/>
  <c r="F118"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C126" i="3" l="1"/>
  <c r="F117" i="15"/>
  <c r="F128" i="15" s="1"/>
  <c r="C119" i="3"/>
  <c r="E18" i="4"/>
  <c r="E21" i="4" s="1"/>
  <c r="E23" i="4" s="1"/>
  <c r="E44" i="4" s="1"/>
  <c r="C17" i="3" s="1"/>
  <c r="F84" i="3"/>
  <c r="F88" i="3" s="1"/>
  <c r="C34" i="3"/>
  <c r="F130"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FTE-2A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A109 to S137</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A109 to S136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tc={B48468A9-3461-4F32-B791-2EFF870A63E9}</author>
  </authors>
  <commentList>
    <comment ref="G79"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B48468A9-3461-4F32-B791-2EFF870A63E9}">
      <text>
        <t>[Threaded comment]
Your version of Excel allows you to read this threaded comment; however, any edits to it will get removed if the file is opened in a newer version of Excel. Learn more: https://go.microsoft.com/fwlink/?linkid=870924
Comment:
Reminder:  Enter G.L. 30800 as a negative.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<sst xmlns="http://schemas.openxmlformats.org/spreadsheetml/2006/main" count="1310" uniqueCount="793">
  <si>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</si>
  <si>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</si>
  <si>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</si>
  <si>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</si>
  <si>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</si>
  <si>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</si>
  <si>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</si>
  <si>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</si>
  <si>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</si>
  <si>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</si>
  <si>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</si>
  <si>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</si>
  <si>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</si>
  <si>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</si>
  <si>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</si>
  <si>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</si>
  <si>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</si>
  <si>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</si>
  <si>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</si>
  <si>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</si>
  <si>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</si>
  <si>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</si>
  <si>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</si>
  <si>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</si>
  <si>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</si>
  <si>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</si>
  <si>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</si>
  <si>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</si>
  <si>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</si>
  <si>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</si>
  <si>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</si>
  <si>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</si>
  <si>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</si>
  <si>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</si>
  <si>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</si>
  <si>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</si>
  <si>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</si>
  <si>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</si>
  <si>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</si>
  <si>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</si>
  <si>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</si>
  <si>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</si>
  <si>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</si>
  <si>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</si>
  <si>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</si>
  <si>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</si>
  <si>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</si>
  <si>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</si>
  <si>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</si>
  <si>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</si>
  <si>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</si>
  <si>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</si>
  <si>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</si>
  <si>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</si>
  <si>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</si>
  <si>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</si>
  <si>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</si>
  <si>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</si>
  <si>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</si>
  <si>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</si>
  <si>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</si>
  <si>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</si>
  <si>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</si>
  <si>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</si>
  <si>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</si>
  <si>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</si>
  <si>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</si>
  <si>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</si>
  <si>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</si>
  <si>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</si>
  <si>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</si>
  <si>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</si>
  <si>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</si>
  <si>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</si>
  <si>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</si>
  <si>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</si>
  <si>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</si>
  <si>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</si>
  <si>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</si>
  <si>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</si>
  <si>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</si>
  <si>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</si>
  <si>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</si>
  <si>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</si>
  <si>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</si>
  <si>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</si>
  <si>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</si>
  <si>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</si>
  <si>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</si>
  <si>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</si>
  <si>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</si>
  <si>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</si>
  <si>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</si>
  <si>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</si>
  <si>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</si>
  <si>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</si>
  <si>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</si>
  <si>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</si>
  <si>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</si>
  <si>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</si>
  <si>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</si>
  <si>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</si>
  <si>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</si>
  <si>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</si>
  <si>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</si>
  <si>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</si>
  <si>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</si>
  <si>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</si>
  <si>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</si>
  <si>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</si>
  <si>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</si>
  <si>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</si>
  <si>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</si>
  <si>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</si>
  <si>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</si>
  <si>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</si>
  <si>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</si>
  <si>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</si>
  <si>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</si>
  <si>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</si>
  <si>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</si>
  <si>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</si>
  <si>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</si>
  <si>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</si>
  <si>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</si>
  <si>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</si>
  <si>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</si>
  <si>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</si>
  <si>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</si>
  <si>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</si>
  <si>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</si>
  <si>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</si>
  <si>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</si>
  <si>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</si>
  <si>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</si>
  <si>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</si>
  <si>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</si>
  <si>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</si>
  <si>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</si>
  <si>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</si>
  <si>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</si>
  <si>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</si>
  <si>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</si>
  <si>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</si>
  <si>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</si>
  <si>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</si>
  <si>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</si>
  <si>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</si>
  <si>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</si>
  <si>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</si>
  <si>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</si>
  <si>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</si>
  <si>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</si>
  <si>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</si>
  <si>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</si>
  <si>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</si>
  <si>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</si>
  <si>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</si>
  <si>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</si>
  <si>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</si>
  <si>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</si>
  <si>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</si>
  <si>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</si>
  <si>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</si>
  <si>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</si>
  <si>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</si>
  <si>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</si>
  <si>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</si>
  <si>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</si>
  <si>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</si>
  <si>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</si>
  <si>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</si>
  <si>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</si>
  <si>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</si>
  <si>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</si>
  <si>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</si>
  <si>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</si>
  <si>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</si>
  <si>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</si>
  <si>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</si>
  <si>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</si>
  <si>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</si>
  <si>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</si>
  <si>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</si>
  <si>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</si>
  <si>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</si>
  <si>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</si>
  <si>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</si>
  <si>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</si>
  <si>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</si>
  <si>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</si>
  <si>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</si>
  <si>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</si>
  <si>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</si>
  <si>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</si>
  <si>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</si>
  <si>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</si>
  <si>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</si>
  <si>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</si>
  <si>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</si>
  <si>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</si>
  <si>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</si>
  <si>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</si>
  <si>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</si>
  <si>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</si>
  <si>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</si>
  <si>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</si>
  <si>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</si>
  <si>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</si>
  <si>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</si>
  <si>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</si>
  <si>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</si>
  <si>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</si>
  <si>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</si>
  <si>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</si>
  <si>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</si>
  <si>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</si>
  <si>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</si>
  <si>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</si>
  <si>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</si>
  <si>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</si>
  <si>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</si>
  <si>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</si>
  <si>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</si>
  <si>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</si>
  <si>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</si>
  <si>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</si>
  <si>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</si>
  <si>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</si>
  <si>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</si>
  <si>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</si>
  <si>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</si>
  <si>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</si>
  <si>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</si>
  <si>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</si>
  <si>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</si>
  <si>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</si>
  <si>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</si>
  <si>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</si>
  <si>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</si>
  <si>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</si>
  <si>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</si>
  <si>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</si>
  <si>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</si>
  <si>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</si>
  <si>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</si>
  <si>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</si>
  <si>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</si>
  <si>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</si>
  <si>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</si>
  <si>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</si>
  <si>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</si>
  <si>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</si>
  <si>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</si>
  <si>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</si>
  <si>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</si>
  <si>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</si>
  <si>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</si>
  <si>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</si>
  <si>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</si>
  <si>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</si>
  <si>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</si>
  <si>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</si>
  <si>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</si>
  <si>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</si>
  <si>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</si>
  <si>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</si>
  <si>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</si>
  <si>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</si>
  <si>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</si>
  <si>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</si>
  <si>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</si>
  <si>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</si>
  <si>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</si>
  <si>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</si>
  <si>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</si>
  <si>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</si>
  <si>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</si>
  <si>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</si>
  <si>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</si>
  <si>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</si>
  <si>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</si>
  <si>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</si>
  <si>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</si>
  <si>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</si>
  <si>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</si>
  <si>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</si>
  <si>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</si>
  <si>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</si>
  <si>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</si>
  <si>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</si>
  <si>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</si>
  <si>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</si>
  <si>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</si>
  <si>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</si>
  <si>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</si>
  <si>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</si>
  <si>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</si>
  <si>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</si>
  <si>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</si>
  <si>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</si>
  <si>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</si>
  <si>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</si>
  <si>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</si>
  <si>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</si>
  <si>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</si>
  <si>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</si>
  <si>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</si>
  <si>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</si>
  <si>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</si>
  <si>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</si>
  <si>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</si>
  <si>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</si>
  <si>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</si>
  <si>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</si>
  <si>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</si>
  <si>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</si>
  <si>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</si>
  <si>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</si>
  <si>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</si>
  <si>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</si>
  <si>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</si>
  <si>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</si>
  <si>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</si>
  <si>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</si>
  <si>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</si>
  <si>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</si>
  <si>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</si>
  <si>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</si>
  <si>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</si>
  <si>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</si>
  <si>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</si>
  <si>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</si>
  <si>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</si>
  <si>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</si>
  <si>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</si>
  <si>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</si>
  <si>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</si>
  <si>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</si>
  <si>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</si>
  <si>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</si>
  <si>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</si>
  <si>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</si>
  <si>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</si>
  <si>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</si>
  <si>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</si>
  <si>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</si>
  <si>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</si>
  <si>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</si>
  <si>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</si>
  <si>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</si>
  <si>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</si>
  <si>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</si>
  <si>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</si>
  <si>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</si>
  <si>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</si>
  <si>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</si>
  <si>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</si>
  <si>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</si>
  <si>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</si>
  <si>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</si>
  <si>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</si>
  <si>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</si>
  <si>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</si>
  <si>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</si>
  <si>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</si>
  <si>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</si>
  <si>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</si>
  <si>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</si>
  <si>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</si>
  <si>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</si>
  <si>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</si>
  <si>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</si>
  <si>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</si>
  <si>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</si>
  <si>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</si>
  <si>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</si>
  <si>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</si>
  <si>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</si>
  <si>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</si>
  <si>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</si>
  <si>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</si>
  <si>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</si>
  <si>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</si>
  <si>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</si>
  <si>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</si>
  <si>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</si>
  <si>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</si>
  <si>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</si>
  <si>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</si>
  <si>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</si>
  <si>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</si>
  <si>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</si>
  <si>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</si>
  <si>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</si>
  <si>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</si>
  <si>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</si>
  <si>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</si>
  <si>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</si>
  <si>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</si>
  <si>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</si>
  <si>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</si>
  <si>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</si>
  <si>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</si>
  <si>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</si>
  <si>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</si>
  <si>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</si>
  <si>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</si>
  <si>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</si>
  <si>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</si>
  <si>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</si>
  <si>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</si>
  <si>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</si>
  <si>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</si>
  <si>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</si>
  <si>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</si>
  <si>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</si>
  <si>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</si>
  <si>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</si>
  <si>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</si>
  <si>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</si>
  <si>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</si>
  <si>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</si>
  <si>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</si>
  <si>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</si>
  <si>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</si>
  <si>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</si>
  <si>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</si>
  <si>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</si>
  <si>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</si>
  <si>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</si>
  <si>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</si>
  <si>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</si>
  <si>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</si>
  <si>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</si>
  <si>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</si>
  <si>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</si>
  <si>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</si>
  <si>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</si>
  <si>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</si>
  <si>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</si>
  <si>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</si>
  <si>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</si>
  <si>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</si>
  <si>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</si>
  <si>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</si>
  <si>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</si>
  <si>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</si>
  <si>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</si>
  <si>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</si>
  <si>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</si>
  <si>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</si>
  <si>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</si>
  <si>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</si>
  <si>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</si>
  <si>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</si>
  <si>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</si>
  <si>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</si>
  <si>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</si>
  <si>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</si>
  <si>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</si>
  <si>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</si>
  <si>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</si>
  <si>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</si>
  <si>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</si>
  <si>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</si>
  <si>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</si>
  <si>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</si>
  <si>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</si>
  <si>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</si>
  <si>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</si>
  <si>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</si>
  <si>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</si>
  <si>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</si>
  <si>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</si>
  <si>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</si>
  <si>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</si>
  <si>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</si>
  <si>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</si>
  <si>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</si>
  <si>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</si>
  <si>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</si>
  <si>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</si>
  <si>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</si>
  <si>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</si>
  <si>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</si>
  <si>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</si>
  <si>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</si>
  <si>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</si>
  <si>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</si>
  <si>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</si>
  <si>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</si>
  <si>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</si>
  <si>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</si>
  <si>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</si>
  <si>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</si>
  <si>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</si>
  <si>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</si>
  <si>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</si>
  <si>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</si>
  <si>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</si>
  <si>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</si>
  <si>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</si>
  <si>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</si>
  <si>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</si>
  <si>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</si>
  <si>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</si>
  <si>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</si>
  <si>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</si>
  <si>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</si>
  <si>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</si>
  <si>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</si>
  <si>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</si>
  <si>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</si>
  <si>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</si>
  <si>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</si>
  <si>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</si>
  <si>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</si>
  <si>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</si>
  <si>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</si>
  <si>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</si>
  <si>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</si>
  <si>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</si>
  <si>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</si>
  <si>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</si>
  <si>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</si>
  <si>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</si>
  <si>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</si>
  <si>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</si>
  <si>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</si>
  <si>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</si>
  <si>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</si>
  <si>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</si>
  <si>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</si>
  <si>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</si>
  <si>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</si>
  <si>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</si>
  <si>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</si>
  <si>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</si>
  <si>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</si>
  <si>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</si>
  <si>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</si>
  <si>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</si>
  <si>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</si>
  <si>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</si>
  <si>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</si>
  <si>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</si>
  <si>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</si>
  <si>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</si>
  <si>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</si>
  <si>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</si>
  <si>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</si>
  <si>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</si>
  <si>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</si>
  <si>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</si>
  <si>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</si>
  <si>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</si>
  <si>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</si>
  <si>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</si>
  <si>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</si>
  <si>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</si>
  <si>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</si>
  <si>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</si>
  <si>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</si>
  <si>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</si>
  <si>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</si>
  <si>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</si>
  <si>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</si>
  <si>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</si>
  <si>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</si>
  <si>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</si>
  <si>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</si>
  <si>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</si>
  <si>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</si>
  <si>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</si>
  <si>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</si>
  <si>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</si>
  <si>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</si>
  <si>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</si>
  <si>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</si>
  <si>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</si>
  <si>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</si>
  <si>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</si>
  <si>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</si>
  <si>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</si>
  <si>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</si>
  <si>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</si>
  <si>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</si>
  <si>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</si>
  <si>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</si>
  <si>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</si>
  <si>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</si>
  <si>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</si>
  <si>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</si>
  <si>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</si>
  <si>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</si>
  <si>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</si>
  <si>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</si>
  <si>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</si>
  <si>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</si>
  <si>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</si>
  <si>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</si>
  <si>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</si>
  <si>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</si>
  <si>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</si>
  <si>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</si>
  <si>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</si>
  <si>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</si>
  <si>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</si>
  <si>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</si>
  <si>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</si>
  <si>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</si>
  <si>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</si>
  <si>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</si>
  <si>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</si>
  <si>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</si>
  <si>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</si>
  <si>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</si>
  <si>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</si>
  <si>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</si>
  <si>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</si>
  <si>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</si>
  <si>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</si>
  <si>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</si>
  <si>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</si>
  <si>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</si>
  <si>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</si>
  <si>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</si>
  <si>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</si>
  <si>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</si>
  <si>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</si>
  <si>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</si>
  <si>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</si>
  <si>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</si>
  <si>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</si>
  <si>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</si>
  <si>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</si>
  <si>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</si>
  <si>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</si>
  <si>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</si>
  <si>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</si>
  <si>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</si>
  <si>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</si>
  <si>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</si>
  <si>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</si>
  <si>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</si>
  <si>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</si>
  <si>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</si>
  <si>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</si>
  <si>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</si>
  <si>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</si>
  <si>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</si>
  <si>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</si>
  <si>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</si>
  <si>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</si>
  <si>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</si>
  <si>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</si>
  <si>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</si>
  <si>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</si>
  <si>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</si>
  <si>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</si>
  <si>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</si>
  <si>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</si>
  <si>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</si>
  <si>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</si>
  <si>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</si>
  <si>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</si>
  <si>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</si>
  <si>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</si>
  <si>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</si>
  <si>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</si>
  <si>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</si>
  <si>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</si>
  <si>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</si>
  <si>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</si>
  <si>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</si>
  <si>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</si>
  <si>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</si>
  <si>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</si>
  <si>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</si>
  <si>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</si>
  <si>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</si>
  <si>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</si>
  <si>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(LONG-TERM/ASSET&lt;$5,000)</t>
  </si>
  <si>
    <t>UNINSURED LOSS RECOVERY</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</si>
  <si>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</si>
  <si>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</si>
  <si>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</si>
  <si>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</si>
  <si>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</si>
  <si>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</si>
  <si>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</si>
  <si>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</si>
  <si>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</si>
  <si>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</si>
  <si>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</si>
  <si>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</si>
  <si>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</si>
  <si>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</si>
  <si>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</si>
  <si>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</si>
  <si>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</si>
  <si>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</si>
  <si>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</si>
  <si>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</si>
  <si>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</si>
  <si>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</si>
  <si>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</si>
  <si>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</si>
  <si>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</si>
  <si>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</si>
  <si>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</si>
  <si>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</si>
  <si>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</si>
  <si>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</si>
  <si>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 xml:space="preserve">Estimated Unencumbered Fund Balance as of June 30, 2024 (populated from EXHIBIT A) is equal to Total Available Fund Balance as of June 30, 2024 minus the Encumbered Reserves (populated from EXHIBIT D). </t>
  </si>
  <si>
    <t xml:space="preserve">2The 2024-25 General Revenue appropriations does not include the $30,000,000 appropriated for Performance Based Incentive Funding.  </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</si>
  <si>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</si>
  <si>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</si>
  <si>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</si>
  <si>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</si>
  <si>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</si>
  <si>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</si>
  <si>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</si>
  <si>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</si>
  <si>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</si>
  <si>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</si>
  <si>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</si>
  <si>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</si>
  <si>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</si>
  <si>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</si>
  <si>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</si>
  <si>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</si>
  <si>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</si>
  <si>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</si>
  <si>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DISTANCE LEARNING</t>
  </si>
  <si>
    <t>XXXXX</t>
  </si>
  <si>
    <t xml:space="preserve">Note:  </t>
  </si>
  <si>
    <t>DISTANCE LEARNING (2)</t>
  </si>
  <si>
    <t xml:space="preserve"> rates are in compliance with sections 1009.22 and 1009.23, Florida Statutes.</t>
  </si>
  <si>
    <t>credit hour for nonresident tuition and fees for distance learning. Such institutions may phase in this nonresident tuition rate by degree program.</t>
  </si>
  <si>
    <t xml:space="preserve">2025-26 INSTRUCTIONS </t>
  </si>
  <si>
    <t xml:space="preserve"> FALL 2025-26 COLLEGE OPERATING BUDGET CHECK SHEET</t>
  </si>
  <si>
    <t>2025-26</t>
  </si>
  <si>
    <r>
      <t xml:space="preserve">Estimated Unencumbered Fund Balance - </t>
    </r>
    <r>
      <rPr>
        <b/>
        <sz val="16"/>
        <rFont val="Calibri"/>
        <family val="2"/>
        <scheme val="minor"/>
      </rPr>
      <t>As of June 30, 2025</t>
    </r>
  </si>
  <si>
    <r>
      <t xml:space="preserve">Total Available Fund Balance </t>
    </r>
    <r>
      <rPr>
        <b/>
        <sz val="16"/>
        <color indexed="8"/>
        <rFont val="Calibri"/>
        <family val="2"/>
        <scheme val="minor"/>
      </rPr>
      <t xml:space="preserve">June 30, 2025 </t>
    </r>
    <r>
      <rPr>
        <sz val="16"/>
        <color indexed="8"/>
        <rFont val="Calibri"/>
        <family val="2"/>
        <scheme val="minor"/>
      </rPr>
      <t>minus Encumbrances</t>
    </r>
  </si>
  <si>
    <r>
      <t xml:space="preserve">(Beginning Compensated Absence Reserve) - </t>
    </r>
    <r>
      <rPr>
        <b/>
        <sz val="16"/>
        <rFont val="Calibri"/>
        <family val="2"/>
        <scheme val="minor"/>
      </rPr>
      <t>As of July 1, 2025</t>
    </r>
  </si>
  <si>
    <r>
      <t xml:space="preserve">(Ending Compensated Absence Reserve) - </t>
    </r>
    <r>
      <rPr>
        <b/>
        <sz val="16"/>
        <rFont val="Calibri"/>
        <family val="2"/>
        <scheme val="minor"/>
      </rPr>
      <t>Estimated at June 30, 2026</t>
    </r>
  </si>
  <si>
    <t xml:space="preserve"> FISCAL YEAR 2025-26</t>
  </si>
  <si>
    <t>BEGINNING FUND BALANCE - JULY 1, 2025:</t>
  </si>
  <si>
    <r>
      <t xml:space="preserve">ESTIMATED AFR FUND BALANCE - </t>
    </r>
    <r>
      <rPr>
        <b/>
        <sz val="16"/>
        <rFont val="Calibri"/>
        <family val="2"/>
        <scheme val="minor"/>
      </rPr>
      <t>JUNE 30, 2025</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</si>
  <si>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2025</t>
    </r>
  </si>
  <si>
    <t>ESTIMATED FUND BALANCE - JUNE 30, 2025:</t>
  </si>
  <si>
    <r>
      <t xml:space="preserve">TOTAL ESTIMATED RESERVE AND UNENCUMBERED FUND BALANCE - </t>
    </r>
    <r>
      <rPr>
        <b/>
        <sz val="16"/>
        <rFont val="Calibri"/>
        <family val="2"/>
        <scheme val="minor"/>
      </rPr>
      <t>JUNE 30, 2026</t>
    </r>
  </si>
  <si>
    <r>
      <t xml:space="preserve">LESS ESTIMATED AMOUNT EXPECTED TO BE FINANCED IN FUTURE YEARS (GLC 30800) - </t>
    </r>
    <r>
      <rPr>
        <b/>
        <sz val="16"/>
        <rFont val="Calibri"/>
        <family val="2"/>
        <scheme val="minor"/>
      </rPr>
      <t>JUNE 30, 2026</t>
    </r>
  </si>
  <si>
    <t>TOTAL ESTIMATED FUND BALANCE - JUNE 30, 2026</t>
  </si>
  <si>
    <r>
      <t>ESTIMATED UNENCUMBERED FUND BALANCE -</t>
    </r>
    <r>
      <rPr>
        <b/>
        <sz val="16"/>
        <rFont val="Calibri"/>
        <family val="2"/>
        <scheme val="minor"/>
      </rPr>
      <t xml:space="preserve"> JUNE 30, 2026</t>
    </r>
  </si>
  <si>
    <t>AS OF JUNE 30, 2026, TO ESTIMATED FUNDS AVAILABLE</t>
  </si>
  <si>
    <t xml:space="preserve">FALL 2025-26 STUDENT TUITION AND FEE RATES AND BLOCK TUITION </t>
  </si>
  <si>
    <t>(1) These Fees Are Not Required. The 2025-26 Fee Audit and Discretionary Fee calculations are provided at the end of the Workbook, to assist the college in verifying that the tuition and fee</t>
  </si>
  <si>
    <t>FALL 2025-26 BUDGET WORKSHEET FOR ESTIMATED STUDENT TUITION AND TRANSFERS</t>
  </si>
  <si>
    <t>FOR THE FISCAL YEAR 2025-26</t>
  </si>
  <si>
    <t>AMOUNT EXPECTED TO BE FINANCED IN FUTURE YEARS - ESTIMATED AS OF JUNE 30, 2026</t>
  </si>
  <si>
    <t>FISCAL YEAR 2025-26</t>
  </si>
  <si>
    <t>FALL 2025-26 TUITION INCREASED BY 0%</t>
  </si>
  <si>
    <t>updated 4.28.25 EN</t>
  </si>
  <si>
    <t>2025-26 FINANCIAL AID FEES ADDITIONAL 2% CALCULATION</t>
  </si>
  <si>
    <t>DIVISION'S ESTIMATES BASED ON THE 2024-25 FTE-2A REPORT</t>
  </si>
  <si>
    <t>J:\Finance\Operating Budgets - current year\2025-26 OPERATING BUDGET\Forms and Instructions\Working Documents</t>
  </si>
  <si>
    <t>UPDATE THE CELLS HIGHLIGHTED IN YELLOW USING THE SOURCE DATA AT:  J:\Finance\Fees\2024-25\Fee Calculator 2024-25 (Using 2024-25 FTE-2A) FALL 2024 FEES 4.24.25.DRS.xlsx</t>
  </si>
  <si>
    <t xml:space="preserve"> TOTAL 2025-26 PROJECTED TUITION AND OUT-OF-STATE FEE REVENUE</t>
  </si>
  <si>
    <t>OTHER LICENSES</t>
  </si>
  <si>
    <t>LEASE PAYMENTS, CAPITALIZED</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</si>
  <si>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</si>
  <si>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TUITION - DUAL ENROLLMENT</t>
  </si>
  <si>
    <t>2025-26 COLLEGE OPERATING BUDGET</t>
  </si>
  <si>
    <t>EXIBIT D</t>
  </si>
  <si>
    <t>ADDED</t>
  </si>
  <si>
    <t>Total 2024-25 Estimated FTE-2A Report</t>
  </si>
  <si>
    <t>This amount should agree with 2024-25 FTE-2A Report (Cell L82)</t>
  </si>
  <si>
    <t>THIS IS THE DIVISION'S ESTIMATES BASED ON THE 2024-25 ESTIMATED FTE-2A  REPORT</t>
  </si>
  <si>
    <t>Date Updated:   05.02.25;    BY:  EN</t>
  </si>
  <si>
    <r>
      <t xml:space="preserve">The completed board-approved operating budget forms should be submitted electronically to collegereporting@fldoe.org, </t>
    </r>
    <r>
      <rPr>
        <b/>
        <u/>
        <sz val="16"/>
        <rFont val="Calibri"/>
        <family val="2"/>
        <scheme val="minor"/>
      </rPr>
      <t>no later than Monday, June 30, 2025, to receive the scheduled disbursement of funds on or around July 15, 2025</t>
    </r>
    <r>
      <rPr>
        <b/>
        <sz val="16"/>
        <rFont val="Calibri"/>
        <family val="2"/>
        <scheme val="minor"/>
      </rPr>
      <t>. However, if the board-approved operating budget is submitted after June 30,  but before Friday, July 18th, the college will  receive the July disbursement on or around Friday, July 25, 2025.</t>
    </r>
  </si>
  <si>
    <t>Hillsborough Community College</t>
  </si>
  <si>
    <t>Public Relations and Promotion</t>
  </si>
  <si>
    <t>Business Hospitality</t>
  </si>
  <si>
    <t>Fund 3 - Auxiliary Services</t>
  </si>
  <si>
    <t>Fund 1 -Current Unrestricted</t>
  </si>
  <si>
    <t>PHSC number are based on actual fee payng through Spring 2025 and prior year summer</t>
  </si>
  <si>
    <t>Unexpended Plant</t>
  </si>
  <si>
    <t>1-Unrestricted</t>
  </si>
  <si>
    <t>Fund 7 Unexpended Plant-STEM Bldg.</t>
  </si>
  <si>
    <t>Enrollment declines in Nursing program have caused the college to provide additional funding for FCS.  Marketing programs and review course loads to balance revenue and expense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</si>
</sst>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b/>
      <sz val="28"/>
      <color rgb="FFFF0000"/>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
      <sz val="18"/>
      <name val="Arial"/>
      <family val="2"/>
    </font>
    <font>
      <strike/>
      <sz val="18"/>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77" fillId="0" borderId="0" applyNumberFormat="0" applyFill="0" applyBorder="0" applyAlignment="0" applyProtection="0"/>
    <xf numFmtId="0" fontId="79"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79"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79"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79"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79"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79"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79"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79"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0"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0" fillId="52" borderId="0" applyNumberFormat="0" applyBorder="0" applyAlignment="0" applyProtection="0"/>
    <xf numFmtId="0" fontId="80"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0"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4" borderId="0" applyNumberFormat="0" applyBorder="0" applyAlignment="0" applyProtection="0"/>
    <xf numFmtId="0" fontId="80"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0"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0"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0"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1" borderId="0" applyNumberFormat="0" applyBorder="0" applyAlignment="0" applyProtection="0"/>
    <xf numFmtId="0" fontId="80" fillId="65" borderId="0" applyNumberFormat="0" applyBorder="0" applyAlignment="0" applyProtection="0"/>
    <xf numFmtId="0" fontId="81"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2" fillId="42" borderId="132" applyNumberFormat="0" applyAlignment="0" applyProtection="0"/>
    <xf numFmtId="0" fontId="83"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87"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88"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8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78" fillId="0" borderId="0" applyNumberFormat="0" applyFill="0" applyBorder="0" applyAlignment="0" applyProtection="0">
      <alignment vertical="top"/>
      <protection locked="0"/>
    </xf>
    <xf numFmtId="0" fontId="89" fillId="41" borderId="132" applyNumberFormat="0" applyAlignment="0" applyProtection="0"/>
    <xf numFmtId="0" fontId="90" fillId="0" borderId="134" applyNumberFormat="0" applyFill="0" applyAlignment="0" applyProtection="0"/>
    <xf numFmtId="0" fontId="91"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79"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2"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3" fillId="0" borderId="137" applyNumberFormat="0" applyFill="0" applyAlignment="0" applyProtection="0"/>
    <xf numFmtId="0" fontId="94"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7"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4" fillId="0" borderId="0"/>
    <xf numFmtId="43" fontId="135" fillId="0" borderId="0" applyFont="0" applyFill="0" applyBorder="0" applyAlignment="0" applyProtection="0"/>
    <xf numFmtId="44" fontId="135" fillId="0" borderId="0" applyFont="0" applyFill="0" applyBorder="0" applyAlignment="0" applyProtection="0"/>
    <xf numFmtId="9" fontId="135" fillId="0" borderId="0" applyFon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cellStyleXfs>
  <cellXfs count="1165">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6" fillId="0" borderId="0" xfId="0" applyNumberFormat="1" applyFont="1" applyAlignment="1">
      <alignment horizontal="center"/>
    </xf>
    <xf numFmtId="0" fontId="67" fillId="0" borderId="0" xfId="0" applyFont="1"/>
    <xf numFmtId="0" fontId="68" fillId="0" borderId="0" xfId="0" applyFont="1"/>
    <xf numFmtId="0" fontId="67" fillId="0" borderId="19" xfId="0" applyFont="1" applyBorder="1"/>
    <xf numFmtId="0" fontId="70" fillId="0" borderId="0" xfId="0" applyFont="1" applyAlignment="1">
      <alignment horizontal="center"/>
    </xf>
    <xf numFmtId="3" fontId="68" fillId="0" borderId="43" xfId="0" applyNumberFormat="1" applyFont="1" applyBorder="1"/>
    <xf numFmtId="0" fontId="70" fillId="0" borderId="0" xfId="0" applyFont="1" applyAlignment="1">
      <alignment horizontal="center" wrapText="1"/>
    </xf>
    <xf numFmtId="0" fontId="67" fillId="0" borderId="0" xfId="0" applyFont="1" applyAlignment="1">
      <alignment horizontal="left"/>
    </xf>
    <xf numFmtId="0" fontId="70" fillId="0" borderId="19" xfId="0" applyFont="1" applyBorder="1" applyAlignment="1">
      <alignment horizontal="center" wrapText="1"/>
    </xf>
    <xf numFmtId="0" fontId="70" fillId="0" borderId="23" xfId="0" applyFont="1" applyBorder="1" applyAlignment="1">
      <alignment horizontal="center" wrapText="1"/>
    </xf>
    <xf numFmtId="0" fontId="70" fillId="0" borderId="44" xfId="0" applyFont="1" applyBorder="1" applyAlignment="1">
      <alignment horizontal="center" wrapText="1"/>
    </xf>
    <xf numFmtId="0" fontId="70" fillId="0" borderId="40" xfId="0" applyFont="1" applyBorder="1" applyAlignment="1">
      <alignment horizontal="center" wrapText="1"/>
    </xf>
    <xf numFmtId="3" fontId="68" fillId="0" borderId="42" xfId="0" applyNumberFormat="1" applyFont="1" applyBorder="1"/>
    <xf numFmtId="0" fontId="70" fillId="0" borderId="0" xfId="0" applyFont="1"/>
    <xf numFmtId="0" fontId="71" fillId="0" borderId="0" xfId="0" applyFont="1"/>
    <xf numFmtId="0" fontId="70" fillId="0" borderId="83" xfId="0" applyFont="1" applyBorder="1"/>
    <xf numFmtId="0" fontId="68" fillId="0" borderId="0" xfId="0" applyFont="1" applyAlignment="1">
      <alignment horizontal="center"/>
    </xf>
    <xf numFmtId="0" fontId="70" fillId="0" borderId="0" xfId="0" applyFont="1" applyAlignment="1">
      <alignment wrapText="1"/>
    </xf>
    <xf numFmtId="0" fontId="70" fillId="0" borderId="81" xfId="0" applyFont="1" applyBorder="1" applyAlignment="1">
      <alignment wrapText="1"/>
    </xf>
    <xf numFmtId="0" fontId="70" fillId="0" borderId="83" xfId="0" applyFont="1" applyBorder="1" applyAlignment="1">
      <alignment wrapText="1"/>
    </xf>
    <xf numFmtId="0" fontId="70" fillId="0" borderId="82" xfId="0" applyFont="1" applyBorder="1" applyAlignment="1">
      <alignment wrapText="1"/>
    </xf>
    <xf numFmtId="0" fontId="68" fillId="0" borderId="47" xfId="0" applyFont="1" applyBorder="1" applyAlignment="1">
      <alignment horizontal="center"/>
    </xf>
    <xf numFmtId="0" fontId="70" fillId="0" borderId="102" xfId="0" applyFont="1" applyBorder="1" applyAlignment="1">
      <alignment horizontal="center"/>
    </xf>
    <xf numFmtId="0" fontId="70" fillId="0" borderId="81" xfId="0" applyFont="1" applyBorder="1" applyAlignment="1">
      <alignment horizontal="center" wrapText="1"/>
    </xf>
    <xf numFmtId="0" fontId="70" fillId="0" borderId="82" xfId="0" applyFont="1" applyBorder="1" applyAlignment="1">
      <alignment horizontal="center" wrapText="1"/>
    </xf>
    <xf numFmtId="0" fontId="70" fillId="0" borderId="41" xfId="0" applyFont="1" applyBorder="1"/>
    <xf numFmtId="170" fontId="70" fillId="0" borderId="0" xfId="181" applyNumberFormat="1" applyFont="1" applyFill="1" applyBorder="1"/>
    <xf numFmtId="170" fontId="70" fillId="0" borderId="0" xfId="181" applyNumberFormat="1" applyFont="1" applyFill="1"/>
    <xf numFmtId="0" fontId="76" fillId="31" borderId="0" xfId="0" applyFont="1" applyFill="1"/>
    <xf numFmtId="0" fontId="70" fillId="0" borderId="81" xfId="0" applyFont="1" applyBorder="1" applyAlignment="1">
      <alignment horizontal="center"/>
    </xf>
    <xf numFmtId="0" fontId="69" fillId="0" borderId="19" xfId="0" applyFont="1" applyBorder="1" applyAlignment="1">
      <alignment horizontal="center"/>
    </xf>
    <xf numFmtId="0" fontId="70" fillId="0" borderId="19" xfId="0" applyFont="1" applyBorder="1" applyAlignment="1">
      <alignment horizontal="center"/>
    </xf>
    <xf numFmtId="0" fontId="95" fillId="0" borderId="19" xfId="0" applyFont="1" applyBorder="1" applyAlignment="1">
      <alignment horizontal="left" wrapText="1"/>
    </xf>
    <xf numFmtId="3" fontId="68" fillId="0" borderId="0" xfId="0" applyNumberFormat="1" applyFont="1"/>
    <xf numFmtId="0" fontId="70" fillId="0" borderId="19" xfId="495" applyFont="1" applyBorder="1" applyAlignment="1">
      <alignment horizontal="center" wrapText="1"/>
    </xf>
    <xf numFmtId="3" fontId="71" fillId="0" borderId="19" xfId="495" applyNumberFormat="1" applyFont="1" applyBorder="1" applyAlignment="1">
      <alignment horizontal="center"/>
    </xf>
    <xf numFmtId="10" fontId="71" fillId="0" borderId="82" xfId="495" applyNumberFormat="1" applyFont="1" applyBorder="1" applyAlignment="1">
      <alignment horizontal="center"/>
    </xf>
    <xf numFmtId="0" fontId="69" fillId="0" borderId="29" xfId="0" applyFont="1" applyBorder="1" applyAlignment="1">
      <alignment horizontal="center"/>
    </xf>
    <xf numFmtId="0" fontId="73" fillId="0" borderId="0" xfId="0" applyFont="1" applyAlignment="1">
      <alignment wrapText="1"/>
    </xf>
    <xf numFmtId="166" fontId="68" fillId="36" borderId="34" xfId="0" applyNumberFormat="1" applyFont="1" applyFill="1" applyBorder="1"/>
    <xf numFmtId="0" fontId="99" fillId="0" borderId="19" xfId="0" applyFont="1" applyBorder="1" applyAlignment="1">
      <alignment horizontal="center"/>
    </xf>
    <xf numFmtId="3" fontId="70" fillId="70" borderId="17" xfId="0" applyNumberFormat="1" applyFont="1" applyFill="1" applyBorder="1"/>
    <xf numFmtId="0" fontId="70" fillId="0" borderId="16" xfId="0" applyFont="1" applyBorder="1" applyAlignment="1">
      <alignment horizontal="center"/>
    </xf>
    <xf numFmtId="0" fontId="70" fillId="70" borderId="83" xfId="0" applyFont="1" applyFill="1" applyBorder="1" applyAlignment="1">
      <alignment horizontal="center"/>
    </xf>
    <xf numFmtId="0" fontId="70" fillId="70" borderId="83" xfId="0" applyFont="1" applyFill="1" applyBorder="1" applyAlignment="1">
      <alignment wrapText="1"/>
    </xf>
    <xf numFmtId="3" fontId="73" fillId="0" borderId="0" xfId="0" applyNumberFormat="1" applyFont="1" applyAlignment="1">
      <alignment wrapText="1"/>
    </xf>
    <xf numFmtId="0" fontId="70" fillId="0" borderId="21" xfId="0" applyFont="1" applyBorder="1" applyAlignment="1">
      <alignment horizontal="center" wrapText="1"/>
    </xf>
    <xf numFmtId="0" fontId="69" fillId="0" borderId="81" xfId="0" applyFont="1" applyBorder="1" applyAlignment="1">
      <alignment horizontal="center"/>
    </xf>
    <xf numFmtId="0" fontId="67" fillId="0" borderId="81" xfId="0" applyFont="1" applyBorder="1"/>
    <xf numFmtId="0" fontId="67" fillId="0" borderId="83" xfId="0" applyFont="1" applyBorder="1"/>
    <xf numFmtId="0" fontId="101" fillId="0" borderId="19" xfId="0" applyFont="1" applyBorder="1"/>
    <xf numFmtId="3" fontId="101" fillId="0" borderId="37" xfId="0" applyNumberFormat="1" applyFont="1" applyBorder="1"/>
    <xf numFmtId="166" fontId="101" fillId="69" borderId="14" xfId="0" applyNumberFormat="1" applyFont="1" applyFill="1" applyBorder="1"/>
    <xf numFmtId="166" fontId="101" fillId="36" borderId="23" xfId="0" applyNumberFormat="1" applyFont="1" applyFill="1" applyBorder="1"/>
    <xf numFmtId="0" fontId="102" fillId="0" borderId="0" xfId="0" applyFont="1"/>
    <xf numFmtId="166" fontId="101" fillId="70" borderId="101" xfId="0" applyNumberFormat="1" applyFont="1" applyFill="1" applyBorder="1"/>
    <xf numFmtId="3" fontId="101" fillId="0" borderId="0" xfId="0" applyNumberFormat="1" applyFont="1"/>
    <xf numFmtId="0" fontId="69" fillId="0" borderId="0" xfId="0" applyFont="1" applyAlignment="1">
      <alignment horizontal="center"/>
    </xf>
    <xf numFmtId="0" fontId="67" fillId="0" borderId="82" xfId="0" applyFont="1" applyBorder="1"/>
    <xf numFmtId="3" fontId="68" fillId="36" borderId="150" xfId="0" applyNumberFormat="1" applyFont="1" applyFill="1" applyBorder="1"/>
    <xf numFmtId="3" fontId="68" fillId="36" borderId="151" xfId="0" applyNumberFormat="1" applyFont="1" applyFill="1" applyBorder="1"/>
    <xf numFmtId="0" fontId="70" fillId="0" borderId="22" xfId="0" applyFont="1" applyBorder="1" applyAlignment="1">
      <alignment horizontal="center" wrapText="1"/>
    </xf>
    <xf numFmtId="0" fontId="96" fillId="0" borderId="0" xfId="17654" applyFont="1"/>
    <xf numFmtId="0" fontId="103" fillId="0" borderId="0" xfId="17654" applyFont="1"/>
    <xf numFmtId="169" fontId="105" fillId="70" borderId="0" xfId="17654" applyNumberFormat="1" applyFont="1" applyFill="1"/>
    <xf numFmtId="3" fontId="70" fillId="0" borderId="23" xfId="0" applyNumberFormat="1" applyFont="1" applyBorder="1" applyAlignment="1">
      <alignment horizontal="center"/>
    </xf>
    <xf numFmtId="168" fontId="68" fillId="36" borderId="149" xfId="0" applyNumberFormat="1" applyFont="1" applyFill="1" applyBorder="1"/>
    <xf numFmtId="0" fontId="109" fillId="0" borderId="0" xfId="663" applyFont="1"/>
    <xf numFmtId="0" fontId="108" fillId="0" borderId="15" xfId="0" applyFont="1" applyBorder="1"/>
    <xf numFmtId="0" fontId="108" fillId="0" borderId="0" xfId="0" applyFont="1"/>
    <xf numFmtId="0" fontId="68" fillId="0" borderId="0" xfId="663" applyFont="1"/>
    <xf numFmtId="0" fontId="67" fillId="0" borderId="0" xfId="0" applyFont="1" applyAlignment="1">
      <alignment vertical="center" wrapText="1"/>
    </xf>
    <xf numFmtId="0" fontId="71" fillId="0" borderId="0" xfId="530" applyFont="1" applyAlignment="1">
      <alignment horizontal="right"/>
    </xf>
    <xf numFmtId="0" fontId="74" fillId="0" borderId="0" xfId="0" applyFont="1"/>
    <xf numFmtId="0" fontId="70" fillId="0" borderId="0" xfId="0" applyFont="1" applyAlignment="1">
      <alignment horizontal="left" wrapText="1"/>
    </xf>
    <xf numFmtId="0" fontId="68" fillId="0" borderId="0" xfId="0" applyFont="1" applyAlignment="1">
      <alignment wrapText="1"/>
    </xf>
    <xf numFmtId="49" fontId="71" fillId="0" borderId="0" xfId="0" applyNumberFormat="1" applyFont="1" applyAlignment="1">
      <alignment horizontal="left"/>
    </xf>
    <xf numFmtId="0" fontId="72" fillId="0" borderId="0" xfId="0" applyFont="1"/>
    <xf numFmtId="3" fontId="74" fillId="0" borderId="0" xfId="0" applyNumberFormat="1" applyFont="1"/>
    <xf numFmtId="0" fontId="71" fillId="0" borderId="0" xfId="0" applyFont="1" applyAlignment="1">
      <alignment horizontal="left" vertical="center"/>
    </xf>
    <xf numFmtId="49" fontId="70" fillId="0" borderId="0" xfId="0" applyNumberFormat="1" applyFont="1"/>
    <xf numFmtId="0" fontId="112" fillId="0" borderId="0" xfId="0" applyFont="1"/>
    <xf numFmtId="49" fontId="71" fillId="0" borderId="0" xfId="0" applyNumberFormat="1" applyFont="1"/>
    <xf numFmtId="49" fontId="74" fillId="0" borderId="0" xfId="0" applyNumberFormat="1" applyFont="1"/>
    <xf numFmtId="0" fontId="72" fillId="0" borderId="0" xfId="0" quotePrefix="1" applyFont="1"/>
    <xf numFmtId="165" fontId="74" fillId="0" borderId="0" xfId="0" applyNumberFormat="1" applyFont="1"/>
    <xf numFmtId="43" fontId="74" fillId="0" borderId="0" xfId="0" applyNumberFormat="1" applyFont="1"/>
    <xf numFmtId="0" fontId="68" fillId="0" borderId="116" xfId="0" applyFont="1" applyBorder="1"/>
    <xf numFmtId="0" fontId="70" fillId="0" borderId="117" xfId="0" applyFont="1" applyBorder="1" applyAlignment="1">
      <alignment horizontal="center"/>
    </xf>
    <xf numFmtId="0" fontId="68" fillId="0" borderId="118" xfId="0" applyFont="1" applyBorder="1"/>
    <xf numFmtId="0" fontId="68" fillId="0" borderId="119" xfId="0" applyFont="1" applyBorder="1"/>
    <xf numFmtId="49" fontId="71" fillId="0" borderId="120" xfId="0" applyNumberFormat="1" applyFont="1" applyBorder="1" applyAlignment="1">
      <alignment horizontal="center"/>
    </xf>
    <xf numFmtId="0" fontId="71" fillId="0" borderId="10" xfId="0" applyFont="1" applyBorder="1" applyAlignment="1">
      <alignment horizontal="center"/>
    </xf>
    <xf numFmtId="0" fontId="71" fillId="0" borderId="115" xfId="0" applyFont="1" applyBorder="1" applyAlignment="1">
      <alignment horizontal="center"/>
    </xf>
    <xf numFmtId="0" fontId="71" fillId="0" borderId="44" xfId="0" applyFont="1" applyBorder="1" applyAlignment="1">
      <alignment horizontal="center"/>
    </xf>
    <xf numFmtId="0" fontId="70" fillId="0" borderId="120" xfId="0" applyFont="1" applyBorder="1" applyAlignment="1">
      <alignment horizontal="center"/>
    </xf>
    <xf numFmtId="0" fontId="71" fillId="0" borderId="121" xfId="0" applyFont="1" applyBorder="1" applyAlignment="1">
      <alignment horizontal="center"/>
    </xf>
    <xf numFmtId="37" fontId="68" fillId="0" borderId="122" xfId="0" applyNumberFormat="1" applyFont="1" applyBorder="1"/>
    <xf numFmtId="3" fontId="74" fillId="0" borderId="30" xfId="192" quotePrefix="1" applyNumberFormat="1" applyFont="1" applyFill="1" applyBorder="1" applyAlignment="1" applyProtection="1"/>
    <xf numFmtId="3" fontId="74" fillId="0" borderId="31" xfId="181" applyNumberFormat="1" applyFont="1" applyBorder="1" applyProtection="1"/>
    <xf numFmtId="10" fontId="74" fillId="0" borderId="18" xfId="3292" quotePrefix="1" applyNumberFormat="1" applyFont="1" applyFill="1" applyBorder="1" applyAlignment="1" applyProtection="1">
      <alignment horizontal="right"/>
    </xf>
    <xf numFmtId="167" fontId="74" fillId="0" borderId="123" xfId="3292" applyNumberFormat="1" applyFont="1" applyBorder="1" applyAlignment="1" applyProtection="1">
      <alignment horizontal="right"/>
    </xf>
    <xf numFmtId="0" fontId="68" fillId="0" borderId="120" xfId="0" applyFont="1" applyBorder="1"/>
    <xf numFmtId="3" fontId="74" fillId="0" borderId="115" xfId="181" applyNumberFormat="1" applyFont="1" applyBorder="1" applyProtection="1"/>
    <xf numFmtId="0" fontId="70" fillId="0" borderId="124" xfId="0" applyFont="1" applyBorder="1"/>
    <xf numFmtId="3" fontId="71" fillId="0" borderId="90" xfId="181" applyNumberFormat="1" applyFont="1" applyFill="1" applyBorder="1" applyAlignment="1" applyProtection="1"/>
    <xf numFmtId="3" fontId="71" fillId="0" borderId="91" xfId="181" applyNumberFormat="1" applyFont="1" applyBorder="1" applyProtection="1"/>
    <xf numFmtId="10" fontId="71" fillId="0" borderId="89" xfId="3292" quotePrefix="1" applyNumberFormat="1" applyFont="1" applyFill="1" applyBorder="1" applyAlignment="1" applyProtection="1">
      <alignment horizontal="right"/>
    </xf>
    <xf numFmtId="167" fontId="71" fillId="0" borderId="125" xfId="3292" applyNumberFormat="1" applyFont="1" applyBorder="1" applyAlignment="1" applyProtection="1">
      <alignment horizontal="right"/>
    </xf>
    <xf numFmtId="9" fontId="74" fillId="0" borderId="0" xfId="3292" applyFont="1" applyProtection="1"/>
    <xf numFmtId="4" fontId="74" fillId="0" borderId="0" xfId="3292" quotePrefix="1" applyNumberFormat="1" applyFont="1" applyFill="1" applyBorder="1" applyAlignment="1" applyProtection="1">
      <alignment horizontal="right"/>
    </xf>
    <xf numFmtId="49" fontId="71" fillId="0" borderId="126" xfId="0" applyNumberFormat="1" applyFont="1" applyBorder="1" applyAlignment="1">
      <alignment horizontal="center"/>
    </xf>
    <xf numFmtId="0" fontId="71" fillId="0" borderId="24" xfId="0" applyFont="1" applyBorder="1" applyAlignment="1">
      <alignment horizontal="center"/>
    </xf>
    <xf numFmtId="0" fontId="71" fillId="0" borderId="25" xfId="0" applyFont="1" applyBorder="1" applyAlignment="1">
      <alignment horizontal="center"/>
    </xf>
    <xf numFmtId="0" fontId="71" fillId="0" borderId="127" xfId="0" applyFont="1" applyBorder="1" applyAlignment="1">
      <alignment horizontal="center"/>
    </xf>
    <xf numFmtId="3" fontId="74" fillId="0" borderId="27" xfId="181" applyNumberFormat="1" applyFont="1" applyBorder="1" applyProtection="1"/>
    <xf numFmtId="3" fontId="74" fillId="0" borderId="10" xfId="181" applyNumberFormat="1" applyFont="1" applyBorder="1" applyProtection="1"/>
    <xf numFmtId="37" fontId="71" fillId="0" borderId="28" xfId="181" applyNumberFormat="1" applyFont="1" applyBorder="1" applyProtection="1"/>
    <xf numFmtId="3" fontId="71" fillId="0" borderId="26" xfId="181" applyNumberFormat="1" applyFont="1" applyBorder="1" applyProtection="1"/>
    <xf numFmtId="10" fontId="71" fillId="0" borderId="32" xfId="3292" quotePrefix="1" applyNumberFormat="1" applyFont="1" applyFill="1" applyBorder="1" applyAlignment="1" applyProtection="1">
      <alignment horizontal="right"/>
    </xf>
    <xf numFmtId="167" fontId="71" fillId="0" borderId="128" xfId="3292" applyNumberFormat="1" applyFont="1" applyBorder="1" applyAlignment="1" applyProtection="1">
      <alignment horizontal="right"/>
    </xf>
    <xf numFmtId="0" fontId="114" fillId="0" borderId="0" xfId="0" applyFont="1"/>
    <xf numFmtId="0" fontId="115" fillId="0" borderId="0" xfId="0" applyFont="1"/>
    <xf numFmtId="0" fontId="116" fillId="0" borderId="0" xfId="0" applyFont="1"/>
    <xf numFmtId="49" fontId="71" fillId="0" borderId="0" xfId="0" applyNumberFormat="1" applyFont="1" applyAlignment="1">
      <alignment vertical="top"/>
    </xf>
    <xf numFmtId="37" fontId="74" fillId="24" borderId="0" xfId="0" quotePrefix="1" applyNumberFormat="1" applyFont="1" applyFill="1" applyAlignment="1">
      <alignment horizontal="right"/>
    </xf>
    <xf numFmtId="0" fontId="71" fillId="0" borderId="103" xfId="0" applyFont="1" applyBorder="1" applyAlignment="1">
      <alignment horizontal="center"/>
    </xf>
    <xf numFmtId="0" fontId="71" fillId="0" borderId="36" xfId="0" applyFont="1" applyBorder="1" applyAlignment="1">
      <alignment horizontal="center" wrapText="1"/>
    </xf>
    <xf numFmtId="37" fontId="74" fillId="0" borderId="104" xfId="0" applyNumberFormat="1" applyFont="1" applyBorder="1"/>
    <xf numFmtId="0" fontId="71" fillId="0" borderId="105" xfId="0" applyFont="1" applyBorder="1"/>
    <xf numFmtId="37" fontId="74" fillId="24" borderId="37" xfId="0" applyNumberFormat="1" applyFont="1" applyFill="1" applyBorder="1" applyAlignment="1">
      <alignment horizontal="right"/>
    </xf>
    <xf numFmtId="164" fontId="68" fillId="0" borderId="0" xfId="0" applyNumberFormat="1" applyFont="1"/>
    <xf numFmtId="0" fontId="117" fillId="0" borderId="0" xfId="0" applyFont="1"/>
    <xf numFmtId="0" fontId="69" fillId="0" borderId="0" xfId="0" applyFont="1"/>
    <xf numFmtId="49" fontId="70" fillId="0" borderId="0" xfId="0" applyNumberFormat="1" applyFont="1" applyAlignment="1">
      <alignment horizontal="left" vertical="top"/>
    </xf>
    <xf numFmtId="49" fontId="70" fillId="0" borderId="0" xfId="0" applyNumberFormat="1" applyFont="1" applyAlignment="1">
      <alignment horizontal="left"/>
    </xf>
    <xf numFmtId="49" fontId="68" fillId="0" borderId="0" xfId="0" applyNumberFormat="1" applyFont="1"/>
    <xf numFmtId="0" fontId="74" fillId="24" borderId="0" xfId="0" applyFont="1" applyFill="1"/>
    <xf numFmtId="49" fontId="70" fillId="0" borderId="0" xfId="0" applyNumberFormat="1" applyFont="1" applyAlignment="1">
      <alignment vertical="top"/>
    </xf>
    <xf numFmtId="37" fontId="68" fillId="0" borderId="0" xfId="0" applyNumberFormat="1" applyFont="1"/>
    <xf numFmtId="0" fontId="70" fillId="0" borderId="0" xfId="0" applyFont="1" applyAlignment="1">
      <alignment vertical="top"/>
    </xf>
    <xf numFmtId="4" fontId="67" fillId="0" borderId="62" xfId="0" quotePrefix="1" applyNumberFormat="1" applyFont="1" applyBorder="1" applyAlignment="1">
      <alignment horizontal="center"/>
    </xf>
    <xf numFmtId="0" fontId="118" fillId="0" borderId="0" xfId="0" applyFont="1"/>
    <xf numFmtId="4" fontId="67" fillId="0" borderId="62" xfId="0" applyNumberFormat="1" applyFont="1" applyBorder="1" applyAlignment="1">
      <alignment horizontal="center"/>
    </xf>
    <xf numFmtId="4" fontId="67" fillId="0" borderId="0" xfId="0" applyNumberFormat="1" applyFont="1" applyAlignment="1">
      <alignment horizontal="center"/>
    </xf>
    <xf numFmtId="0" fontId="68" fillId="0" borderId="0" xfId="0" applyFont="1" applyAlignment="1" applyProtection="1">
      <alignment vertical="top"/>
      <protection locked="0"/>
    </xf>
    <xf numFmtId="168" fontId="68" fillId="0" borderId="0" xfId="0" applyNumberFormat="1" applyFont="1"/>
    <xf numFmtId="37" fontId="68" fillId="0" borderId="0" xfId="181" applyNumberFormat="1" applyFont="1" applyBorder="1" applyProtection="1"/>
    <xf numFmtId="37" fontId="68" fillId="0" borderId="0" xfId="181" applyNumberFormat="1" applyFont="1" applyProtection="1"/>
    <xf numFmtId="3" fontId="68" fillId="0" borderId="0" xfId="181" applyNumberFormat="1" applyFont="1" applyProtection="1"/>
    <xf numFmtId="5" fontId="68" fillId="0" borderId="0" xfId="0" applyNumberFormat="1" applyFont="1" applyAlignment="1">
      <alignment horizontal="right"/>
    </xf>
    <xf numFmtId="3" fontId="117" fillId="0" borderId="0" xfId="183" applyNumberFormat="1" applyFont="1" applyBorder="1" applyProtection="1">
      <protection locked="0"/>
    </xf>
    <xf numFmtId="5" fontId="68" fillId="0" borderId="0" xfId="181" applyNumberFormat="1" applyFont="1" applyBorder="1" applyProtection="1"/>
    <xf numFmtId="5" fontId="68" fillId="0" borderId="0" xfId="181" applyNumberFormat="1" applyFont="1" applyProtection="1"/>
    <xf numFmtId="165" fontId="68" fillId="0" borderId="0" xfId="181" applyNumberFormat="1" applyFont="1" applyFill="1" applyProtection="1"/>
    <xf numFmtId="165" fontId="68" fillId="0" borderId="0" xfId="181" applyNumberFormat="1" applyFont="1" applyProtection="1"/>
    <xf numFmtId="165" fontId="70" fillId="0" borderId="0" xfId="192" applyNumberFormat="1" applyFont="1" applyAlignment="1" applyProtection="1">
      <alignment horizontal="center"/>
    </xf>
    <xf numFmtId="165" fontId="68" fillId="0" borderId="0" xfId="192" applyNumberFormat="1" applyFont="1" applyProtection="1"/>
    <xf numFmtId="5" fontId="68" fillId="0" borderId="0" xfId="181" applyNumberFormat="1" applyFont="1" applyFill="1" applyBorder="1" applyProtection="1"/>
    <xf numFmtId="5" fontId="68" fillId="0" borderId="0" xfId="181" quotePrefix="1" applyNumberFormat="1" applyFont="1" applyFill="1" applyBorder="1" applyProtection="1"/>
    <xf numFmtId="0" fontId="96" fillId="0" borderId="0" xfId="0" applyFont="1"/>
    <xf numFmtId="0" fontId="70" fillId="0" borderId="0" xfId="0" applyFont="1" applyAlignment="1">
      <alignment horizontal="right"/>
    </xf>
    <xf numFmtId="0" fontId="120" fillId="0" borderId="0" xfId="0" applyFont="1"/>
    <xf numFmtId="0" fontId="121" fillId="0" borderId="0" xfId="0" applyFont="1"/>
    <xf numFmtId="0" fontId="104" fillId="0" borderId="0" xfId="0" applyFont="1"/>
    <xf numFmtId="0" fontId="124" fillId="0" borderId="0" xfId="0" applyFont="1" applyAlignment="1">
      <alignment horizontal="left" wrapText="1"/>
    </xf>
    <xf numFmtId="0" fontId="127" fillId="0" borderId="0" xfId="0" applyFont="1"/>
    <xf numFmtId="37" fontId="96" fillId="0" borderId="0" xfId="0" applyNumberFormat="1" applyFont="1"/>
    <xf numFmtId="37" fontId="96" fillId="0" borderId="10" xfId="0" applyNumberFormat="1" applyFont="1" applyBorder="1"/>
    <xf numFmtId="37" fontId="96" fillId="0" borderId="11" xfId="0" applyNumberFormat="1" applyFont="1" applyBorder="1"/>
    <xf numFmtId="49" fontId="96" fillId="0" borderId="10" xfId="0" applyNumberFormat="1" applyFont="1" applyBorder="1" applyAlignment="1">
      <alignment horizontal="right"/>
    </xf>
    <xf numFmtId="37" fontId="96" fillId="0" borderId="10" xfId="0" applyNumberFormat="1" applyFont="1" applyBorder="1" applyAlignment="1">
      <alignment horizontal="right"/>
    </xf>
    <xf numFmtId="0" fontId="96" fillId="0" borderId="0" xfId="0" applyFont="1" applyAlignment="1">
      <alignment vertical="center"/>
    </xf>
    <xf numFmtId="3" fontId="96" fillId="24" borderId="11" xfId="181" applyNumberFormat="1" applyFont="1" applyFill="1" applyBorder="1" applyAlignment="1" applyProtection="1">
      <alignment horizontal="right"/>
    </xf>
    <xf numFmtId="5" fontId="126" fillId="24" borderId="11" xfId="0" applyNumberFormat="1" applyFont="1" applyFill="1" applyBorder="1" applyAlignment="1">
      <alignment horizontal="right"/>
    </xf>
    <xf numFmtId="37" fontId="96" fillId="24" borderId="11" xfId="0" applyNumberFormat="1" applyFont="1" applyFill="1" applyBorder="1" applyAlignment="1">
      <alignment horizontal="right"/>
    </xf>
    <xf numFmtId="37" fontId="125" fillId="24" borderId="11" xfId="0" applyNumberFormat="1" applyFont="1" applyFill="1" applyBorder="1" applyAlignment="1">
      <alignment horizontal="right"/>
    </xf>
    <xf numFmtId="37" fontId="96" fillId="24" borderId="11" xfId="181" applyNumberFormat="1" applyFont="1" applyFill="1" applyBorder="1" applyAlignment="1" applyProtection="1">
      <alignment horizontal="right"/>
    </xf>
    <xf numFmtId="37" fontId="128" fillId="0" borderId="0" xfId="0" applyNumberFormat="1" applyFont="1"/>
    <xf numFmtId="37" fontId="96" fillId="0" borderId="10" xfId="0" quotePrefix="1" applyNumberFormat="1" applyFont="1" applyBorder="1" applyAlignment="1">
      <alignment horizontal="right"/>
    </xf>
    <xf numFmtId="164" fontId="96" fillId="0" borderId="10" xfId="0" applyNumberFormat="1" applyFont="1" applyBorder="1" applyAlignment="1">
      <alignment horizontal="right"/>
    </xf>
    <xf numFmtId="37" fontId="96" fillId="24" borderId="10" xfId="0" applyNumberFormat="1" applyFont="1" applyFill="1" applyBorder="1" applyAlignment="1">
      <alignment horizontal="right"/>
    </xf>
    <xf numFmtId="37" fontId="125" fillId="0" borderId="10" xfId="0" applyNumberFormat="1" applyFont="1" applyBorder="1" applyAlignment="1">
      <alignment horizontal="right"/>
    </xf>
    <xf numFmtId="5" fontId="96" fillId="0" borderId="0" xfId="0" applyNumberFormat="1" applyFont="1"/>
    <xf numFmtId="37" fontId="96" fillId="0" borderId="11" xfId="0" applyNumberFormat="1" applyFont="1" applyBorder="1" applyAlignment="1">
      <alignment horizontal="right"/>
    </xf>
    <xf numFmtId="37" fontId="125" fillId="24" borderId="10" xfId="0" applyNumberFormat="1" applyFont="1" applyFill="1" applyBorder="1" applyAlignment="1">
      <alignment horizontal="right"/>
    </xf>
    <xf numFmtId="0" fontId="96" fillId="0" borderId="10" xfId="0" applyFont="1" applyBorder="1" applyAlignment="1">
      <alignment horizontal="right"/>
    </xf>
    <xf numFmtId="37" fontId="129" fillId="24" borderId="10" xfId="0" applyNumberFormat="1" applyFont="1" applyFill="1" applyBorder="1" applyAlignment="1">
      <alignment horizontal="right"/>
    </xf>
    <xf numFmtId="37" fontId="125" fillId="24" borderId="10" xfId="0" applyNumberFormat="1" applyFont="1" applyFill="1" applyBorder="1"/>
    <xf numFmtId="49" fontId="96" fillId="0" borderId="10" xfId="0" quotePrefix="1" applyNumberFormat="1" applyFont="1" applyBorder="1" applyAlignment="1">
      <alignment horizontal="right"/>
    </xf>
    <xf numFmtId="37" fontId="104" fillId="0" borderId="0" xfId="0" applyNumberFormat="1" applyFont="1" applyAlignment="1">
      <alignment horizontal="fill"/>
    </xf>
    <xf numFmtId="37" fontId="126" fillId="24" borderId="10" xfId="0" applyNumberFormat="1" applyFont="1" applyFill="1" applyBorder="1" applyAlignment="1">
      <alignment horizontal="fill"/>
    </xf>
    <xf numFmtId="37" fontId="131" fillId="0" borderId="0" xfId="0" applyNumberFormat="1" applyFont="1"/>
    <xf numFmtId="37" fontId="96" fillId="25" borderId="0" xfId="0" applyNumberFormat="1" applyFont="1" applyFill="1"/>
    <xf numFmtId="37" fontId="131" fillId="25" borderId="0" xfId="0" applyNumberFormat="1" applyFont="1" applyFill="1"/>
    <xf numFmtId="0" fontId="129" fillId="0" borderId="0" xfId="0" applyFont="1"/>
    <xf numFmtId="37" fontId="96" fillId="24" borderId="10" xfId="0" applyNumberFormat="1" applyFont="1" applyFill="1" applyBorder="1"/>
    <xf numFmtId="37" fontId="132" fillId="0" borderId="0" xfId="0" applyNumberFormat="1" applyFont="1"/>
    <xf numFmtId="37" fontId="132" fillId="0" borderId="0" xfId="0" applyNumberFormat="1" applyFont="1" applyAlignment="1">
      <alignment horizontal="right"/>
    </xf>
    <xf numFmtId="37" fontId="132" fillId="24" borderId="0" xfId="0" applyNumberFormat="1" applyFont="1" applyFill="1"/>
    <xf numFmtId="0" fontId="132" fillId="0" borderId="0" xfId="0" applyFont="1"/>
    <xf numFmtId="5" fontId="126" fillId="74" borderId="11" xfId="0" applyNumberFormat="1" applyFont="1" applyFill="1" applyBorder="1" applyAlignment="1">
      <alignment horizontal="right"/>
    </xf>
    <xf numFmtId="5" fontId="126" fillId="74" borderId="10" xfId="0" applyNumberFormat="1" applyFont="1" applyFill="1" applyBorder="1" applyAlignment="1">
      <alignment horizontal="right"/>
    </xf>
    <xf numFmtId="37" fontId="104" fillId="0" borderId="11" xfId="0" applyNumberFormat="1" applyFont="1" applyBorder="1" applyAlignment="1">
      <alignment horizontal="fill"/>
    </xf>
    <xf numFmtId="0" fontId="122" fillId="0" borderId="0" xfId="0" applyFont="1"/>
    <xf numFmtId="0" fontId="105" fillId="0" borderId="0" xfId="0" applyFont="1"/>
    <xf numFmtId="0" fontId="137" fillId="0" borderId="0" xfId="0" applyFont="1"/>
    <xf numFmtId="0" fontId="101" fillId="0" borderId="0" xfId="0" applyFont="1" applyAlignment="1">
      <alignment vertical="center" wrapText="1"/>
    </xf>
    <xf numFmtId="3" fontId="125" fillId="0" borderId="0" xfId="0" applyNumberFormat="1" applyFont="1"/>
    <xf numFmtId="0" fontId="126" fillId="0" borderId="0" xfId="0" applyFont="1" applyAlignment="1">
      <alignment horizontal="left"/>
    </xf>
    <xf numFmtId="0" fontId="125" fillId="0" borderId="0" xfId="0" applyFont="1"/>
    <xf numFmtId="0" fontId="71" fillId="0" borderId="0" xfId="0" applyFont="1" applyAlignment="1">
      <alignment horizontal="center"/>
    </xf>
    <xf numFmtId="0" fontId="136" fillId="30" borderId="19" xfId="0" applyFont="1" applyFill="1" applyBorder="1" applyAlignment="1">
      <alignment horizontal="center" wrapText="1"/>
    </xf>
    <xf numFmtId="0" fontId="136" fillId="30" borderId="20" xfId="0" applyFont="1" applyFill="1" applyBorder="1" applyAlignment="1">
      <alignment horizontal="center" wrapText="1"/>
    </xf>
    <xf numFmtId="0" fontId="102" fillId="0" borderId="35" xfId="0" applyFont="1" applyBorder="1"/>
    <xf numFmtId="168" fontId="102" fillId="0" borderId="34" xfId="0" applyNumberFormat="1" applyFont="1" applyBorder="1"/>
    <xf numFmtId="37" fontId="101" fillId="26" borderId="147" xfId="0" applyNumberFormat="1" applyFont="1" applyFill="1" applyBorder="1" applyAlignment="1">
      <alignment horizontal="fill"/>
    </xf>
    <xf numFmtId="37" fontId="101" fillId="26" borderId="67" xfId="0" applyNumberFormat="1" applyFont="1" applyFill="1" applyBorder="1" applyAlignment="1">
      <alignment horizontal="fill"/>
    </xf>
    <xf numFmtId="37" fontId="101" fillId="0" borderId="0" xfId="0" applyNumberFormat="1" applyFont="1" applyAlignment="1">
      <alignment horizontal="fill"/>
    </xf>
    <xf numFmtId="165" fontId="101" fillId="0" borderId="0" xfId="181" applyNumberFormat="1" applyFont="1" applyFill="1" applyBorder="1" applyAlignment="1" applyProtection="1">
      <alignment horizontal="fill"/>
    </xf>
    <xf numFmtId="37" fontId="102" fillId="35" borderId="19" xfId="0" applyNumberFormat="1" applyFont="1" applyFill="1" applyBorder="1" applyAlignment="1">
      <alignment horizontal="right"/>
    </xf>
    <xf numFmtId="165" fontId="102" fillId="35" borderId="19" xfId="181" applyNumberFormat="1" applyFont="1" applyFill="1" applyBorder="1" applyProtection="1"/>
    <xf numFmtId="0" fontId="102" fillId="0" borderId="56" xfId="0" applyFont="1" applyBorder="1"/>
    <xf numFmtId="0" fontId="102" fillId="0" borderId="34" xfId="0" applyFont="1" applyBorder="1" applyAlignment="1">
      <alignment horizontal="center"/>
    </xf>
    <xf numFmtId="37" fontId="71" fillId="25" borderId="0" xfId="0" applyNumberFormat="1" applyFont="1" applyFill="1" applyAlignment="1">
      <alignment horizontal="fill"/>
    </xf>
    <xf numFmtId="165" fontId="71" fillId="25" borderId="0" xfId="181" applyNumberFormat="1" applyFont="1" applyFill="1" applyBorder="1" applyAlignment="1" applyProtection="1">
      <alignment horizontal="fill"/>
    </xf>
    <xf numFmtId="37" fontId="136" fillId="0" borderId="0" xfId="0" applyNumberFormat="1" applyFont="1" applyAlignment="1">
      <alignment horizontal="fill"/>
    </xf>
    <xf numFmtId="0" fontId="68" fillId="0" borderId="0" xfId="0" applyFont="1" applyAlignment="1">
      <alignment horizontal="right"/>
    </xf>
    <xf numFmtId="37" fontId="101" fillId="0" borderId="0" xfId="0" applyNumberFormat="1" applyFont="1" applyAlignment="1">
      <alignment horizontal="left"/>
    </xf>
    <xf numFmtId="37" fontId="102" fillId="0" borderId="0" xfId="0" applyNumberFormat="1" applyFont="1"/>
    <xf numFmtId="168" fontId="101" fillId="0" borderId="0" xfId="378" applyNumberFormat="1" applyFont="1" applyFill="1" applyBorder="1" applyProtection="1"/>
    <xf numFmtId="5" fontId="138" fillId="32" borderId="0" xfId="0" applyNumberFormat="1" applyFont="1" applyFill="1"/>
    <xf numFmtId="44" fontId="68" fillId="0" borderId="0" xfId="378" applyFont="1" applyAlignment="1" applyProtection="1"/>
    <xf numFmtId="44" fontId="68" fillId="0" borderId="0" xfId="378" applyFont="1" applyFill="1" applyAlignment="1" applyProtection="1"/>
    <xf numFmtId="44" fontId="120" fillId="0" borderId="0" xfId="378" applyFont="1" applyAlignment="1" applyProtection="1"/>
    <xf numFmtId="44" fontId="120" fillId="0" borderId="0" xfId="378" applyFont="1" applyFill="1" applyAlignment="1" applyProtection="1"/>
    <xf numFmtId="0" fontId="120" fillId="0" borderId="0" xfId="530" applyFont="1"/>
    <xf numFmtId="37" fontId="139" fillId="30" borderId="19" xfId="0" applyNumberFormat="1" applyFont="1" applyFill="1" applyBorder="1"/>
    <xf numFmtId="168" fontId="100" fillId="30" borderId="21" xfId="378" applyNumberFormat="1" applyFont="1" applyFill="1" applyBorder="1" applyProtection="1"/>
    <xf numFmtId="168" fontId="100" fillId="30" borderId="23" xfId="378" applyNumberFormat="1" applyFont="1" applyFill="1" applyBorder="1" applyProtection="1"/>
    <xf numFmtId="168" fontId="100" fillId="30" borderId="22" xfId="378" applyNumberFormat="1" applyFont="1" applyFill="1" applyBorder="1" applyProtection="1"/>
    <xf numFmtId="0" fontId="102" fillId="0" borderId="84" xfId="0" applyFont="1" applyBorder="1"/>
    <xf numFmtId="0" fontId="102" fillId="75" borderId="34" xfId="0" applyFont="1" applyFill="1" applyBorder="1"/>
    <xf numFmtId="37" fontId="100" fillId="30" borderId="29" xfId="0" applyNumberFormat="1" applyFont="1" applyFill="1" applyBorder="1"/>
    <xf numFmtId="37" fontId="139" fillId="30" borderId="29" xfId="0" applyNumberFormat="1" applyFont="1" applyFill="1" applyBorder="1"/>
    <xf numFmtId="168" fontId="100" fillId="30" borderId="19" xfId="378" applyNumberFormat="1" applyFont="1" applyFill="1" applyBorder="1" applyProtection="1"/>
    <xf numFmtId="37" fontId="139" fillId="76" borderId="19" xfId="0" applyNumberFormat="1" applyFont="1" applyFill="1" applyBorder="1" applyAlignment="1">
      <alignment horizontal="right"/>
    </xf>
    <xf numFmtId="37" fontId="100" fillId="30" borderId="47" xfId="0" applyNumberFormat="1" applyFont="1" applyFill="1" applyBorder="1"/>
    <xf numFmtId="37" fontId="139" fillId="30" borderId="47" xfId="0" applyNumberFormat="1" applyFont="1" applyFill="1" applyBorder="1"/>
    <xf numFmtId="168" fontId="100" fillId="30" borderId="47" xfId="378" applyNumberFormat="1" applyFont="1" applyFill="1" applyBorder="1" applyProtection="1"/>
    <xf numFmtId="37" fontId="100" fillId="73" borderId="19" xfId="0" applyNumberFormat="1" applyFont="1" applyFill="1" applyBorder="1" applyAlignment="1">
      <alignment horizontal="fill"/>
    </xf>
    <xf numFmtId="3" fontId="100" fillId="73" borderId="19" xfId="181" applyNumberFormat="1" applyFont="1" applyFill="1" applyBorder="1" applyAlignment="1" applyProtection="1">
      <alignment horizontal="fill"/>
    </xf>
    <xf numFmtId="44" fontId="139" fillId="30" borderId="19" xfId="378" applyFont="1" applyFill="1" applyBorder="1" applyProtection="1"/>
    <xf numFmtId="37" fontId="100" fillId="73" borderId="81" xfId="0" applyNumberFormat="1" applyFont="1" applyFill="1" applyBorder="1" applyAlignment="1">
      <alignment horizontal="fill"/>
    </xf>
    <xf numFmtId="37" fontId="100" fillId="73" borderId="82" xfId="0" applyNumberFormat="1" applyFont="1" applyFill="1" applyBorder="1" applyAlignment="1">
      <alignment horizontal="fill"/>
    </xf>
    <xf numFmtId="0" fontId="70" fillId="0" borderId="0" xfId="663" applyFont="1" applyAlignment="1">
      <alignment horizontal="center"/>
    </xf>
    <xf numFmtId="0" fontId="120" fillId="0" borderId="0" xfId="663" applyFont="1"/>
    <xf numFmtId="0" fontId="105" fillId="0" borderId="0" xfId="663" applyFont="1"/>
    <xf numFmtId="44" fontId="105" fillId="0" borderId="0" xfId="378" applyFont="1" applyFill="1" applyBorder="1" applyAlignment="1" applyProtection="1">
      <alignment horizontal="right"/>
    </xf>
    <xf numFmtId="0" fontId="105" fillId="0" borderId="0" xfId="663" applyFont="1" applyAlignment="1">
      <alignment horizontal="left"/>
    </xf>
    <xf numFmtId="39" fontId="120" fillId="0" borderId="0" xfId="663" applyNumberFormat="1" applyFont="1" applyAlignment="1">
      <alignment wrapText="1"/>
    </xf>
    <xf numFmtId="0" fontId="120" fillId="0" borderId="0" xfId="663" applyFont="1" applyAlignment="1">
      <alignment wrapText="1"/>
    </xf>
    <xf numFmtId="0" fontId="120" fillId="0" borderId="0" xfId="663" applyFont="1" applyAlignment="1">
      <alignment horizontal="left"/>
    </xf>
    <xf numFmtId="44" fontId="105" fillId="0" borderId="0" xfId="378" applyFont="1" applyFill="1" applyBorder="1" applyProtection="1"/>
    <xf numFmtId="0" fontId="100" fillId="0" borderId="0" xfId="0" applyFont="1"/>
    <xf numFmtId="0" fontId="139" fillId="0" borderId="0" xfId="0" applyFont="1"/>
    <xf numFmtId="0" fontId="101" fillId="0" borderId="0" xfId="0" applyFont="1" applyAlignment="1">
      <alignment horizontal="right"/>
    </xf>
    <xf numFmtId="0" fontId="70" fillId="30" borderId="19" xfId="0" applyFont="1" applyFill="1" applyBorder="1" applyAlignment="1">
      <alignment horizontal="center"/>
    </xf>
    <xf numFmtId="0" fontId="70" fillId="72" borderId="19" xfId="0" applyFont="1" applyFill="1" applyBorder="1"/>
    <xf numFmtId="0" fontId="68" fillId="72" borderId="19" xfId="0" applyFont="1" applyFill="1" applyBorder="1"/>
    <xf numFmtId="0" fontId="68" fillId="30" borderId="19" xfId="530" applyFont="1" applyFill="1" applyBorder="1"/>
    <xf numFmtId="0" fontId="70" fillId="0" borderId="19" xfId="0" applyFont="1" applyBorder="1"/>
    <xf numFmtId="168" fontId="70" fillId="0" borderId="19" xfId="0" applyNumberFormat="1" applyFont="1" applyBorder="1" applyAlignment="1">
      <alignment horizontal="right"/>
    </xf>
    <xf numFmtId="0" fontId="70" fillId="29" borderId="19" xfId="0" applyFont="1" applyFill="1" applyBorder="1"/>
    <xf numFmtId="0" fontId="70" fillId="30" borderId="19" xfId="0" applyFont="1" applyFill="1" applyBorder="1"/>
    <xf numFmtId="0" fontId="70" fillId="30" borderId="100" xfId="0" applyFont="1" applyFill="1" applyBorder="1" applyAlignment="1">
      <alignment horizontal="center" wrapText="1"/>
    </xf>
    <xf numFmtId="0" fontId="70" fillId="30" borderId="20" xfId="0" applyFont="1" applyFill="1" applyBorder="1" applyAlignment="1">
      <alignment horizontal="center" wrapText="1"/>
    </xf>
    <xf numFmtId="0" fontId="68" fillId="73" borderId="100" xfId="530" applyFont="1" applyFill="1" applyBorder="1"/>
    <xf numFmtId="0" fontId="68" fillId="73" borderId="33" xfId="530" applyFont="1" applyFill="1" applyBorder="1"/>
    <xf numFmtId="4" fontId="68" fillId="73" borderId="100" xfId="530" applyNumberFormat="1" applyFont="1" applyFill="1" applyBorder="1"/>
    <xf numFmtId="3" fontId="68" fillId="73" borderId="100" xfId="530" applyNumberFormat="1" applyFont="1" applyFill="1" applyBorder="1"/>
    <xf numFmtId="0" fontId="68" fillId="0" borderId="100" xfId="0" applyFont="1" applyBorder="1"/>
    <xf numFmtId="0" fontId="70" fillId="0" borderId="100" xfId="0" applyFont="1" applyBorder="1"/>
    <xf numFmtId="3" fontId="70" fillId="0" borderId="100" xfId="0" applyNumberFormat="1" applyFont="1" applyBorder="1"/>
    <xf numFmtId="4" fontId="70" fillId="0" borderId="100" xfId="0" applyNumberFormat="1" applyFont="1" applyBorder="1"/>
    <xf numFmtId="168" fontId="70" fillId="0" borderId="100" xfId="0" applyNumberFormat="1" applyFont="1" applyBorder="1"/>
    <xf numFmtId="0" fontId="70" fillId="30" borderId="19" xfId="0" applyFont="1" applyFill="1" applyBorder="1" applyAlignment="1">
      <alignment horizontal="center" wrapText="1"/>
    </xf>
    <xf numFmtId="3" fontId="68" fillId="0" borderId="0" xfId="181" applyNumberFormat="1" applyFont="1" applyBorder="1" applyProtection="1"/>
    <xf numFmtId="0" fontId="68" fillId="73" borderId="19" xfId="530" applyFont="1" applyFill="1" applyBorder="1"/>
    <xf numFmtId="4" fontId="68" fillId="73" borderId="19" xfId="530" applyNumberFormat="1" applyFont="1" applyFill="1" applyBorder="1"/>
    <xf numFmtId="3" fontId="68" fillId="73" borderId="19" xfId="530" applyNumberFormat="1" applyFont="1" applyFill="1" applyBorder="1"/>
    <xf numFmtId="3" fontId="70" fillId="0" borderId="0" xfId="0" applyNumberFormat="1" applyFont="1"/>
    <xf numFmtId="0" fontId="70" fillId="0" borderId="23" xfId="0" applyFont="1" applyBorder="1"/>
    <xf numFmtId="3" fontId="70" fillId="0" borderId="23" xfId="0" applyNumberFormat="1" applyFont="1" applyBorder="1"/>
    <xf numFmtId="168" fontId="70" fillId="0" borderId="19" xfId="0" applyNumberFormat="1" applyFont="1" applyBorder="1"/>
    <xf numFmtId="0" fontId="68" fillId="30" borderId="19" xfId="0" applyFont="1" applyFill="1" applyBorder="1" applyAlignment="1">
      <alignment horizontal="center"/>
    </xf>
    <xf numFmtId="0" fontId="68" fillId="0" borderId="19" xfId="0" applyFont="1" applyBorder="1"/>
    <xf numFmtId="3" fontId="70" fillId="0" borderId="19" xfId="0" applyNumberFormat="1" applyFont="1" applyBorder="1"/>
    <xf numFmtId="4" fontId="70" fillId="0" borderId="19" xfId="0" applyNumberFormat="1" applyFont="1" applyBorder="1"/>
    <xf numFmtId="168" fontId="70" fillId="0" borderId="19" xfId="181" applyNumberFormat="1" applyFont="1" applyBorder="1" applyProtection="1"/>
    <xf numFmtId="0" fontId="70" fillId="29" borderId="23" xfId="0" applyFont="1" applyFill="1" applyBorder="1"/>
    <xf numFmtId="0" fontId="70" fillId="71" borderId="23" xfId="0" applyFont="1" applyFill="1" applyBorder="1"/>
    <xf numFmtId="0" fontId="70" fillId="30" borderId="23" xfId="0" applyFont="1" applyFill="1" applyBorder="1" applyAlignment="1">
      <alignment horizontal="center" wrapText="1"/>
    </xf>
    <xf numFmtId="0" fontId="70" fillId="30" borderId="23" xfId="0" applyFont="1" applyFill="1" applyBorder="1" applyAlignment="1">
      <alignment horizontal="center"/>
    </xf>
    <xf numFmtId="0" fontId="70" fillId="30" borderId="47" xfId="0" applyFont="1" applyFill="1" applyBorder="1" applyAlignment="1">
      <alignment horizontal="center" wrapText="1"/>
    </xf>
    <xf numFmtId="0" fontId="68" fillId="0" borderId="23" xfId="0" applyFont="1" applyBorder="1"/>
    <xf numFmtId="4" fontId="70" fillId="0" borderId="23" xfId="0" applyNumberFormat="1" applyFont="1" applyBorder="1"/>
    <xf numFmtId="168" fontId="70" fillId="0" borderId="23" xfId="0" applyNumberFormat="1" applyFont="1" applyBorder="1"/>
    <xf numFmtId="0" fontId="70" fillId="0" borderId="29" xfId="0" applyFont="1" applyBorder="1"/>
    <xf numFmtId="0" fontId="70" fillId="0" borderId="22" xfId="0" applyFont="1" applyBorder="1"/>
    <xf numFmtId="0" fontId="68" fillId="0" borderId="0" xfId="0" applyFont="1" applyAlignment="1">
      <alignment vertical="top"/>
    </xf>
    <xf numFmtId="0" fontId="102" fillId="0" borderId="0" xfId="0" applyFont="1" applyAlignment="1">
      <alignment horizontal="centerContinuous"/>
    </xf>
    <xf numFmtId="0" fontId="101" fillId="0" borderId="0" xfId="181" applyNumberFormat="1" applyFont="1" applyBorder="1" applyAlignment="1" applyProtection="1"/>
    <xf numFmtId="10" fontId="102" fillId="0" borderId="0" xfId="0" applyNumberFormat="1" applyFont="1"/>
    <xf numFmtId="5" fontId="102" fillId="0" borderId="0" xfId="0" applyNumberFormat="1" applyFont="1"/>
    <xf numFmtId="0" fontId="100" fillId="0" borderId="0" xfId="0" applyFont="1" applyAlignment="1">
      <alignment horizontal="right"/>
    </xf>
    <xf numFmtId="0" fontId="136" fillId="0" borderId="0" xfId="0" applyFont="1" applyAlignment="1">
      <alignment horizontal="right"/>
    </xf>
    <xf numFmtId="0" fontId="100" fillId="0" borderId="0" xfId="0" applyFont="1" applyAlignment="1">
      <alignment horizontal="left"/>
    </xf>
    <xf numFmtId="0" fontId="70" fillId="0" borderId="22" xfId="0" applyFont="1" applyBorder="1" applyAlignment="1">
      <alignment horizontal="center"/>
    </xf>
    <xf numFmtId="4" fontId="68" fillId="0" borderId="16" xfId="181" applyNumberFormat="1" applyFont="1" applyBorder="1" applyProtection="1"/>
    <xf numFmtId="4" fontId="68" fillId="0" borderId="23" xfId="181" applyNumberFormat="1" applyFont="1" applyBorder="1" applyProtection="1"/>
    <xf numFmtId="4" fontId="68" fillId="30" borderId="82" xfId="181" applyNumberFormat="1" applyFont="1" applyFill="1" applyBorder="1" applyProtection="1"/>
    <xf numFmtId="4" fontId="68" fillId="0" borderId="29" xfId="181" applyNumberFormat="1" applyFont="1" applyBorder="1" applyProtection="1"/>
    <xf numFmtId="0" fontId="70" fillId="30" borderId="81" xfId="0" applyFont="1" applyFill="1" applyBorder="1"/>
    <xf numFmtId="4" fontId="68" fillId="0" borderId="34" xfId="181" applyNumberFormat="1" applyFont="1" applyBorder="1" applyProtection="1"/>
    <xf numFmtId="4" fontId="68" fillId="0" borderId="0" xfId="0" applyNumberFormat="1" applyFont="1"/>
    <xf numFmtId="4" fontId="74" fillId="0" borderId="34" xfId="0" applyNumberFormat="1" applyFont="1" applyBorder="1"/>
    <xf numFmtId="4" fontId="68" fillId="0" borderId="34" xfId="181" applyNumberFormat="1" applyFont="1" applyFill="1" applyBorder="1" applyProtection="1"/>
    <xf numFmtId="0" fontId="70" fillId="30" borderId="82" xfId="0" applyFont="1" applyFill="1" applyBorder="1"/>
    <xf numFmtId="0" fontId="70" fillId="0" borderId="17" xfId="0" applyFont="1" applyBorder="1" applyAlignment="1">
      <alignment horizontal="center"/>
    </xf>
    <xf numFmtId="4" fontId="145" fillId="0" borderId="34" xfId="0" applyNumberFormat="1" applyFont="1" applyBorder="1"/>
    <xf numFmtId="4" fontId="68" fillId="0" borderId="23" xfId="181" applyNumberFormat="1" applyFont="1" applyFill="1" applyBorder="1" applyProtection="1"/>
    <xf numFmtId="4" fontId="70" fillId="0" borderId="0" xfId="0" applyNumberFormat="1" applyFont="1"/>
    <xf numFmtId="10" fontId="68" fillId="0" borderId="0" xfId="0" applyNumberFormat="1" applyFont="1"/>
    <xf numFmtId="168" fontId="70" fillId="30" borderId="83" xfId="0" applyNumberFormat="1" applyFont="1" applyFill="1" applyBorder="1"/>
    <xf numFmtId="0" fontId="70" fillId="30" borderId="82" xfId="0" applyFont="1" applyFill="1" applyBorder="1" applyAlignment="1">
      <alignment horizontal="center"/>
    </xf>
    <xf numFmtId="168" fontId="70" fillId="30" borderId="82" xfId="0" applyNumberFormat="1" applyFont="1" applyFill="1" applyBorder="1"/>
    <xf numFmtId="168" fontId="70" fillId="30" borderId="19" xfId="0" applyNumberFormat="1" applyFont="1" applyFill="1" applyBorder="1"/>
    <xf numFmtId="0" fontId="70" fillId="0" borderId="159" xfId="0" applyFont="1" applyBorder="1"/>
    <xf numFmtId="4" fontId="70" fillId="30" borderId="19" xfId="0" applyNumberFormat="1" applyFont="1" applyFill="1" applyBorder="1"/>
    <xf numFmtId="4" fontId="68" fillId="0" borderId="56" xfId="181" applyNumberFormat="1" applyFont="1" applyFill="1" applyBorder="1" applyProtection="1"/>
    <xf numFmtId="4" fontId="68" fillId="0" borderId="16" xfId="181" applyNumberFormat="1" applyFont="1" applyFill="1" applyBorder="1" applyProtection="1"/>
    <xf numFmtId="4" fontId="68" fillId="0" borderId="22" xfId="181" applyNumberFormat="1" applyFont="1" applyFill="1" applyBorder="1" applyProtection="1"/>
    <xf numFmtId="4" fontId="68" fillId="0" borderId="56" xfId="181" applyNumberFormat="1" applyFont="1" applyBorder="1" applyProtection="1"/>
    <xf numFmtId="4" fontId="70" fillId="30" borderId="19" xfId="181" applyNumberFormat="1" applyFont="1" applyFill="1" applyBorder="1" applyAlignment="1" applyProtection="1">
      <alignment horizontal="center"/>
    </xf>
    <xf numFmtId="4" fontId="68" fillId="30" borderId="19" xfId="181" applyNumberFormat="1" applyFont="1" applyFill="1" applyBorder="1" applyProtection="1"/>
    <xf numFmtId="4" fontId="68" fillId="0" borderId="160" xfId="181" applyNumberFormat="1" applyFont="1" applyBorder="1" applyProtection="1"/>
    <xf numFmtId="0" fontId="70" fillId="71" borderId="29" xfId="0" applyFont="1" applyFill="1" applyBorder="1"/>
    <xf numFmtId="0" fontId="70" fillId="71" borderId="19" xfId="0" applyFont="1" applyFill="1" applyBorder="1"/>
    <xf numFmtId="0" fontId="96" fillId="0" borderId="29" xfId="0" applyFont="1" applyBorder="1"/>
    <xf numFmtId="168" fontId="146" fillId="0" borderId="16" xfId="0" applyNumberFormat="1" applyFont="1" applyBorder="1"/>
    <xf numFmtId="3" fontId="146" fillId="0" borderId="16" xfId="0" applyNumberFormat="1" applyFont="1" applyBorder="1"/>
    <xf numFmtId="0" fontId="96" fillId="30" borderId="81" xfId="0" applyFont="1" applyFill="1" applyBorder="1"/>
    <xf numFmtId="0" fontId="96" fillId="30" borderId="19" xfId="0" applyFont="1" applyFill="1" applyBorder="1"/>
    <xf numFmtId="0" fontId="96" fillId="30" borderId="82" xfId="0" applyFont="1" applyFill="1" applyBorder="1"/>
    <xf numFmtId="0" fontId="101" fillId="0" borderId="0" xfId="0" applyFont="1"/>
    <xf numFmtId="166" fontId="101" fillId="0" borderId="0" xfId="0" applyNumberFormat="1" applyFont="1"/>
    <xf numFmtId="166" fontId="101" fillId="0" borderId="101" xfId="0" applyNumberFormat="1" applyFont="1" applyBorder="1"/>
    <xf numFmtId="3" fontId="68" fillId="77" borderId="43" xfId="0" applyNumberFormat="1" applyFont="1" applyFill="1" applyBorder="1"/>
    <xf numFmtId="0" fontId="68" fillId="0" borderId="155" xfId="0" applyFont="1" applyBorder="1"/>
    <xf numFmtId="0" fontId="101" fillId="0" borderId="23" xfId="0" applyFont="1" applyBorder="1"/>
    <xf numFmtId="166" fontId="101" fillId="32" borderId="81" xfId="0" applyNumberFormat="1" applyFont="1" applyFill="1" applyBorder="1"/>
    <xf numFmtId="166" fontId="101" fillId="32" borderId="14" xfId="0" applyNumberFormat="1" applyFont="1" applyFill="1" applyBorder="1"/>
    <xf numFmtId="0" fontId="70" fillId="70" borderId="14" xfId="0" applyFont="1" applyFill="1" applyBorder="1" applyAlignment="1">
      <alignment horizontal="center" wrapText="1"/>
    </xf>
    <xf numFmtId="0" fontId="68" fillId="0" borderId="29" xfId="0" applyFont="1" applyBorder="1"/>
    <xf numFmtId="0" fontId="148" fillId="0" borderId="0" xfId="0" applyFont="1"/>
    <xf numFmtId="170" fontId="118" fillId="31" borderId="0" xfId="181" applyNumberFormat="1" applyFont="1" applyFill="1" applyBorder="1"/>
    <xf numFmtId="43" fontId="118" fillId="31" borderId="0" xfId="181" applyFont="1" applyFill="1"/>
    <xf numFmtId="0" fontId="147" fillId="0" borderId="162" xfId="0" applyFont="1" applyBorder="1" applyAlignment="1">
      <alignment vertical="center"/>
    </xf>
    <xf numFmtId="0" fontId="147" fillId="0" borderId="161" xfId="0" applyFont="1" applyBorder="1" applyAlignment="1">
      <alignment vertical="center"/>
    </xf>
    <xf numFmtId="0" fontId="101" fillId="0" borderId="38" xfId="0" applyFont="1" applyBorder="1"/>
    <xf numFmtId="10" fontId="71" fillId="36" borderId="67" xfId="495" applyNumberFormat="1" applyFont="1" applyFill="1" applyBorder="1" applyAlignment="1">
      <alignment horizontal="center"/>
    </xf>
    <xf numFmtId="0" fontId="67" fillId="0" borderId="19" xfId="0" applyFont="1" applyBorder="1" applyAlignment="1">
      <alignment wrapText="1"/>
    </xf>
    <xf numFmtId="168" fontId="101" fillId="0" borderId="0" xfId="0" applyNumberFormat="1" applyFont="1"/>
    <xf numFmtId="166" fontId="68" fillId="36" borderId="56" xfId="0" applyNumberFormat="1" applyFont="1" applyFill="1" applyBorder="1"/>
    <xf numFmtId="166" fontId="101" fillId="36" borderId="82" xfId="0" applyNumberFormat="1" applyFont="1" applyFill="1" applyBorder="1"/>
    <xf numFmtId="166" fontId="101" fillId="36" borderId="19" xfId="0" applyNumberFormat="1" applyFont="1" applyFill="1" applyBorder="1"/>
    <xf numFmtId="166" fontId="101" fillId="36" borderId="14" xfId="0" applyNumberFormat="1" applyFont="1" applyFill="1" applyBorder="1"/>
    <xf numFmtId="166" fontId="101" fillId="36" borderId="12" xfId="0" applyNumberFormat="1" applyFont="1" applyFill="1" applyBorder="1"/>
    <xf numFmtId="166" fontId="68" fillId="36" borderId="147" xfId="0" applyNumberFormat="1" applyFont="1" applyFill="1" applyBorder="1"/>
    <xf numFmtId="166" fontId="101" fillId="36" borderId="34" xfId="0" applyNumberFormat="1" applyFont="1" applyFill="1" applyBorder="1"/>
    <xf numFmtId="166" fontId="68" fillId="36" borderId="16" xfId="0" applyNumberFormat="1" applyFont="1" applyFill="1" applyBorder="1"/>
    <xf numFmtId="168" fontId="101" fillId="36" borderId="154" xfId="0" applyNumberFormat="1" applyFont="1" applyFill="1" applyBorder="1"/>
    <xf numFmtId="166" fontId="101" fillId="32" borderId="19" xfId="0" applyNumberFormat="1" applyFont="1" applyFill="1" applyBorder="1"/>
    <xf numFmtId="166" fontId="101" fillId="32" borderId="63" xfId="0" applyNumberFormat="1" applyFont="1" applyFill="1" applyBorder="1"/>
    <xf numFmtId="166" fontId="101" fillId="32" borderId="83" xfId="0" applyNumberFormat="1" applyFont="1" applyFill="1" applyBorder="1"/>
    <xf numFmtId="166" fontId="101" fillId="32" borderId="13" xfId="0" applyNumberFormat="1" applyFont="1" applyFill="1" applyBorder="1"/>
    <xf numFmtId="166" fontId="101" fillId="32" borderId="146" xfId="0" applyNumberFormat="1" applyFont="1" applyFill="1" applyBorder="1"/>
    <xf numFmtId="0" fontId="147" fillId="0" borderId="163" xfId="0" applyFont="1" applyBorder="1" applyAlignment="1">
      <alignment vertical="center"/>
    </xf>
    <xf numFmtId="0" fontId="68" fillId="0" borderId="17" xfId="0" applyFont="1" applyBorder="1"/>
    <xf numFmtId="165" fontId="68" fillId="0" borderId="0" xfId="181" applyNumberFormat="1" applyFont="1"/>
    <xf numFmtId="165" fontId="68" fillId="0" borderId="0" xfId="0" applyNumberFormat="1" applyFont="1"/>
    <xf numFmtId="168" fontId="68" fillId="0" borderId="68" xfId="0" applyNumberFormat="1" applyFont="1" applyBorder="1"/>
    <xf numFmtId="168" fontId="68" fillId="0" borderId="36" xfId="0" applyNumberFormat="1" applyFont="1" applyBorder="1"/>
    <xf numFmtId="168" fontId="101" fillId="0" borderId="37" xfId="0" applyNumberFormat="1" applyFont="1" applyBorder="1"/>
    <xf numFmtId="168" fontId="101" fillId="0" borderId="46" xfId="0" applyNumberFormat="1" applyFont="1" applyBorder="1"/>
    <xf numFmtId="0" fontId="104" fillId="30" borderId="19" xfId="0" applyFont="1" applyFill="1" applyBorder="1" applyAlignment="1">
      <alignment horizontal="center"/>
    </xf>
    <xf numFmtId="0" fontId="104" fillId="30" borderId="19" xfId="0" applyFont="1" applyFill="1" applyBorder="1" applyAlignment="1">
      <alignment horizontal="center" wrapText="1"/>
    </xf>
    <xf numFmtId="0" fontId="96" fillId="0" borderId="34" xfId="0" applyFont="1" applyBorder="1"/>
    <xf numFmtId="0" fontId="96" fillId="0" borderId="34" xfId="0" applyFont="1" applyBorder="1" applyAlignment="1">
      <alignment horizontal="center"/>
    </xf>
    <xf numFmtId="0" fontId="122" fillId="73" borderId="19" xfId="0" applyFont="1" applyFill="1" applyBorder="1"/>
    <xf numFmtId="0" fontId="96" fillId="0" borderId="15" xfId="0" applyFont="1" applyBorder="1" applyAlignment="1">
      <alignment horizontal="center"/>
    </xf>
    <xf numFmtId="0" fontId="104" fillId="29" borderId="19" xfId="0" applyFont="1" applyFill="1" applyBorder="1"/>
    <xf numFmtId="0" fontId="104" fillId="0" borderId="19" xfId="0" applyFont="1" applyBorder="1"/>
    <xf numFmtId="0" fontId="104" fillId="0" borderId="21" xfId="0" applyFont="1" applyBorder="1"/>
    <xf numFmtId="0" fontId="104" fillId="0" borderId="23" xfId="0" applyFont="1" applyBorder="1"/>
    <xf numFmtId="168" fontId="104" fillId="0" borderId="22" xfId="0" applyNumberFormat="1" applyFont="1" applyBorder="1"/>
    <xf numFmtId="3" fontId="121" fillId="0" borderId="0" xfId="0" applyNumberFormat="1" applyFont="1"/>
    <xf numFmtId="168" fontId="101" fillId="32" borderId="152" xfId="0" applyNumberFormat="1" applyFont="1" applyFill="1" applyBorder="1"/>
    <xf numFmtId="168" fontId="101" fillId="32" borderId="153" xfId="0" applyNumberFormat="1" applyFont="1" applyFill="1" applyBorder="1"/>
    <xf numFmtId="165" fontId="101" fillId="0" borderId="0" xfId="181" applyNumberFormat="1" applyFont="1" applyFill="1" applyBorder="1"/>
    <xf numFmtId="0" fontId="72" fillId="0" borderId="0" xfId="0" applyFont="1" applyAlignment="1">
      <alignment horizontal="left"/>
    </xf>
    <xf numFmtId="165" fontId="67" fillId="0" borderId="0" xfId="181" applyNumberFormat="1" applyFont="1" applyFill="1"/>
    <xf numFmtId="3" fontId="73" fillId="0" borderId="0" xfId="0" applyNumberFormat="1" applyFont="1"/>
    <xf numFmtId="49" fontId="71" fillId="0" borderId="0" xfId="0" applyNumberFormat="1" applyFont="1" applyAlignment="1">
      <alignment horizontal="left" vertical="top"/>
    </xf>
    <xf numFmtId="0" fontId="151" fillId="0" borderId="0" xfId="0" applyFont="1"/>
    <xf numFmtId="4" fontId="152" fillId="32" borderId="34" xfId="0" applyNumberFormat="1" applyFont="1" applyFill="1" applyBorder="1" applyProtection="1">
      <protection locked="0"/>
    </xf>
    <xf numFmtId="0" fontId="68" fillId="30" borderId="19" xfId="0" applyFont="1" applyFill="1" applyBorder="1"/>
    <xf numFmtId="0" fontId="68" fillId="30" borderId="82" xfId="0" applyFont="1" applyFill="1" applyBorder="1"/>
    <xf numFmtId="3" fontId="153" fillId="32" borderId="66" xfId="0" applyNumberFormat="1" applyFont="1" applyFill="1" applyBorder="1" applyProtection="1">
      <protection locked="0"/>
    </xf>
    <xf numFmtId="3" fontId="153" fillId="32" borderId="65" xfId="0" applyNumberFormat="1" applyFont="1" applyFill="1" applyBorder="1" applyProtection="1">
      <protection locked="0"/>
    </xf>
    <xf numFmtId="3" fontId="153" fillId="32" borderId="29" xfId="0" applyNumberFormat="1" applyFont="1" applyFill="1" applyBorder="1" applyProtection="1">
      <protection locked="0"/>
    </xf>
    <xf numFmtId="3" fontId="153" fillId="32" borderId="23" xfId="0" applyNumberFormat="1" applyFont="1" applyFill="1" applyBorder="1" applyProtection="1">
      <protection locked="0"/>
    </xf>
    <xf numFmtId="37" fontId="153" fillId="33" borderId="10" xfId="0" applyNumberFormat="1" applyFont="1" applyFill="1" applyBorder="1" applyAlignment="1" applyProtection="1">
      <alignment horizontal="right"/>
      <protection locked="0"/>
    </xf>
    <xf numFmtId="37" fontId="153" fillId="32" borderId="10" xfId="0" applyNumberFormat="1" applyFont="1" applyFill="1" applyBorder="1" applyAlignment="1" applyProtection="1">
      <alignment horizontal="right"/>
      <protection locked="0"/>
    </xf>
    <xf numFmtId="37" fontId="153" fillId="33" borderId="10" xfId="0" applyNumberFormat="1" applyFont="1" applyFill="1" applyBorder="1" applyProtection="1">
      <protection locked="0"/>
    </xf>
    <xf numFmtId="168" fontId="153" fillId="32" borderId="0" xfId="0" applyNumberFormat="1" applyFont="1" applyFill="1" applyProtection="1">
      <protection locked="0"/>
    </xf>
    <xf numFmtId="168" fontId="153" fillId="32" borderId="29" xfId="0" applyNumberFormat="1" applyFont="1" applyFill="1" applyBorder="1" applyProtection="1">
      <protection locked="0"/>
    </xf>
    <xf numFmtId="3" fontId="153" fillId="32" borderId="0" xfId="0" applyNumberFormat="1" applyFont="1" applyFill="1" applyProtection="1">
      <protection locked="0"/>
    </xf>
    <xf numFmtId="3" fontId="153" fillId="32" borderId="47" xfId="0" applyNumberFormat="1" applyFont="1" applyFill="1" applyBorder="1" applyProtection="1">
      <protection locked="0"/>
    </xf>
    <xf numFmtId="168" fontId="154" fillId="32" borderId="34" xfId="0" applyNumberFormat="1" applyFont="1" applyFill="1" applyBorder="1" applyProtection="1">
      <protection locked="0"/>
    </xf>
    <xf numFmtId="49" fontId="68" fillId="0" borderId="0" xfId="0" applyNumberFormat="1" applyFont="1" applyAlignment="1" applyProtection="1">
      <alignment horizontal="left" vertical="top" wrapText="1"/>
      <protection locked="0"/>
    </xf>
    <xf numFmtId="0" fontId="156" fillId="0" borderId="0" xfId="0" applyFont="1"/>
    <xf numFmtId="0" fontId="70" fillId="0" borderId="159" xfId="0" applyFont="1" applyBorder="1" applyAlignment="1">
      <alignment horizontal="center"/>
    </xf>
    <xf numFmtId="0" fontId="150" fillId="0" borderId="0" xfId="0" applyFont="1"/>
    <xf numFmtId="0" fontId="70" fillId="0" borderId="0" xfId="0" applyFont="1" applyAlignment="1">
      <alignment horizontal="left" vertical="top"/>
    </xf>
    <xf numFmtId="166" fontId="68" fillId="32" borderId="51" xfId="0" applyNumberFormat="1" applyFont="1" applyFill="1" applyBorder="1"/>
    <xf numFmtId="166" fontId="68" fillId="32" borderId="50" xfId="0" applyNumberFormat="1" applyFont="1" applyFill="1" applyBorder="1"/>
    <xf numFmtId="171" fontId="68" fillId="32" borderId="144" xfId="182" applyNumberFormat="1" applyFont="1" applyFill="1" applyBorder="1"/>
    <xf numFmtId="171" fontId="68" fillId="32" borderId="51" xfId="182" applyNumberFormat="1" applyFont="1" applyFill="1" applyBorder="1"/>
    <xf numFmtId="171" fontId="68" fillId="32" borderId="50" xfId="182" applyNumberFormat="1" applyFont="1" applyFill="1" applyBorder="1"/>
    <xf numFmtId="171" fontId="68" fillId="32" borderId="0" xfId="182" applyNumberFormat="1" applyFont="1" applyFill="1"/>
    <xf numFmtId="169" fontId="74" fillId="32" borderId="29" xfId="17654" applyNumberFormat="1" applyFont="1" applyFill="1" applyBorder="1"/>
    <xf numFmtId="166" fontId="68" fillId="32" borderId="34" xfId="182" applyNumberFormat="1" applyFont="1" applyFill="1" applyBorder="1"/>
    <xf numFmtId="166" fontId="74" fillId="32" borderId="34" xfId="17654" applyNumberFormat="1" applyFont="1" applyFill="1" applyBorder="1"/>
    <xf numFmtId="170" fontId="70" fillId="32" borderId="0" xfId="181" applyNumberFormat="1" applyFont="1" applyFill="1" applyBorder="1"/>
    <xf numFmtId="0" fontId="159" fillId="0" borderId="0" xfId="0" applyFont="1"/>
    <xf numFmtId="0" fontId="159" fillId="32" borderId="0" xfId="0" applyFont="1" applyFill="1"/>
    <xf numFmtId="0" fontId="68" fillId="32" borderId="0" xfId="0" applyFont="1" applyFill="1"/>
    <xf numFmtId="3" fontId="68" fillId="32" borderId="23" xfId="0" applyNumberFormat="1" applyFont="1" applyFill="1" applyBorder="1"/>
    <xf numFmtId="168" fontId="101" fillId="32" borderId="23" xfId="0" applyNumberFormat="1" applyFont="1" applyFill="1" applyBorder="1"/>
    <xf numFmtId="0" fontId="70" fillId="0" borderId="0" xfId="17654" applyFont="1"/>
    <xf numFmtId="165" fontId="96" fillId="0" borderId="0" xfId="0" applyNumberFormat="1" applyFont="1" applyAlignment="1">
      <alignment wrapText="1"/>
    </xf>
    <xf numFmtId="43" fontId="96" fillId="0" borderId="0" xfId="181" applyFont="1" applyAlignment="1">
      <alignment wrapText="1"/>
    </xf>
    <xf numFmtId="0" fontId="14" fillId="0" borderId="0" xfId="720" applyFont="1" applyAlignment="1">
      <alignment vertical="top" wrapText="1"/>
    </xf>
    <xf numFmtId="0" fontId="109" fillId="0" borderId="0" xfId="720" applyFont="1" applyAlignment="1">
      <alignment vertical="top" wrapText="1"/>
    </xf>
    <xf numFmtId="0" fontId="150" fillId="37" borderId="0" xfId="49346" applyFont="1" applyFill="1" applyAlignment="1">
      <alignment horizontal="center" wrapText="1"/>
    </xf>
    <xf numFmtId="0" fontId="100" fillId="0" borderId="0" xfId="0" applyFont="1" applyAlignment="1">
      <alignment horizontal="center" wrapText="1"/>
    </xf>
    <xf numFmtId="0" fontId="122" fillId="73" borderId="83" xfId="0" applyFont="1" applyFill="1" applyBorder="1"/>
    <xf numFmtId="0" fontId="122" fillId="73" borderId="81" xfId="0" applyFont="1" applyFill="1" applyBorder="1"/>
    <xf numFmtId="0" fontId="96" fillId="0" borderId="147" xfId="0" applyFont="1" applyBorder="1" applyAlignment="1">
      <alignment horizontal="center"/>
    </xf>
    <xf numFmtId="0" fontId="104" fillId="29" borderId="81" xfId="0" applyFont="1" applyFill="1" applyBorder="1"/>
    <xf numFmtId="0" fontId="104" fillId="29" borderId="83" xfId="0" applyFont="1" applyFill="1" applyBorder="1"/>
    <xf numFmtId="0" fontId="104" fillId="29" borderId="82" xfId="0" applyFont="1" applyFill="1" applyBorder="1"/>
    <xf numFmtId="0" fontId="104" fillId="0" borderId="81" xfId="0" applyFont="1" applyBorder="1"/>
    <xf numFmtId="168" fontId="104" fillId="0" borderId="82" xfId="0" applyNumberFormat="1" applyFont="1" applyBorder="1"/>
    <xf numFmtId="0" fontId="100" fillId="0" borderId="0" xfId="0" applyFont="1" applyAlignment="1">
      <alignment wrapText="1"/>
    </xf>
    <xf numFmtId="0" fontId="100" fillId="0" borderId="0" xfId="0" applyFont="1" applyAlignment="1">
      <alignment horizontal="center"/>
    </xf>
    <xf numFmtId="0" fontId="150" fillId="0" borderId="0" xfId="49346" applyFont="1" applyAlignment="1">
      <alignment wrapText="1"/>
    </xf>
    <xf numFmtId="37" fontId="96" fillId="0" borderId="165" xfId="0" applyNumberFormat="1" applyFont="1" applyBorder="1"/>
    <xf numFmtId="37" fontId="104" fillId="0" borderId="165" xfId="0" applyNumberFormat="1" applyFont="1" applyBorder="1"/>
    <xf numFmtId="37" fontId="125" fillId="0" borderId="165" xfId="0" applyNumberFormat="1" applyFont="1" applyBorder="1"/>
    <xf numFmtId="37" fontId="125" fillId="0" borderId="0" xfId="0" applyNumberFormat="1" applyFont="1"/>
    <xf numFmtId="37" fontId="96" fillId="24" borderId="165" xfId="0" applyNumberFormat="1" applyFont="1" applyFill="1" applyBorder="1"/>
    <xf numFmtId="37" fontId="96" fillId="24" borderId="0" xfId="0" applyNumberFormat="1" applyFont="1" applyFill="1"/>
    <xf numFmtId="37" fontId="96" fillId="0" borderId="0" xfId="0" applyNumberFormat="1" applyFont="1" applyAlignment="1">
      <alignment horizontal="right"/>
    </xf>
    <xf numFmtId="37" fontId="129" fillId="24" borderId="115" xfId="0" applyNumberFormat="1" applyFont="1" applyFill="1" applyBorder="1" applyAlignment="1">
      <alignment horizontal="right"/>
    </xf>
    <xf numFmtId="0" fontId="96" fillId="0" borderId="165" xfId="0" applyFont="1" applyBorder="1"/>
    <xf numFmtId="37" fontId="130" fillId="0" borderId="0" xfId="0" applyNumberFormat="1" applyFont="1"/>
    <xf numFmtId="37" fontId="104" fillId="0" borderId="165" xfId="0" applyNumberFormat="1" applyFont="1" applyBorder="1" applyAlignment="1">
      <alignment horizontal="fill"/>
    </xf>
    <xf numFmtId="37" fontId="96" fillId="25" borderId="165" xfId="0" applyNumberFormat="1" applyFont="1" applyFill="1" applyBorder="1"/>
    <xf numFmtId="0" fontId="104" fillId="0" borderId="165" xfId="0" applyFont="1" applyBorder="1"/>
    <xf numFmtId="37" fontId="104" fillId="0" borderId="166" xfId="0" applyNumberFormat="1" applyFont="1" applyBorder="1"/>
    <xf numFmtId="37" fontId="96" fillId="0" borderId="62" xfId="0" applyNumberFormat="1" applyFont="1" applyBorder="1"/>
    <xf numFmtId="37" fontId="96" fillId="0" borderId="62" xfId="0" applyNumberFormat="1" applyFont="1" applyBorder="1" applyAlignment="1">
      <alignment horizontal="right"/>
    </xf>
    <xf numFmtId="5" fontId="104" fillId="74" borderId="167" xfId="0" applyNumberFormat="1" applyFont="1" applyFill="1" applyBorder="1"/>
    <xf numFmtId="37" fontId="104" fillId="0" borderId="169" xfId="0" applyNumberFormat="1" applyFont="1" applyBorder="1"/>
    <xf numFmtId="37" fontId="104" fillId="0" borderId="168" xfId="0" applyNumberFormat="1" applyFont="1" applyBorder="1"/>
    <xf numFmtId="37" fontId="104" fillId="0" borderId="168" xfId="0" applyNumberFormat="1" applyFont="1" applyBorder="1" applyAlignment="1">
      <alignment horizontal="center" wrapText="1"/>
    </xf>
    <xf numFmtId="37" fontId="104" fillId="0" borderId="164" xfId="0" applyNumberFormat="1" applyFont="1" applyBorder="1" applyAlignment="1">
      <alignment horizontal="center" wrapText="1"/>
    </xf>
    <xf numFmtId="37" fontId="96" fillId="0" borderId="171" xfId="0" applyNumberFormat="1" applyFont="1" applyBorder="1" applyAlignment="1">
      <alignment horizontal="right"/>
    </xf>
    <xf numFmtId="5" fontId="126" fillId="74" borderId="167" xfId="0" applyNumberFormat="1" applyFont="1" applyFill="1" applyBorder="1"/>
    <xf numFmtId="37" fontId="104" fillId="0" borderId="172" xfId="0" applyNumberFormat="1" applyFont="1" applyBorder="1"/>
    <xf numFmtId="37" fontId="96" fillId="0" borderId="173" xfId="0" applyNumberFormat="1" applyFont="1" applyBorder="1"/>
    <xf numFmtId="37" fontId="96" fillId="0" borderId="174" xfId="0" applyNumberFormat="1" applyFont="1" applyBorder="1" applyAlignment="1">
      <alignment horizontal="right"/>
    </xf>
    <xf numFmtId="5" fontId="104" fillId="74" borderId="174" xfId="0" applyNumberFormat="1" applyFont="1" applyFill="1" applyBorder="1"/>
    <xf numFmtId="5" fontId="126" fillId="74" borderId="175" xfId="0" applyNumberFormat="1" applyFont="1" applyFill="1" applyBorder="1" applyAlignment="1">
      <alignment horizontal="right"/>
    </xf>
    <xf numFmtId="0" fontId="131" fillId="0" borderId="0" xfId="0" applyFont="1"/>
    <xf numFmtId="0" fontId="96" fillId="0" borderId="62" xfId="0" applyFont="1" applyBorder="1"/>
    <xf numFmtId="37" fontId="104" fillId="30" borderId="169" xfId="0" applyNumberFormat="1" applyFont="1" applyFill="1" applyBorder="1"/>
    <xf numFmtId="37" fontId="96" fillId="30" borderId="168" xfId="0" applyNumberFormat="1" applyFont="1" applyFill="1" applyBorder="1"/>
    <xf numFmtId="37" fontId="96" fillId="30" borderId="170" xfId="0" applyNumberFormat="1" applyFont="1" applyFill="1" applyBorder="1"/>
    <xf numFmtId="37" fontId="96" fillId="30" borderId="164" xfId="0" applyNumberFormat="1" applyFont="1" applyFill="1" applyBorder="1"/>
    <xf numFmtId="0" fontId="162" fillId="0" borderId="0" xfId="0" applyFont="1" applyAlignment="1">
      <alignment vertical="top" wrapText="1"/>
    </xf>
    <xf numFmtId="0" fontId="70" fillId="0" borderId="47" xfId="0" applyFont="1" applyBorder="1" applyAlignment="1">
      <alignment horizontal="center"/>
    </xf>
    <xf numFmtId="0" fontId="70" fillId="30" borderId="47" xfId="0" applyFont="1" applyFill="1" applyBorder="1"/>
    <xf numFmtId="0" fontId="70" fillId="71" borderId="47" xfId="0" applyFont="1" applyFill="1" applyBorder="1"/>
    <xf numFmtId="4" fontId="145" fillId="0" borderId="47" xfId="0" applyNumberFormat="1" applyFont="1" applyBorder="1"/>
    <xf numFmtId="0" fontId="68" fillId="0" borderId="176" xfId="0" applyFont="1" applyBorder="1"/>
    <xf numFmtId="0" fontId="68" fillId="0" borderId="176" xfId="0" applyFont="1" applyBorder="1" applyAlignment="1">
      <alignment horizontal="center"/>
    </xf>
    <xf numFmtId="3" fontId="152" fillId="32" borderId="176" xfId="17654" applyNumberFormat="1" applyFont="1" applyFill="1" applyBorder="1" applyAlignment="1" applyProtection="1">
      <alignment horizontal="right"/>
      <protection locked="0"/>
    </xf>
    <xf numFmtId="4" fontId="68" fillId="0" borderId="176" xfId="0" applyNumberFormat="1" applyFont="1" applyBorder="1"/>
    <xf numFmtId="3" fontId="70" fillId="0" borderId="83" xfId="0" applyNumberFormat="1" applyFont="1" applyBorder="1"/>
    <xf numFmtId="0" fontId="68" fillId="0" borderId="34" xfId="0" applyFont="1" applyBorder="1"/>
    <xf numFmtId="0" fontId="68" fillId="0" borderId="34" xfId="0" applyFont="1" applyBorder="1" applyAlignment="1">
      <alignment horizontal="center"/>
    </xf>
    <xf numFmtId="3" fontId="152" fillId="32" borderId="34" xfId="0" applyNumberFormat="1" applyFont="1" applyFill="1" applyBorder="1" applyAlignment="1" applyProtection="1">
      <alignment horizontal="right"/>
      <protection locked="0"/>
    </xf>
    <xf numFmtId="4" fontId="68" fillId="0" borderId="34" xfId="0" applyNumberFormat="1" applyFont="1" applyBorder="1"/>
    <xf numFmtId="168" fontId="68" fillId="0" borderId="34" xfId="0" applyNumberFormat="1" applyFont="1" applyBorder="1"/>
    <xf numFmtId="168" fontId="70" fillId="0" borderId="67" xfId="0" applyNumberFormat="1" applyFont="1" applyBorder="1"/>
    <xf numFmtId="0" fontId="68" fillId="72" borderId="81" xfId="0" applyFont="1" applyFill="1" applyBorder="1"/>
    <xf numFmtId="0" fontId="68" fillId="72" borderId="82" xfId="0" applyFont="1" applyFill="1" applyBorder="1"/>
    <xf numFmtId="0" fontId="68" fillId="30" borderId="81" xfId="530" applyFont="1" applyFill="1" applyBorder="1"/>
    <xf numFmtId="0" fontId="68" fillId="30" borderId="82" xfId="530" applyFont="1" applyFill="1" applyBorder="1"/>
    <xf numFmtId="0" fontId="70" fillId="29" borderId="81" xfId="0" applyFont="1" applyFill="1" applyBorder="1"/>
    <xf numFmtId="0" fontId="70" fillId="29" borderId="82" xfId="0" applyFont="1" applyFill="1" applyBorder="1"/>
    <xf numFmtId="0" fontId="96" fillId="0" borderId="47" xfId="0" applyFont="1" applyBorder="1"/>
    <xf numFmtId="0" fontId="104" fillId="0" borderId="47" xfId="0" applyFont="1" applyBorder="1"/>
    <xf numFmtId="0" fontId="136" fillId="30" borderId="82" xfId="0" applyFont="1" applyFill="1" applyBorder="1" applyAlignment="1">
      <alignment horizontal="center" wrapText="1"/>
    </xf>
    <xf numFmtId="0" fontId="102" fillId="0" borderId="56" xfId="0" applyFont="1" applyBorder="1" applyAlignment="1">
      <alignment horizontal="center"/>
    </xf>
    <xf numFmtId="37" fontId="139" fillId="76" borderId="47" xfId="0" applyNumberFormat="1" applyFont="1" applyFill="1" applyBorder="1" applyAlignment="1">
      <alignment horizontal="right"/>
    </xf>
    <xf numFmtId="37" fontId="101" fillId="26" borderId="47" xfId="0" applyNumberFormat="1" applyFont="1" applyFill="1" applyBorder="1" applyAlignment="1">
      <alignment horizontal="fill"/>
    </xf>
    <xf numFmtId="165" fontId="101" fillId="26" borderId="47" xfId="181" applyNumberFormat="1" applyFont="1" applyFill="1" applyBorder="1" applyAlignment="1" applyProtection="1">
      <alignment horizontal="fill"/>
    </xf>
    <xf numFmtId="0" fontId="70" fillId="0" borderId="178" xfId="0" applyFont="1" applyBorder="1" applyAlignment="1">
      <alignment horizontal="center"/>
    </xf>
    <xf numFmtId="166" fontId="68" fillId="32" borderId="179" xfId="0" applyNumberFormat="1" applyFont="1" applyFill="1" applyBorder="1"/>
    <xf numFmtId="166" fontId="68" fillId="36" borderId="178" xfId="0" applyNumberFormat="1" applyFont="1" applyFill="1" applyBorder="1"/>
    <xf numFmtId="4" fontId="68" fillId="0" borderId="178" xfId="181" applyNumberFormat="1" applyFont="1" applyBorder="1" applyProtection="1"/>
    <xf numFmtId="37" fontId="96" fillId="0" borderId="180" xfId="0" applyNumberFormat="1" applyFont="1" applyBorder="1"/>
    <xf numFmtId="37" fontId="96" fillId="0" borderId="181" xfId="0" applyNumberFormat="1" applyFont="1" applyBorder="1" applyAlignment="1">
      <alignment horizontal="right"/>
    </xf>
    <xf numFmtId="37" fontId="96" fillId="0" borderId="182" xfId="0" applyNumberFormat="1" applyFont="1" applyBorder="1"/>
    <xf numFmtId="0" fontId="96" fillId="0" borderId="180" xfId="0" applyFont="1" applyBorder="1"/>
    <xf numFmtId="0" fontId="96" fillId="0" borderId="181" xfId="0" applyFont="1" applyBorder="1" applyAlignment="1">
      <alignment horizontal="right"/>
    </xf>
    <xf numFmtId="37" fontId="104" fillId="0" borderId="183" xfId="0" applyNumberFormat="1" applyFont="1" applyBorder="1" applyAlignment="1">
      <alignment horizontal="fill"/>
    </xf>
    <xf numFmtId="37" fontId="104" fillId="24" borderId="183" xfId="0" applyNumberFormat="1" applyFont="1" applyFill="1" applyBorder="1" applyAlignment="1">
      <alignment horizontal="fill"/>
    </xf>
    <xf numFmtId="37" fontId="104" fillId="24" borderId="184" xfId="0" applyNumberFormat="1" applyFont="1" applyFill="1" applyBorder="1" applyAlignment="1">
      <alignment horizontal="fill"/>
    </xf>
    <xf numFmtId="170" fontId="70" fillId="32" borderId="180" xfId="181" applyNumberFormat="1" applyFont="1" applyFill="1" applyBorder="1"/>
    <xf numFmtId="170" fontId="70" fillId="0" borderId="180" xfId="181" applyNumberFormat="1" applyFont="1" applyFill="1" applyBorder="1"/>
    <xf numFmtId="0" fontId="70" fillId="0" borderId="180" xfId="0" applyFont="1" applyBorder="1" applyAlignment="1">
      <alignment horizontal="center" wrapText="1"/>
    </xf>
    <xf numFmtId="5" fontId="68" fillId="0" borderId="180" xfId="181" applyNumberFormat="1" applyFont="1" applyFill="1" applyBorder="1" applyProtection="1"/>
    <xf numFmtId="5" fontId="68" fillId="0" borderId="180" xfId="181" applyNumberFormat="1" applyFont="1" applyBorder="1" applyProtection="1"/>
    <xf numFmtId="5" fontId="68" fillId="0" borderId="180" xfId="181" quotePrefix="1" applyNumberFormat="1" applyFont="1" applyFill="1" applyBorder="1" applyProtection="1"/>
    <xf numFmtId="5" fontId="68" fillId="0" borderId="180" xfId="0" applyNumberFormat="1" applyFont="1" applyBorder="1"/>
    <xf numFmtId="10" fontId="70" fillId="0" borderId="180" xfId="3292" applyNumberFormat="1" applyFont="1" applyBorder="1" applyProtection="1"/>
    <xf numFmtId="0" fontId="70" fillId="0" borderId="180" xfId="0" applyFont="1" applyBorder="1"/>
    <xf numFmtId="165" fontId="68" fillId="0" borderId="180" xfId="192" applyNumberFormat="1" applyFont="1" applyBorder="1" applyProtection="1"/>
    <xf numFmtId="37" fontId="96" fillId="0" borderId="183" xfId="0" applyNumberFormat="1" applyFont="1" applyBorder="1" applyAlignment="1">
      <alignment horizontal="right"/>
    </xf>
    <xf numFmtId="0" fontId="73" fillId="0" borderId="0" xfId="0" applyFont="1"/>
    <xf numFmtId="0" fontId="70" fillId="0" borderId="187" xfId="0" applyFont="1" applyBorder="1" applyAlignment="1">
      <alignment horizontal="center"/>
    </xf>
    <xf numFmtId="166" fontId="68" fillId="69" borderId="185" xfId="0" applyNumberFormat="1" applyFont="1" applyFill="1" applyBorder="1"/>
    <xf numFmtId="166" fontId="68" fillId="32" borderId="185" xfId="0" applyNumberFormat="1" applyFont="1" applyFill="1" applyBorder="1"/>
    <xf numFmtId="166" fontId="74" fillId="32" borderId="187" xfId="17654" applyNumberFormat="1" applyFont="1" applyFill="1" applyBorder="1"/>
    <xf numFmtId="4" fontId="152" fillId="32" borderId="187" xfId="0" applyNumberFormat="1" applyFont="1" applyFill="1" applyBorder="1" applyProtection="1">
      <protection locked="0"/>
    </xf>
    <xf numFmtId="0" fontId="152" fillId="32" borderId="187" xfId="0" applyFont="1" applyFill="1" applyBorder="1" applyProtection="1">
      <protection locked="0"/>
    </xf>
    <xf numFmtId="3" fontId="152" fillId="32" borderId="187" xfId="0" applyNumberFormat="1" applyFont="1" applyFill="1" applyBorder="1" applyAlignment="1" applyProtection="1">
      <alignment horizontal="right"/>
      <protection locked="0"/>
    </xf>
    <xf numFmtId="0" fontId="96" fillId="0" borderId="186" xfId="0" applyFont="1" applyBorder="1"/>
    <xf numFmtId="37" fontId="96" fillId="0" borderId="190" xfId="0" applyNumberFormat="1" applyFont="1" applyBorder="1"/>
    <xf numFmtId="37" fontId="96" fillId="30" borderId="186" xfId="0" applyNumberFormat="1" applyFont="1" applyFill="1" applyBorder="1"/>
    <xf numFmtId="0" fontId="102" fillId="0" borderId="186" xfId="0" applyFont="1" applyBorder="1"/>
    <xf numFmtId="0" fontId="63" fillId="0" borderId="0" xfId="0" applyFont="1" applyAlignment="1">
      <alignment horizontal="center"/>
    </xf>
    <xf numFmtId="49" fontId="0" fillId="0" borderId="0" xfId="0" applyNumberFormat="1"/>
    <xf numFmtId="4" fontId="68" fillId="0" borderId="193" xfId="181" applyNumberFormat="1" applyFont="1" applyBorder="1" applyProtection="1"/>
    <xf numFmtId="0" fontId="101" fillId="0" borderId="0" xfId="49346" applyFont="1" applyAlignment="1">
      <alignment wrapText="1"/>
    </xf>
    <xf numFmtId="166" fontId="68" fillId="32" borderId="194" xfId="0" applyNumberFormat="1" applyFont="1" applyFill="1" applyBorder="1"/>
    <xf numFmtId="171" fontId="68" fillId="32" borderId="194" xfId="182" applyNumberFormat="1" applyFont="1" applyFill="1" applyBorder="1"/>
    <xf numFmtId="37" fontId="153" fillId="33" borderId="195" xfId="0" applyNumberFormat="1" applyFont="1" applyFill="1" applyBorder="1" applyProtection="1">
      <protection locked="0"/>
    </xf>
    <xf numFmtId="0" fontId="101" fillId="0" borderId="0" xfId="49346" applyFont="1" applyAlignment="1">
      <alignment horizontal="center" wrapText="1"/>
    </xf>
    <xf numFmtId="0" fontId="123" fillId="37" borderId="0" xfId="49346" applyFont="1" applyFill="1" applyAlignment="1">
      <alignment horizontal="center"/>
    </xf>
    <xf numFmtId="0" fontId="123" fillId="0" borderId="0" xfId="49346" applyFont="1"/>
    <xf numFmtId="166" fontId="68" fillId="69" borderId="203" xfId="0" applyNumberFormat="1" applyFont="1" applyFill="1" applyBorder="1"/>
    <xf numFmtId="166" fontId="68" fillId="36" borderId="196" xfId="0" applyNumberFormat="1" applyFont="1" applyFill="1" applyBorder="1"/>
    <xf numFmtId="166" fontId="68" fillId="32" borderId="203" xfId="0" applyNumberFormat="1" applyFont="1" applyFill="1" applyBorder="1"/>
    <xf numFmtId="171" fontId="68" fillId="32" borderId="203" xfId="182" applyNumberFormat="1" applyFont="1" applyFill="1" applyBorder="1"/>
    <xf numFmtId="166" fontId="68" fillId="36" borderId="204" xfId="0" applyNumberFormat="1" applyFont="1" applyFill="1" applyBorder="1"/>
    <xf numFmtId="0" fontId="96" fillId="0" borderId="204" xfId="0" applyFont="1" applyBorder="1" applyAlignment="1">
      <alignment horizontal="center"/>
    </xf>
    <xf numFmtId="37" fontId="96" fillId="74" borderId="201" xfId="0" applyNumberFormat="1" applyFont="1" applyFill="1" applyBorder="1" applyAlignment="1">
      <alignment horizontal="right"/>
    </xf>
    <xf numFmtId="37" fontId="96" fillId="0" borderId="192" xfId="0" applyNumberFormat="1" applyFont="1" applyBorder="1" applyAlignment="1">
      <alignment horizontal="right"/>
    </xf>
    <xf numFmtId="37" fontId="125" fillId="24" borderId="192" xfId="0" applyNumberFormat="1" applyFont="1" applyFill="1" applyBorder="1"/>
    <xf numFmtId="5" fontId="104" fillId="74" borderId="211" xfId="0" applyNumberFormat="1" applyFont="1" applyFill="1" applyBorder="1"/>
    <xf numFmtId="0" fontId="68" fillId="32" borderId="214" xfId="495" applyFont="1" applyFill="1" applyBorder="1" applyAlignment="1">
      <alignment horizontal="center" wrapText="1"/>
    </xf>
    <xf numFmtId="3" fontId="68" fillId="32" borderId="215" xfId="181" applyNumberFormat="1" applyFont="1" applyFill="1" applyBorder="1"/>
    <xf numFmtId="3" fontId="68" fillId="36" borderId="215" xfId="0" applyNumberFormat="1" applyFont="1" applyFill="1" applyBorder="1" applyAlignment="1">
      <alignment horizontal="right"/>
    </xf>
    <xf numFmtId="0" fontId="68" fillId="32" borderId="215" xfId="495" applyFont="1" applyFill="1" applyBorder="1" applyAlignment="1">
      <alignment horizontal="center" wrapText="1"/>
    </xf>
    <xf numFmtId="0" fontId="68" fillId="0" borderId="218" xfId="0" applyFont="1" applyBorder="1"/>
    <xf numFmtId="0" fontId="68" fillId="0" borderId="219" xfId="0" applyFont="1" applyBorder="1"/>
    <xf numFmtId="0" fontId="68" fillId="77" borderId="219" xfId="0" applyFont="1" applyFill="1" applyBorder="1"/>
    <xf numFmtId="3" fontId="70" fillId="0" borderId="217" xfId="0" applyNumberFormat="1" applyFont="1" applyBorder="1" applyAlignment="1">
      <alignment horizontal="center"/>
    </xf>
    <xf numFmtId="166" fontId="68" fillId="36" borderId="220" xfId="0" applyNumberFormat="1" applyFont="1" applyFill="1" applyBorder="1"/>
    <xf numFmtId="166" fontId="68" fillId="36" borderId="214" xfId="0" applyNumberFormat="1" applyFont="1" applyFill="1" applyBorder="1"/>
    <xf numFmtId="0" fontId="68" fillId="0" borderId="214" xfId="0" applyFont="1" applyBorder="1"/>
    <xf numFmtId="171" fontId="68" fillId="32" borderId="200" xfId="182" applyNumberFormat="1" applyFont="1" applyFill="1" applyBorder="1"/>
    <xf numFmtId="166" fontId="68" fillId="36" borderId="215" xfId="0" applyNumberFormat="1" applyFont="1" applyFill="1" applyBorder="1"/>
    <xf numFmtId="169" fontId="74" fillId="32" borderId="215" xfId="17654" applyNumberFormat="1" applyFont="1" applyFill="1" applyBorder="1"/>
    <xf numFmtId="166" fontId="68" fillId="32" borderId="215" xfId="182" applyNumberFormat="1" applyFont="1" applyFill="1" applyBorder="1"/>
    <xf numFmtId="166" fontId="74" fillId="32" borderId="215" xfId="17654" applyNumberFormat="1" applyFont="1" applyFill="1" applyBorder="1"/>
    <xf numFmtId="0" fontId="68" fillId="0" borderId="215" xfId="0" applyFont="1" applyBorder="1"/>
    <xf numFmtId="0" fontId="68" fillId="0" borderId="217" xfId="0" applyFont="1" applyBorder="1"/>
    <xf numFmtId="166" fontId="68" fillId="36" borderId="222" xfId="0" applyNumberFormat="1" applyFont="1" applyFill="1" applyBorder="1"/>
    <xf numFmtId="171" fontId="68" fillId="32" borderId="223" xfId="182" applyNumberFormat="1" applyFont="1" applyFill="1" applyBorder="1"/>
    <xf numFmtId="171" fontId="68" fillId="32" borderId="224" xfId="182" applyNumberFormat="1" applyFont="1" applyFill="1" applyBorder="1"/>
    <xf numFmtId="166" fontId="68" fillId="36" borderId="217" xfId="0" applyNumberFormat="1" applyFont="1" applyFill="1" applyBorder="1"/>
    <xf numFmtId="171" fontId="68" fillId="32" borderId="221" xfId="182" applyNumberFormat="1" applyFont="1" applyFill="1" applyBorder="1"/>
    <xf numFmtId="166" fontId="68" fillId="36" borderId="225" xfId="0" applyNumberFormat="1" applyFont="1" applyFill="1" applyBorder="1"/>
    <xf numFmtId="166" fontId="68" fillId="32" borderId="217" xfId="182" applyNumberFormat="1" applyFont="1" applyFill="1" applyBorder="1"/>
    <xf numFmtId="3" fontId="74" fillId="0" borderId="227" xfId="181" quotePrefix="1" applyNumberFormat="1" applyFont="1" applyFill="1" applyBorder="1" applyAlignment="1" applyProtection="1"/>
    <xf numFmtId="10" fontId="74" fillId="0" borderId="228" xfId="3292" quotePrefix="1" applyNumberFormat="1" applyFont="1" applyFill="1" applyBorder="1" applyAlignment="1" applyProtection="1">
      <alignment horizontal="right"/>
    </xf>
    <xf numFmtId="167" fontId="74" fillId="0" borderId="229" xfId="3292" applyNumberFormat="1" applyFont="1" applyBorder="1" applyAlignment="1" applyProtection="1">
      <alignment horizontal="right"/>
    </xf>
    <xf numFmtId="0" fontId="68" fillId="0" borderId="230" xfId="0" applyFont="1" applyBorder="1"/>
    <xf numFmtId="3" fontId="74" fillId="0" borderId="231" xfId="181" applyNumberFormat="1" applyFont="1" applyFill="1" applyBorder="1" applyAlignment="1" applyProtection="1"/>
    <xf numFmtId="3" fontId="74" fillId="0" borderId="232" xfId="181" applyNumberFormat="1" applyFont="1" applyBorder="1" applyProtection="1"/>
    <xf numFmtId="0" fontId="68" fillId="0" borderId="233" xfId="0" applyFont="1" applyBorder="1"/>
    <xf numFmtId="3" fontId="74" fillId="0" borderId="234" xfId="181" applyNumberFormat="1" applyFont="1" applyFill="1" applyBorder="1" applyAlignment="1" applyProtection="1"/>
    <xf numFmtId="3" fontId="74" fillId="0" borderId="235" xfId="181" applyNumberFormat="1" applyFont="1" applyBorder="1" applyProtection="1"/>
    <xf numFmtId="10" fontId="74" fillId="0" borderId="236" xfId="3292" quotePrefix="1" applyNumberFormat="1" applyFont="1" applyFill="1" applyBorder="1" applyAlignment="1" applyProtection="1">
      <alignment horizontal="right"/>
    </xf>
    <xf numFmtId="167" fontId="74" fillId="0" borderId="237" xfId="3292" applyNumberFormat="1" applyFont="1" applyBorder="1" applyAlignment="1" applyProtection="1">
      <alignment horizontal="right"/>
    </xf>
    <xf numFmtId="3" fontId="74" fillId="0" borderId="238" xfId="181" applyNumberFormat="1" applyFont="1" applyBorder="1" applyAlignment="1" applyProtection="1"/>
    <xf numFmtId="10" fontId="74" fillId="0" borderId="232" xfId="3292" quotePrefix="1" applyNumberFormat="1" applyFont="1" applyFill="1" applyBorder="1" applyAlignment="1" applyProtection="1">
      <alignment horizontal="right"/>
    </xf>
    <xf numFmtId="167" fontId="74" fillId="0" borderId="239" xfId="3292" applyNumberFormat="1" applyFont="1" applyBorder="1" applyAlignment="1" applyProtection="1">
      <alignment horizontal="right"/>
    </xf>
    <xf numFmtId="3" fontId="74" fillId="0" borderId="240" xfId="181" applyNumberFormat="1" applyFont="1" applyBorder="1" applyAlignment="1" applyProtection="1"/>
    <xf numFmtId="3" fontId="74" fillId="0" borderId="240" xfId="181" applyNumberFormat="1" applyFont="1" applyBorder="1" applyProtection="1"/>
    <xf numFmtId="3" fontId="74" fillId="0" borderId="241" xfId="181" applyNumberFormat="1" applyFont="1" applyBorder="1" applyAlignment="1" applyProtection="1"/>
    <xf numFmtId="3" fontId="74" fillId="0" borderId="241" xfId="181" applyNumberFormat="1" applyFont="1" applyBorder="1" applyProtection="1"/>
    <xf numFmtId="10" fontId="74" fillId="0" borderId="235" xfId="3292" quotePrefix="1" applyNumberFormat="1" applyFont="1" applyFill="1" applyBorder="1" applyAlignment="1" applyProtection="1">
      <alignment horizontal="right"/>
    </xf>
    <xf numFmtId="167" fontId="74" fillId="0" borderId="242" xfId="3292" applyNumberFormat="1" applyFont="1" applyBorder="1" applyAlignment="1" applyProtection="1">
      <alignment horizontal="right"/>
    </xf>
    <xf numFmtId="37" fontId="74" fillId="0" borderId="244" xfId="0" applyNumberFormat="1" applyFont="1" applyBorder="1" applyAlignment="1">
      <alignment horizontal="left"/>
    </xf>
    <xf numFmtId="3" fontId="74" fillId="0" borderId="245" xfId="181" applyNumberFormat="1" applyFont="1" applyBorder="1" applyAlignment="1" applyProtection="1">
      <alignment horizontal="right"/>
    </xf>
    <xf numFmtId="37" fontId="74" fillId="0" borderId="244" xfId="0" applyNumberFormat="1" applyFont="1" applyBorder="1"/>
    <xf numFmtId="0" fontId="70" fillId="0" borderId="226" xfId="0" applyFont="1" applyBorder="1"/>
    <xf numFmtId="37" fontId="74" fillId="0" borderId="226" xfId="0" quotePrefix="1" applyNumberFormat="1" applyFont="1" applyBorder="1"/>
    <xf numFmtId="37" fontId="70" fillId="0" borderId="226" xfId="0" applyNumberFormat="1" applyFont="1" applyBorder="1"/>
    <xf numFmtId="37" fontId="68" fillId="0" borderId="246" xfId="0" applyNumberFormat="1" applyFont="1" applyBorder="1"/>
    <xf numFmtId="37" fontId="70" fillId="0" borderId="243" xfId="0" applyNumberFormat="1" applyFont="1" applyBorder="1"/>
    <xf numFmtId="4" fontId="152" fillId="32" borderId="214" xfId="0" applyNumberFormat="1" applyFont="1" applyFill="1" applyBorder="1" applyProtection="1">
      <protection locked="0"/>
    </xf>
    <xf numFmtId="4" fontId="68" fillId="0" borderId="214" xfId="181" applyNumberFormat="1" applyFont="1" applyBorder="1" applyProtection="1"/>
    <xf numFmtId="4" fontId="68" fillId="0" borderId="222" xfId="181" applyNumberFormat="1" applyFont="1" applyBorder="1" applyProtection="1"/>
    <xf numFmtId="4" fontId="152" fillId="32" borderId="217" xfId="0" applyNumberFormat="1" applyFont="1" applyFill="1" applyBorder="1" applyProtection="1">
      <protection locked="0"/>
    </xf>
    <xf numFmtId="4" fontId="68" fillId="0" borderId="217" xfId="181" applyNumberFormat="1" applyFont="1" applyBorder="1" applyProtection="1"/>
    <xf numFmtId="4" fontId="74" fillId="0" borderId="215" xfId="0" applyNumberFormat="1" applyFont="1" applyBorder="1"/>
    <xf numFmtId="4" fontId="145" fillId="0" borderId="215" xfId="0" applyNumberFormat="1" applyFont="1" applyBorder="1"/>
    <xf numFmtId="4" fontId="68" fillId="0" borderId="214" xfId="181" applyNumberFormat="1" applyFont="1" applyFill="1" applyBorder="1" applyProtection="1"/>
    <xf numFmtId="4" fontId="145" fillId="0" borderId="217" xfId="0" applyNumberFormat="1" applyFont="1" applyBorder="1"/>
    <xf numFmtId="4" fontId="68" fillId="0" borderId="222" xfId="181" applyNumberFormat="1" applyFont="1" applyFill="1" applyBorder="1" applyProtection="1"/>
    <xf numFmtId="4" fontId="68" fillId="0" borderId="217" xfId="181" applyNumberFormat="1" applyFont="1" applyFill="1" applyBorder="1" applyProtection="1"/>
    <xf numFmtId="3" fontId="152" fillId="32" borderId="247" xfId="0" applyNumberFormat="1" applyFont="1" applyFill="1" applyBorder="1" applyAlignment="1" applyProtection="1">
      <alignment horizontal="right"/>
      <protection locked="0"/>
    </xf>
    <xf numFmtId="0" fontId="68" fillId="0" borderId="247" xfId="0" applyFont="1" applyBorder="1"/>
    <xf numFmtId="0" fontId="68" fillId="0" borderId="247" xfId="0" applyFont="1" applyBorder="1" applyAlignment="1">
      <alignment horizontal="center"/>
    </xf>
    <xf numFmtId="4" fontId="68" fillId="0" borderId="247" xfId="0" applyNumberFormat="1" applyFont="1" applyBorder="1"/>
    <xf numFmtId="3" fontId="68" fillId="0" borderId="247" xfId="0" applyNumberFormat="1" applyFont="1" applyBorder="1"/>
    <xf numFmtId="3" fontId="152" fillId="32" borderId="248" xfId="0" applyNumberFormat="1" applyFont="1" applyFill="1" applyBorder="1" applyAlignment="1" applyProtection="1">
      <alignment horizontal="right"/>
      <protection locked="0"/>
    </xf>
    <xf numFmtId="0" fontId="68" fillId="0" borderId="249" xfId="0" applyFont="1" applyBorder="1"/>
    <xf numFmtId="0" fontId="68" fillId="0" borderId="249" xfId="0" applyFont="1" applyBorder="1" applyAlignment="1">
      <alignment horizontal="center"/>
    </xf>
    <xf numFmtId="3" fontId="152" fillId="32" borderId="249" xfId="0" applyNumberFormat="1" applyFont="1" applyFill="1" applyBorder="1" applyAlignment="1" applyProtection="1">
      <alignment horizontal="right"/>
      <protection locked="0"/>
    </xf>
    <xf numFmtId="4" fontId="68" fillId="0" borderId="249" xfId="0" applyNumberFormat="1" applyFont="1" applyBorder="1"/>
    <xf numFmtId="3" fontId="68" fillId="0" borderId="249" xfId="0" applyNumberFormat="1" applyFont="1" applyBorder="1"/>
    <xf numFmtId="0" fontId="68" fillId="0" borderId="214" xfId="0" applyFont="1" applyBorder="1" applyAlignment="1">
      <alignment horizontal="center"/>
    </xf>
    <xf numFmtId="4" fontId="68" fillId="0" borderId="214" xfId="0" applyNumberFormat="1" applyFont="1" applyBorder="1"/>
    <xf numFmtId="0" fontId="68" fillId="0" borderId="215" xfId="0" applyFont="1" applyBorder="1" applyAlignment="1">
      <alignment horizontal="center"/>
    </xf>
    <xf numFmtId="4" fontId="68" fillId="0" borderId="215" xfId="0" applyNumberFormat="1" applyFont="1" applyBorder="1"/>
    <xf numFmtId="3" fontId="68" fillId="0" borderId="215" xfId="0" applyNumberFormat="1" applyFont="1" applyBorder="1"/>
    <xf numFmtId="0" fontId="70" fillId="0" borderId="217" xfId="0" applyFont="1" applyBorder="1"/>
    <xf numFmtId="3" fontId="70" fillId="0" borderId="217" xfId="0" applyNumberFormat="1" applyFont="1" applyBorder="1"/>
    <xf numFmtId="4" fontId="70" fillId="0" borderId="217" xfId="0" applyNumberFormat="1" applyFont="1" applyBorder="1"/>
    <xf numFmtId="168" fontId="70" fillId="0" borderId="217" xfId="0" applyNumberFormat="1" applyFont="1" applyBorder="1"/>
    <xf numFmtId="3" fontId="152" fillId="32" borderId="215" xfId="0" applyNumberFormat="1" applyFont="1" applyFill="1" applyBorder="1" applyAlignment="1" applyProtection="1">
      <alignment horizontal="right"/>
      <protection locked="0"/>
    </xf>
    <xf numFmtId="0" fontId="68" fillId="0" borderId="217" xfId="0" applyFont="1" applyBorder="1" applyAlignment="1">
      <alignment horizontal="center"/>
    </xf>
    <xf numFmtId="3" fontId="152" fillId="32" borderId="217" xfId="0" applyNumberFormat="1" applyFont="1" applyFill="1" applyBorder="1" applyAlignment="1" applyProtection="1">
      <alignment horizontal="right"/>
      <protection locked="0"/>
    </xf>
    <xf numFmtId="4" fontId="68" fillId="0" borderId="217" xfId="0" applyNumberFormat="1" applyFont="1" applyBorder="1"/>
    <xf numFmtId="3" fontId="68" fillId="0" borderId="217" xfId="0" applyNumberFormat="1" applyFont="1" applyBorder="1"/>
    <xf numFmtId="0" fontId="152" fillId="32" borderId="214" xfId="0" applyFont="1" applyFill="1" applyBorder="1" applyProtection="1">
      <protection locked="0"/>
    </xf>
    <xf numFmtId="0" fontId="152" fillId="32" borderId="215" xfId="0" applyFont="1" applyFill="1" applyBorder="1" applyProtection="1">
      <protection locked="0"/>
    </xf>
    <xf numFmtId="0" fontId="96" fillId="0" borderId="215" xfId="0" applyFont="1" applyBorder="1"/>
    <xf numFmtId="0" fontId="96" fillId="0" borderId="215" xfId="0" applyFont="1" applyBorder="1" applyAlignment="1">
      <alignment horizontal="center"/>
    </xf>
    <xf numFmtId="0" fontId="104" fillId="0" borderId="217" xfId="0" applyFont="1" applyBorder="1"/>
    <xf numFmtId="168" fontId="104" fillId="0" borderId="217" xfId="0" applyNumberFormat="1" applyFont="1" applyBorder="1"/>
    <xf numFmtId="3" fontId="153" fillId="32" borderId="215" xfId="0" applyNumberFormat="1" applyFont="1" applyFill="1" applyBorder="1" applyProtection="1">
      <protection locked="0"/>
    </xf>
    <xf numFmtId="168" fontId="126" fillId="74" borderId="250" xfId="0" applyNumberFormat="1" applyFont="1" applyFill="1" applyBorder="1" applyAlignment="1">
      <alignment horizontal="right"/>
    </xf>
    <xf numFmtId="5" fontId="126" fillId="74" borderId="250" xfId="0" applyNumberFormat="1" applyFont="1" applyFill="1" applyBorder="1" applyAlignment="1">
      <alignment horizontal="right"/>
    </xf>
    <xf numFmtId="5" fontId="126" fillId="30" borderId="251" xfId="0" quotePrefix="1" applyNumberFormat="1" applyFont="1" applyFill="1" applyBorder="1" applyAlignment="1">
      <alignment horizontal="right"/>
    </xf>
    <xf numFmtId="37" fontId="96" fillId="24" borderId="252" xfId="0" applyNumberFormat="1" applyFont="1" applyFill="1" applyBorder="1" applyAlignment="1">
      <alignment horizontal="right"/>
    </xf>
    <xf numFmtId="5" fontId="126" fillId="74" borderId="251" xfId="0" applyNumberFormat="1" applyFont="1" applyFill="1" applyBorder="1" applyAlignment="1">
      <alignment horizontal="right"/>
    </xf>
    <xf numFmtId="37" fontId="96" fillId="30" borderId="200" xfId="0" applyNumberFormat="1" applyFont="1" applyFill="1" applyBorder="1" applyAlignment="1">
      <alignment horizontal="right"/>
    </xf>
    <xf numFmtId="37" fontId="96" fillId="0" borderId="253" xfId="0" applyNumberFormat="1" applyFont="1" applyBorder="1"/>
    <xf numFmtId="37" fontId="96" fillId="24" borderId="200" xfId="0" applyNumberFormat="1" applyFont="1" applyFill="1" applyBorder="1" applyAlignment="1">
      <alignment horizontal="right"/>
    </xf>
    <xf numFmtId="37" fontId="96" fillId="24" borderId="254" xfId="0" applyNumberFormat="1" applyFont="1" applyFill="1" applyBorder="1" applyAlignment="1">
      <alignment horizontal="right"/>
    </xf>
    <xf numFmtId="5" fontId="126" fillId="74" borderId="238" xfId="0" applyNumberFormat="1" applyFont="1" applyFill="1" applyBorder="1" applyAlignment="1">
      <alignment horizontal="right"/>
    </xf>
    <xf numFmtId="37" fontId="125" fillId="74" borderId="200" xfId="0" applyNumberFormat="1" applyFont="1" applyFill="1" applyBorder="1" applyAlignment="1">
      <alignment horizontal="right"/>
    </xf>
    <xf numFmtId="37" fontId="125" fillId="24" borderId="254" xfId="0" applyNumberFormat="1" applyFont="1" applyFill="1" applyBorder="1" applyAlignment="1">
      <alignment horizontal="right"/>
    </xf>
    <xf numFmtId="37" fontId="125" fillId="74" borderId="258" xfId="0" applyNumberFormat="1" applyFont="1" applyFill="1" applyBorder="1" applyAlignment="1">
      <alignment horizontal="right"/>
    </xf>
    <xf numFmtId="37" fontId="104" fillId="0" borderId="259" xfId="0" applyNumberFormat="1" applyFont="1" applyBorder="1"/>
    <xf numFmtId="37" fontId="96" fillId="0" borderId="226" xfId="0" applyNumberFormat="1" applyFont="1" applyBorder="1"/>
    <xf numFmtId="37" fontId="96" fillId="0" borderId="238" xfId="0" applyNumberFormat="1" applyFont="1" applyBorder="1" applyAlignment="1">
      <alignment horizontal="right"/>
    </xf>
    <xf numFmtId="37" fontId="104" fillId="0" borderId="253" xfId="0" applyNumberFormat="1" applyFont="1" applyBorder="1"/>
    <xf numFmtId="37" fontId="125" fillId="74" borderId="212" xfId="0" applyNumberFormat="1" applyFont="1" applyFill="1" applyBorder="1"/>
    <xf numFmtId="37" fontId="125" fillId="24" borderId="254" xfId="0" applyNumberFormat="1" applyFont="1" applyFill="1" applyBorder="1"/>
    <xf numFmtId="37" fontId="104" fillId="30" borderId="260" xfId="0" applyNumberFormat="1" applyFont="1" applyFill="1" applyBorder="1"/>
    <xf numFmtId="37" fontId="125" fillId="74" borderId="258" xfId="0" applyNumberFormat="1" applyFont="1" applyFill="1" applyBorder="1"/>
    <xf numFmtId="37" fontId="96" fillId="74" borderId="258" xfId="0" applyNumberFormat="1" applyFont="1" applyFill="1" applyBorder="1"/>
    <xf numFmtId="37" fontId="96" fillId="0" borderId="254" xfId="0" applyNumberFormat="1" applyFont="1" applyBorder="1"/>
    <xf numFmtId="0" fontId="96" fillId="0" borderId="209" xfId="0" applyFont="1" applyBorder="1"/>
    <xf numFmtId="0" fontId="96" fillId="0" borderId="210" xfId="0" applyFont="1" applyBorder="1"/>
    <xf numFmtId="0" fontId="96" fillId="0" borderId="206" xfId="0" applyFont="1" applyBorder="1" applyAlignment="1">
      <alignment horizontal="right"/>
    </xf>
    <xf numFmtId="37" fontId="96" fillId="24" borderId="208" xfId="0" applyNumberFormat="1" applyFont="1" applyFill="1" applyBorder="1"/>
    <xf numFmtId="37" fontId="96" fillId="74" borderId="264" xfId="0" applyNumberFormat="1" applyFont="1" applyFill="1" applyBorder="1"/>
    <xf numFmtId="37" fontId="96" fillId="24" borderId="254" xfId="0" applyNumberFormat="1" applyFont="1" applyFill="1" applyBorder="1"/>
    <xf numFmtId="5" fontId="104" fillId="74" borderId="208" xfId="0" applyNumberFormat="1" applyFont="1" applyFill="1" applyBorder="1"/>
    <xf numFmtId="0" fontId="102" fillId="0" borderId="265" xfId="0" applyFont="1" applyBorder="1"/>
    <xf numFmtId="0" fontId="102" fillId="0" borderId="266" xfId="0" applyFont="1" applyBorder="1"/>
    <xf numFmtId="0" fontId="102" fillId="0" borderId="266" xfId="0" applyFont="1" applyBorder="1" applyAlignment="1">
      <alignment horizontal="center"/>
    </xf>
    <xf numFmtId="3" fontId="154" fillId="32" borderId="267" xfId="0" applyNumberFormat="1" applyFont="1" applyFill="1" applyBorder="1" applyProtection="1">
      <protection locked="0"/>
    </xf>
    <xf numFmtId="3" fontId="102" fillId="0" borderId="267" xfId="0" applyNumberFormat="1" applyFont="1" applyBorder="1"/>
    <xf numFmtId="0" fontId="102" fillId="0" borderId="268" xfId="0" applyFont="1" applyBorder="1"/>
    <xf numFmtId="0" fontId="102" fillId="0" borderId="269" xfId="0" applyFont="1" applyBorder="1"/>
    <xf numFmtId="0" fontId="102" fillId="0" borderId="269" xfId="0" applyFont="1" applyBorder="1" applyAlignment="1">
      <alignment horizontal="center"/>
    </xf>
    <xf numFmtId="3" fontId="154" fillId="32" borderId="270" xfId="0" applyNumberFormat="1" applyFont="1" applyFill="1" applyBorder="1" applyProtection="1">
      <protection locked="0"/>
    </xf>
    <xf numFmtId="3" fontId="102" fillId="0" borderId="270" xfId="0" applyNumberFormat="1" applyFont="1" applyBorder="1"/>
    <xf numFmtId="0" fontId="102" fillId="0" borderId="267" xfId="0" applyFont="1" applyBorder="1" applyAlignment="1">
      <alignment horizontal="center"/>
    </xf>
    <xf numFmtId="0" fontId="102" fillId="0" borderId="270" xfId="0" applyFont="1" applyBorder="1" applyAlignment="1">
      <alignment horizontal="center"/>
    </xf>
    <xf numFmtId="0" fontId="102" fillId="75" borderId="267" xfId="0" applyFont="1" applyFill="1" applyBorder="1"/>
    <xf numFmtId="0" fontId="102" fillId="0" borderId="271" xfId="0" applyFont="1" applyBorder="1"/>
    <xf numFmtId="0" fontId="102" fillId="75" borderId="270" xfId="0" applyFont="1" applyFill="1" applyBorder="1"/>
    <xf numFmtId="0" fontId="141" fillId="0" borderId="258" xfId="663" applyFont="1" applyBorder="1" applyAlignment="1">
      <alignment horizontal="center" wrapText="1"/>
    </xf>
    <xf numFmtId="0" fontId="141" fillId="0" borderId="272" xfId="663" applyFont="1" applyBorder="1" applyAlignment="1">
      <alignment horizontal="center" wrapText="1"/>
    </xf>
    <xf numFmtId="9" fontId="122" fillId="0" borderId="258" xfId="663" applyNumberFormat="1" applyFont="1" applyBorder="1" applyAlignment="1">
      <alignment horizontal="center" wrapText="1"/>
    </xf>
    <xf numFmtId="9" fontId="141" fillId="0" borderId="272" xfId="663" applyNumberFormat="1" applyFont="1" applyBorder="1" applyAlignment="1">
      <alignment horizontal="center" wrapText="1"/>
    </xf>
    <xf numFmtId="0" fontId="120" fillId="0" borderId="274" xfId="663" applyFont="1" applyBorder="1"/>
    <xf numFmtId="44" fontId="105" fillId="0" borderId="273" xfId="378" applyFont="1" applyFill="1" applyBorder="1" applyProtection="1"/>
    <xf numFmtId="44" fontId="105" fillId="0" borderId="275" xfId="378" applyFont="1" applyFill="1" applyBorder="1" applyProtection="1"/>
    <xf numFmtId="0" fontId="105" fillId="0" borderId="274" xfId="663" applyFont="1" applyBorder="1"/>
    <xf numFmtId="44" fontId="105" fillId="0" borderId="258" xfId="378" applyFont="1" applyFill="1" applyBorder="1" applyProtection="1"/>
    <xf numFmtId="44" fontId="105" fillId="0" borderId="272" xfId="378" applyFont="1" applyFill="1" applyBorder="1" applyProtection="1"/>
    <xf numFmtId="0" fontId="105" fillId="0" borderId="274" xfId="663" applyFont="1" applyBorder="1" applyAlignment="1">
      <alignment horizontal="left"/>
    </xf>
    <xf numFmtId="0" fontId="105" fillId="0" borderId="276" xfId="663" applyFont="1" applyBorder="1"/>
    <xf numFmtId="0" fontId="120" fillId="0" borderId="258" xfId="663" applyFont="1" applyBorder="1"/>
    <xf numFmtId="0" fontId="120" fillId="0" borderId="272" xfId="663" applyFont="1" applyBorder="1"/>
    <xf numFmtId="0" fontId="141" fillId="0" borderId="273" xfId="663" applyFont="1" applyBorder="1" applyAlignment="1">
      <alignment horizontal="center" wrapText="1"/>
    </xf>
    <xf numFmtId="0" fontId="141" fillId="0" borderId="275" xfId="663" applyFont="1" applyBorder="1" applyAlignment="1">
      <alignment horizontal="center" wrapText="1"/>
    </xf>
    <xf numFmtId="0" fontId="120" fillId="0" borderId="276" xfId="663" applyFont="1" applyBorder="1"/>
    <xf numFmtId="0" fontId="105" fillId="0" borderId="276" xfId="663" applyFont="1" applyBorder="1" applyAlignment="1">
      <alignment horizontal="left"/>
    </xf>
    <xf numFmtId="0" fontId="105" fillId="0" borderId="277" xfId="663" applyFont="1" applyBorder="1"/>
    <xf numFmtId="44" fontId="105" fillId="0" borderId="278" xfId="378" applyFont="1" applyFill="1" applyBorder="1" applyProtection="1"/>
    <xf numFmtId="44" fontId="105" fillId="0" borderId="279" xfId="378" applyFont="1" applyFill="1" applyBorder="1" applyProtection="1"/>
    <xf numFmtId="0" fontId="141" fillId="0" borderId="280" xfId="663" applyFont="1" applyBorder="1" applyAlignment="1">
      <alignment horizontal="center" wrapText="1"/>
    </xf>
    <xf numFmtId="9" fontId="141" fillId="0" borderId="280" xfId="663" applyNumberFormat="1" applyFont="1" applyBorder="1" applyAlignment="1">
      <alignment horizontal="center" wrapText="1"/>
    </xf>
    <xf numFmtId="0" fontId="120" fillId="0" borderId="281" xfId="663" applyFont="1" applyBorder="1"/>
    <xf numFmtId="44" fontId="105" fillId="0" borderId="280" xfId="378" applyFont="1" applyFill="1" applyBorder="1" applyProtection="1"/>
    <xf numFmtId="0" fontId="105" fillId="0" borderId="281" xfId="663" applyFont="1" applyBorder="1"/>
    <xf numFmtId="0" fontId="105" fillId="0" borderId="281" xfId="663" applyFont="1" applyBorder="1" applyAlignment="1">
      <alignment horizontal="left"/>
    </xf>
    <xf numFmtId="0" fontId="120" fillId="0" borderId="280" xfId="663" applyFont="1" applyBorder="1"/>
    <xf numFmtId="44" fontId="105" fillId="0" borderId="258" xfId="378" applyFont="1" applyFill="1" applyBorder="1" applyAlignment="1" applyProtection="1">
      <alignment horizontal="right"/>
    </xf>
    <xf numFmtId="44" fontId="105" fillId="0" borderId="280" xfId="378" applyFont="1" applyFill="1" applyBorder="1" applyAlignment="1" applyProtection="1">
      <alignment horizontal="right"/>
    </xf>
    <xf numFmtId="0" fontId="105" fillId="0" borderId="282" xfId="663" applyFont="1" applyBorder="1"/>
    <xf numFmtId="44" fontId="105" fillId="0" borderId="283" xfId="378" applyFont="1" applyFill="1" applyBorder="1" applyAlignment="1" applyProtection="1">
      <alignment horizontal="right"/>
    </xf>
    <xf numFmtId="44" fontId="105" fillId="0" borderId="284" xfId="378" applyFont="1" applyFill="1" applyBorder="1" applyAlignment="1" applyProtection="1">
      <alignment horizontal="right"/>
    </xf>
    <xf numFmtId="44" fontId="105" fillId="0" borderId="258" xfId="378" quotePrefix="1" applyFont="1" applyFill="1" applyBorder="1" applyProtection="1"/>
    <xf numFmtId="44" fontId="105" fillId="0" borderId="283" xfId="378" applyFont="1" applyFill="1" applyBorder="1" applyProtection="1"/>
    <xf numFmtId="44" fontId="105" fillId="0" borderId="283" xfId="378" quotePrefix="1" applyFont="1" applyFill="1" applyBorder="1" applyProtection="1"/>
    <xf numFmtId="44" fontId="105" fillId="0" borderId="284" xfId="378" applyFont="1" applyFill="1" applyBorder="1" applyProtection="1"/>
    <xf numFmtId="44" fontId="105" fillId="0" borderId="280" xfId="378" quotePrefix="1" applyFont="1" applyFill="1" applyBorder="1" applyProtection="1"/>
    <xf numFmtId="0" fontId="74" fillId="27" borderId="285" xfId="663" applyFont="1" applyFill="1" applyBorder="1" applyAlignment="1">
      <alignment wrapText="1"/>
    </xf>
    <xf numFmtId="9" fontId="68" fillId="27" borderId="286" xfId="663" applyNumberFormat="1" applyFont="1" applyFill="1" applyBorder="1" applyAlignment="1">
      <alignment horizontal="center"/>
    </xf>
    <xf numFmtId="0" fontId="68" fillId="27" borderId="287" xfId="663" applyFont="1" applyFill="1" applyBorder="1"/>
    <xf numFmtId="0" fontId="74" fillId="28" borderId="285" xfId="663" applyFont="1" applyFill="1" applyBorder="1" applyAlignment="1">
      <alignment wrapText="1"/>
    </xf>
    <xf numFmtId="9" fontId="68" fillId="28" borderId="286" xfId="663" applyNumberFormat="1" applyFont="1" applyFill="1" applyBorder="1" applyAlignment="1">
      <alignment horizontal="center"/>
    </xf>
    <xf numFmtId="0" fontId="68" fillId="28" borderId="287" xfId="663" applyFont="1" applyFill="1" applyBorder="1"/>
    <xf numFmtId="0" fontId="74" fillId="27" borderId="285" xfId="663" applyFont="1" applyFill="1" applyBorder="1"/>
    <xf numFmtId="0" fontId="68" fillId="27" borderId="287" xfId="663" applyFont="1" applyFill="1" applyBorder="1" applyAlignment="1">
      <alignment wrapText="1"/>
    </xf>
    <xf numFmtId="0" fontId="68" fillId="28" borderId="287" xfId="663" applyFont="1" applyFill="1" applyBorder="1" applyAlignment="1">
      <alignment horizontal="left"/>
    </xf>
    <xf numFmtId="0" fontId="74" fillId="28" borderId="290" xfId="663" applyFont="1" applyFill="1" applyBorder="1" applyAlignment="1">
      <alignment wrapText="1"/>
    </xf>
    <xf numFmtId="9" fontId="68" fillId="28" borderId="291" xfId="663" applyNumberFormat="1" applyFont="1" applyFill="1" applyBorder="1" applyAlignment="1">
      <alignment horizontal="center"/>
    </xf>
    <xf numFmtId="0" fontId="68" fillId="28" borderId="292" xfId="663" applyFont="1" applyFill="1" applyBorder="1"/>
    <xf numFmtId="0" fontId="68" fillId="0" borderId="0" xfId="0" applyFont="1" applyAlignment="1">
      <alignment horizontal="left"/>
    </xf>
    <xf numFmtId="0" fontId="70" fillId="0" borderId="0" xfId="0" applyFont="1" applyAlignment="1">
      <alignment horizontal="left" vertical="top" wrapText="1"/>
    </xf>
    <xf numFmtId="0" fontId="74" fillId="0" borderId="0" xfId="0" applyFont="1" applyAlignment="1">
      <alignment horizontal="left"/>
    </xf>
    <xf numFmtId="0" fontId="67" fillId="32" borderId="45" xfId="530" applyFont="1" applyFill="1" applyBorder="1" applyAlignment="1" applyProtection="1">
      <alignment horizontal="center"/>
      <protection locked="0"/>
    </xf>
    <xf numFmtId="49" fontId="71" fillId="0" borderId="0" xfId="0" applyNumberFormat="1" applyFont="1" applyAlignment="1">
      <alignment horizontal="left" vertical="top" wrapText="1"/>
    </xf>
    <xf numFmtId="0" fontId="71" fillId="0" borderId="0" xfId="0" applyFont="1" applyAlignment="1">
      <alignment horizontal="left"/>
    </xf>
    <xf numFmtId="0" fontId="70" fillId="30" borderId="156" xfId="0" applyFont="1" applyFill="1" applyBorder="1" applyAlignment="1">
      <alignment horizontal="left"/>
    </xf>
    <xf numFmtId="0" fontId="70" fillId="30" borderId="157" xfId="0" applyFont="1" applyFill="1" applyBorder="1" applyAlignment="1">
      <alignment horizontal="left"/>
    </xf>
    <xf numFmtId="0" fontId="70" fillId="30" borderId="158" xfId="0" applyFont="1" applyFill="1" applyBorder="1" applyAlignment="1">
      <alignment horizontal="left"/>
    </xf>
    <xf numFmtId="0" fontId="70" fillId="30" borderId="38" xfId="0" applyFont="1" applyFill="1" applyBorder="1" applyAlignment="1">
      <alignment horizontal="left"/>
    </xf>
    <xf numFmtId="0" fontId="70" fillId="30" borderId="52" xfId="0" applyFont="1" applyFill="1" applyBorder="1" applyAlignment="1">
      <alignment horizontal="left"/>
    </xf>
    <xf numFmtId="0" fontId="70" fillId="30" borderId="61" xfId="0" applyFont="1" applyFill="1" applyBorder="1" applyAlignment="1">
      <alignment horizontal="left"/>
    </xf>
    <xf numFmtId="10" fontId="69" fillId="32" borderId="0" xfId="0" quotePrefix="1" applyNumberFormat="1" applyFont="1" applyFill="1" applyAlignment="1">
      <alignment horizontal="center"/>
    </xf>
    <xf numFmtId="0" fontId="71" fillId="0" borderId="0" xfId="0" applyFont="1" applyAlignment="1">
      <alignment horizontal="left" vertical="top" wrapText="1"/>
    </xf>
    <xf numFmtId="0" fontId="68" fillId="0" borderId="0" xfId="0" applyFont="1" applyAlignment="1">
      <alignment horizontal="left" wrapText="1"/>
    </xf>
    <xf numFmtId="10" fontId="70" fillId="0" borderId="0" xfId="0" quotePrefix="1" applyNumberFormat="1" applyFont="1" applyAlignment="1">
      <alignment horizontal="center"/>
    </xf>
    <xf numFmtId="10" fontId="70" fillId="0" borderId="0" xfId="0" applyNumberFormat="1" applyFont="1" applyAlignment="1">
      <alignment horizontal="center"/>
    </xf>
    <xf numFmtId="0" fontId="100" fillId="0" borderId="180" xfId="0" applyFont="1" applyBorder="1" applyAlignment="1">
      <alignment horizontal="center"/>
    </xf>
    <xf numFmtId="0" fontId="70" fillId="0" borderId="0" xfId="0" applyFont="1" applyAlignment="1">
      <alignment horizontal="left"/>
    </xf>
    <xf numFmtId="0" fontId="70" fillId="0" borderId="17" xfId="0" applyFont="1" applyBorder="1" applyAlignment="1">
      <alignment horizontal="left"/>
    </xf>
    <xf numFmtId="0" fontId="100" fillId="0" borderId="17" xfId="0" applyFont="1" applyBorder="1" applyAlignment="1">
      <alignment horizontal="center"/>
    </xf>
    <xf numFmtId="0" fontId="101" fillId="0" borderId="0" xfId="0" applyFont="1" applyAlignment="1">
      <alignment horizontal="center"/>
    </xf>
    <xf numFmtId="0" fontId="70" fillId="30" borderId="81" xfId="0" applyFont="1" applyFill="1" applyBorder="1" applyAlignment="1">
      <alignment horizontal="center" wrapText="1"/>
    </xf>
    <xf numFmtId="0" fontId="70" fillId="30" borderId="82" xfId="0" applyFont="1" applyFill="1" applyBorder="1" applyAlignment="1">
      <alignment horizontal="center" wrapText="1"/>
    </xf>
    <xf numFmtId="0" fontId="145" fillId="0" borderId="0" xfId="0" applyFont="1" applyAlignment="1">
      <alignment horizontal="left" vertical="top" wrapText="1"/>
    </xf>
    <xf numFmtId="0" fontId="120" fillId="0" borderId="147" xfId="0" applyFont="1" applyBorder="1" applyAlignment="1" applyProtection="1">
      <alignment horizontal="left" vertical="top" wrapText="1"/>
      <protection locked="0"/>
    </xf>
    <xf numFmtId="0" fontId="120" fillId="0" borderId="101" xfId="0" applyFont="1" applyBorder="1" applyAlignment="1" applyProtection="1">
      <alignment horizontal="left" vertical="top" wrapText="1"/>
      <protection locked="0"/>
    </xf>
    <xf numFmtId="0" fontId="120" fillId="0" borderId="67" xfId="0" applyFont="1" applyBorder="1" applyAlignment="1" applyProtection="1">
      <alignment horizontal="left" vertical="top" wrapText="1"/>
      <protection locked="0"/>
    </xf>
    <xf numFmtId="0" fontId="120" fillId="0" borderId="15" xfId="0" applyFont="1" applyBorder="1" applyAlignment="1" applyProtection="1">
      <alignment horizontal="left" vertical="top" wrapText="1"/>
      <protection locked="0"/>
    </xf>
    <xf numFmtId="0" fontId="120" fillId="0" borderId="0" xfId="0" applyFont="1" applyAlignment="1" applyProtection="1">
      <alignment horizontal="left" vertical="top" wrapText="1"/>
      <protection locked="0"/>
    </xf>
    <xf numFmtId="0" fontId="120" fillId="0" borderId="16" xfId="0" applyFont="1" applyBorder="1" applyAlignment="1" applyProtection="1">
      <alignment horizontal="left" vertical="top" wrapText="1"/>
      <protection locked="0"/>
    </xf>
    <xf numFmtId="0" fontId="120" fillId="0" borderId="21" xfId="0" applyFont="1" applyBorder="1" applyAlignment="1" applyProtection="1">
      <alignment horizontal="left" vertical="top" wrapText="1"/>
      <protection locked="0"/>
    </xf>
    <xf numFmtId="0" fontId="120" fillId="0" borderId="17" xfId="0" applyFont="1" applyBorder="1" applyAlignment="1" applyProtection="1">
      <alignment horizontal="left" vertical="top" wrapText="1"/>
      <protection locked="0"/>
    </xf>
    <xf numFmtId="0" fontId="120" fillId="0" borderId="22" xfId="0" applyFont="1" applyBorder="1" applyAlignment="1" applyProtection="1">
      <alignment horizontal="left" vertical="top" wrapText="1"/>
      <protection locked="0"/>
    </xf>
    <xf numFmtId="37" fontId="96" fillId="0" borderId="0" xfId="0" applyNumberFormat="1" applyFont="1" applyAlignment="1">
      <alignment horizontal="left"/>
    </xf>
    <xf numFmtId="0" fontId="96" fillId="0" borderId="0" xfId="0" applyFont="1" applyAlignment="1">
      <alignment horizontal="left" vertical="top"/>
    </xf>
    <xf numFmtId="37" fontId="104" fillId="30" borderId="207" xfId="0" applyNumberFormat="1" applyFont="1" applyFill="1" applyBorder="1" applyAlignment="1">
      <alignment horizontal="left"/>
    </xf>
    <xf numFmtId="37" fontId="104" fillId="30" borderId="186" xfId="0" applyNumberFormat="1" applyFont="1" applyFill="1" applyBorder="1" applyAlignment="1">
      <alignment horizontal="left"/>
    </xf>
    <xf numFmtId="37" fontId="104" fillId="30" borderId="200" xfId="0" applyNumberFormat="1" applyFont="1" applyFill="1" applyBorder="1" applyAlignment="1">
      <alignment horizontal="left"/>
    </xf>
    <xf numFmtId="37" fontId="104" fillId="30" borderId="255" xfId="0" applyNumberFormat="1" applyFont="1" applyFill="1" applyBorder="1" applyAlignment="1">
      <alignment horizontal="left"/>
    </xf>
    <xf numFmtId="37" fontId="104" fillId="30" borderId="256" xfId="0" applyNumberFormat="1" applyFont="1" applyFill="1" applyBorder="1" applyAlignment="1">
      <alignment horizontal="left"/>
    </xf>
    <xf numFmtId="37" fontId="104" fillId="30" borderId="257" xfId="0" applyNumberFormat="1" applyFont="1" applyFill="1" applyBorder="1" applyAlignment="1">
      <alignment horizontal="left"/>
    </xf>
    <xf numFmtId="37" fontId="104" fillId="30" borderId="169" xfId="0" applyNumberFormat="1" applyFont="1" applyFill="1" applyBorder="1" applyAlignment="1">
      <alignment horizontal="left"/>
    </xf>
    <xf numFmtId="37" fontId="104" fillId="30" borderId="168" xfId="0" applyNumberFormat="1" applyFont="1" applyFill="1" applyBorder="1" applyAlignment="1">
      <alignment horizontal="left"/>
    </xf>
    <xf numFmtId="37" fontId="104" fillId="30" borderId="170" xfId="0" applyNumberFormat="1" applyFont="1" applyFill="1" applyBorder="1" applyAlignment="1">
      <alignment horizontal="left"/>
    </xf>
    <xf numFmtId="37" fontId="104" fillId="30" borderId="261" xfId="0" applyNumberFormat="1" applyFont="1" applyFill="1" applyBorder="1" applyAlignment="1">
      <alignment horizontal="left"/>
    </xf>
    <xf numFmtId="37" fontId="104" fillId="30" borderId="262" xfId="0" applyNumberFormat="1" applyFont="1" applyFill="1" applyBorder="1" applyAlignment="1">
      <alignment horizontal="left"/>
    </xf>
    <xf numFmtId="37" fontId="104" fillId="30" borderId="263" xfId="0" applyNumberFormat="1" applyFont="1" applyFill="1" applyBorder="1" applyAlignment="1">
      <alignment horizontal="left"/>
    </xf>
    <xf numFmtId="0" fontId="133" fillId="32" borderId="17" xfId="0" applyFont="1" applyFill="1" applyBorder="1" applyAlignment="1">
      <alignment horizontal="left"/>
    </xf>
    <xf numFmtId="37" fontId="100" fillId="30" borderId="81" xfId="0" applyNumberFormat="1" applyFont="1" applyFill="1" applyBorder="1" applyAlignment="1">
      <alignment horizontal="left"/>
    </xf>
    <xf numFmtId="37" fontId="100" fillId="30" borderId="83" xfId="0" applyNumberFormat="1" applyFont="1" applyFill="1" applyBorder="1" applyAlignment="1">
      <alignment horizontal="left"/>
    </xf>
    <xf numFmtId="0" fontId="100" fillId="0" borderId="81" xfId="0" applyFont="1" applyBorder="1" applyAlignment="1">
      <alignment horizontal="center"/>
    </xf>
    <xf numFmtId="0" fontId="100" fillId="0" borderId="83" xfId="0" applyFont="1" applyBorder="1" applyAlignment="1">
      <alignment horizontal="center"/>
    </xf>
    <xf numFmtId="0" fontId="100" fillId="0" borderId="82" xfId="0" applyFont="1" applyBorder="1" applyAlignment="1">
      <alignment horizontal="center"/>
    </xf>
    <xf numFmtId="37" fontId="100" fillId="30" borderId="82" xfId="0" applyNumberFormat="1" applyFont="1" applyFill="1" applyBorder="1" applyAlignment="1">
      <alignment horizontal="left"/>
    </xf>
    <xf numFmtId="37" fontId="137" fillId="30" borderId="81" xfId="0" applyNumberFormat="1" applyFont="1" applyFill="1" applyBorder="1" applyAlignment="1">
      <alignment horizontal="left"/>
    </xf>
    <xf numFmtId="37" fontId="137" fillId="30" borderId="82" xfId="0" applyNumberFormat="1" applyFont="1" applyFill="1" applyBorder="1" applyAlignment="1">
      <alignment horizontal="left"/>
    </xf>
    <xf numFmtId="0" fontId="144" fillId="32" borderId="81" xfId="0" applyFont="1" applyFill="1" applyBorder="1" applyAlignment="1">
      <alignment horizontal="left" vertical="top"/>
    </xf>
    <xf numFmtId="0" fontId="144" fillId="32" borderId="82" xfId="0" applyFont="1" applyFill="1" applyBorder="1" applyAlignment="1">
      <alignment horizontal="left" vertical="top"/>
    </xf>
    <xf numFmtId="0" fontId="136" fillId="0" borderId="0" xfId="0" applyFont="1" applyAlignment="1">
      <alignment horizontal="center"/>
    </xf>
    <xf numFmtId="0" fontId="122" fillId="0" borderId="58" xfId="0" applyFont="1" applyBorder="1" applyAlignment="1">
      <alignment wrapText="1"/>
    </xf>
    <xf numFmtId="0" fontId="122" fillId="0" borderId="57" xfId="0" applyFont="1" applyBorder="1" applyAlignment="1">
      <alignment wrapText="1"/>
    </xf>
    <xf numFmtId="0" fontId="122" fillId="0" borderId="202" xfId="0" applyFont="1" applyBorder="1" applyAlignment="1">
      <alignment wrapText="1"/>
    </xf>
    <xf numFmtId="0" fontId="122" fillId="0" borderId="177" xfId="0" applyFont="1" applyBorder="1" applyAlignment="1">
      <alignment horizontal="center"/>
    </xf>
    <xf numFmtId="0" fontId="122" fillId="0" borderId="273" xfId="0" applyFont="1" applyBorder="1" applyAlignment="1">
      <alignment horizontal="center"/>
    </xf>
    <xf numFmtId="0" fontId="122" fillId="0" borderId="147" xfId="0" applyFont="1" applyBorder="1" applyAlignment="1">
      <alignment wrapText="1"/>
    </xf>
    <xf numFmtId="0" fontId="122" fillId="0" borderId="15" xfId="0" applyFont="1" applyBorder="1" applyAlignment="1">
      <alignment wrapText="1"/>
    </xf>
    <xf numFmtId="0" fontId="122" fillId="0" borderId="205" xfId="0" applyFont="1" applyBorder="1" applyAlignment="1">
      <alignment wrapText="1"/>
    </xf>
    <xf numFmtId="0" fontId="122" fillId="0" borderId="188" xfId="0" applyFont="1" applyBorder="1" applyAlignment="1">
      <alignment wrapText="1"/>
    </xf>
    <xf numFmtId="0" fontId="120" fillId="0" borderId="0" xfId="663" applyFont="1" applyAlignment="1">
      <alignment horizontal="left" wrapText="1"/>
    </xf>
    <xf numFmtId="0" fontId="121" fillId="0" borderId="189" xfId="0" applyFont="1" applyBorder="1" applyAlignment="1">
      <alignment wrapText="1"/>
    </xf>
    <xf numFmtId="0" fontId="121" fillId="0" borderId="57" xfId="0" applyFont="1" applyBorder="1" applyAlignment="1">
      <alignment wrapText="1"/>
    </xf>
    <xf numFmtId="0" fontId="121" fillId="0" borderId="202" xfId="0" applyFont="1" applyBorder="1" applyAlignment="1">
      <alignment wrapText="1"/>
    </xf>
    <xf numFmtId="0" fontId="120" fillId="0" borderId="0" xfId="0" applyFont="1" applyAlignment="1">
      <alignment wrapText="1"/>
    </xf>
    <xf numFmtId="0" fontId="143" fillId="0" borderId="0" xfId="0" applyFont="1" applyAlignment="1">
      <alignment horizontal="left" wrapText="1"/>
    </xf>
    <xf numFmtId="0" fontId="122" fillId="0" borderId="39" xfId="0" applyFont="1" applyBorder="1" applyAlignment="1">
      <alignment wrapText="1"/>
    </xf>
    <xf numFmtId="0" fontId="122" fillId="0" borderId="40" xfId="0" applyFont="1" applyBorder="1" applyAlignment="1">
      <alignment wrapText="1"/>
    </xf>
    <xf numFmtId="0" fontId="122" fillId="0" borderId="197" xfId="0" applyFont="1" applyBorder="1" applyAlignment="1">
      <alignment wrapText="1"/>
    </xf>
    <xf numFmtId="0" fontId="122" fillId="0" borderId="191" xfId="0" applyFont="1" applyBorder="1" applyAlignment="1">
      <alignment wrapText="1"/>
    </xf>
    <xf numFmtId="0" fontId="120" fillId="0" borderId="58" xfId="0" applyFont="1" applyBorder="1" applyAlignment="1">
      <alignment wrapText="1"/>
    </xf>
    <xf numFmtId="0" fontId="120" fillId="0" borderId="57" xfId="0" applyFont="1" applyBorder="1" applyAlignment="1">
      <alignment wrapText="1"/>
    </xf>
    <xf numFmtId="0" fontId="120" fillId="0" borderId="202" xfId="0" applyFont="1" applyBorder="1" applyAlignment="1">
      <alignment wrapText="1"/>
    </xf>
    <xf numFmtId="0" fontId="70" fillId="0" borderId="0" xfId="0" applyFont="1" applyAlignment="1">
      <alignment horizontal="centerContinuous"/>
    </xf>
    <xf numFmtId="0" fontId="70" fillId="0" borderId="0" xfId="0" applyFont="1" applyAlignment="1">
      <alignment horizontal="centerContinuous" vertical="top" wrapText="1"/>
    </xf>
    <xf numFmtId="0" fontId="67" fillId="0" borderId="0" xfId="0" applyFont="1" applyAlignment="1">
      <alignment horizontal="centerContinuous"/>
    </xf>
    <xf numFmtId="0" fontId="70" fillId="0" borderId="41" xfId="0" applyFont="1" applyBorder="1" applyAlignment="1">
      <alignment horizontal="centerContinuous" wrapText="1"/>
    </xf>
    <xf numFmtId="0" fontId="70" fillId="0" borderId="45" xfId="0" applyFont="1" applyBorder="1" applyAlignment="1">
      <alignment horizontal="centerContinuous" wrapText="1"/>
    </xf>
    <xf numFmtId="0" fontId="70" fillId="0" borderId="46" xfId="0" applyFont="1" applyBorder="1" applyAlignment="1">
      <alignment horizontal="centerContinuous" wrapText="1"/>
    </xf>
    <xf numFmtId="49" fontId="71" fillId="0" borderId="0" xfId="0" applyNumberFormat="1" applyFont="1" applyAlignment="1">
      <alignment horizontal="centerContinuous" vertical="top" wrapText="1"/>
    </xf>
    <xf numFmtId="0" fontId="71" fillId="0" borderId="0" xfId="0" applyFont="1" applyAlignment="1">
      <alignment horizontal="centerContinuous" vertical="top" wrapText="1"/>
    </xf>
    <xf numFmtId="0" fontId="67" fillId="0" borderId="0" xfId="0" applyFont="1" applyAlignment="1">
      <alignment horizontal="centerContinuous" wrapText="1"/>
    </xf>
    <xf numFmtId="0" fontId="68" fillId="0" borderId="0" xfId="0" applyFont="1" applyAlignment="1">
      <alignment horizontal="centerContinuous" wrapText="1"/>
    </xf>
    <xf numFmtId="0" fontId="100" fillId="0" borderId="0" xfId="0" applyFont="1" applyAlignment="1">
      <alignment horizontal="centerContinuous"/>
    </xf>
    <xf numFmtId="37" fontId="70" fillId="0" borderId="0" xfId="0" applyNumberFormat="1" applyFont="1" applyAlignment="1">
      <alignment horizontal="center"/>
    </xf>
    <xf numFmtId="0" fontId="139" fillId="0" borderId="0" xfId="0" applyFont="1" applyAlignment="1">
      <alignment horizontal="centerContinuous"/>
    </xf>
    <xf numFmtId="0" fontId="100" fillId="0" borderId="17" xfId="0" applyFont="1" applyBorder="1" applyAlignment="1">
      <alignment horizontal="centerContinuous"/>
    </xf>
    <xf numFmtId="4" fontId="96" fillId="0" borderId="0" xfId="0" applyNumberFormat="1" applyFont="1" applyAlignment="1">
      <alignment horizontal="centerContinuous" wrapText="1"/>
    </xf>
    <xf numFmtId="0" fontId="102" fillId="0" borderId="0" xfId="0" applyFont="1" applyAlignment="1">
      <alignment horizontal="center"/>
    </xf>
    <xf numFmtId="0" fontId="101" fillId="0" borderId="0" xfId="0" applyFont="1" applyAlignment="1">
      <alignment horizontal="centerContinuous"/>
    </xf>
    <xf numFmtId="0" fontId="101" fillId="0" borderId="17" xfId="0" applyFont="1" applyBorder="1" applyAlignment="1">
      <alignment horizontal="centerContinuous"/>
    </xf>
    <xf numFmtId="0" fontId="70" fillId="30" borderId="81" xfId="0" applyFont="1" applyFill="1" applyBorder="1" applyAlignment="1">
      <alignment horizontal="centerContinuous" wrapText="1"/>
    </xf>
    <xf numFmtId="0" fontId="70" fillId="30" borderId="82" xfId="0" applyFont="1" applyFill="1" applyBorder="1" applyAlignment="1">
      <alignment horizontal="centerContinuous" wrapText="1"/>
    </xf>
    <xf numFmtId="0" fontId="104" fillId="0" borderId="0" xfId="0" applyFont="1" applyAlignment="1">
      <alignment horizontal="centerContinuous"/>
    </xf>
    <xf numFmtId="0" fontId="120" fillId="0" borderId="0" xfId="0" applyFont="1" applyAlignment="1">
      <alignment horizontal="centerContinuous"/>
    </xf>
    <xf numFmtId="0" fontId="70" fillId="0" borderId="0" xfId="0" applyFont="1" applyAlignment="1">
      <alignment horizontal="centerContinuous" wrapText="1"/>
    </xf>
    <xf numFmtId="0" fontId="96" fillId="0" borderId="0" xfId="0" applyFont="1" applyAlignment="1">
      <alignment horizontal="centerContinuous"/>
    </xf>
    <xf numFmtId="37" fontId="100" fillId="0" borderId="0" xfId="0" applyNumberFormat="1" applyFont="1" applyAlignment="1">
      <alignment horizontal="centerContinuous"/>
    </xf>
    <xf numFmtId="49" fontId="100" fillId="0" borderId="0" xfId="0" applyNumberFormat="1" applyFont="1" applyAlignment="1">
      <alignment horizontal="centerContinuous"/>
    </xf>
    <xf numFmtId="37" fontId="126" fillId="0" borderId="0" xfId="0" applyNumberFormat="1" applyFont="1" applyAlignment="1">
      <alignment horizontal="centerContinuous"/>
    </xf>
    <xf numFmtId="0" fontId="133" fillId="32" borderId="0" xfId="0" applyFont="1" applyFill="1" applyAlignment="1">
      <alignment horizontal="centerContinuous" wrapText="1"/>
    </xf>
    <xf numFmtId="0" fontId="100" fillId="0" borderId="17" xfId="0" applyFont="1" applyBorder="1" applyAlignment="1">
      <alignment horizontal="centerContinuous" vertical="center"/>
    </xf>
    <xf numFmtId="0" fontId="136" fillId="0" borderId="0" xfId="0" applyFont="1" applyAlignment="1">
      <alignment horizontal="centerContinuous"/>
    </xf>
    <xf numFmtId="37" fontId="101" fillId="32" borderId="0" xfId="0" applyNumberFormat="1" applyFont="1" applyFill="1" applyAlignment="1">
      <alignment horizontal="centerContinuous" wrapText="1"/>
    </xf>
    <xf numFmtId="37" fontId="123" fillId="32" borderId="0" xfId="0" applyNumberFormat="1" applyFont="1" applyFill="1" applyAlignment="1">
      <alignment horizontal="centerContinuous"/>
    </xf>
    <xf numFmtId="0" fontId="120" fillId="0" borderId="0" xfId="663" applyFont="1" applyAlignment="1">
      <alignment horizontal="center"/>
    </xf>
    <xf numFmtId="44" fontId="120" fillId="0" borderId="0" xfId="663" applyNumberFormat="1" applyFont="1" applyAlignment="1">
      <alignment horizontal="center"/>
    </xf>
    <xf numFmtId="39" fontId="120" fillId="0" borderId="0" xfId="663" applyNumberFormat="1" applyFont="1" applyAlignment="1">
      <alignment horizontal="center" wrapText="1"/>
    </xf>
    <xf numFmtId="0" fontId="67" fillId="0" borderId="81" xfId="0" applyFont="1" applyBorder="1" applyAlignment="1">
      <alignment horizontal="left" vertical="top" wrapText="1"/>
    </xf>
    <xf numFmtId="0" fontId="67" fillId="0" borderId="83" xfId="0" applyFont="1" applyBorder="1" applyAlignment="1">
      <alignment horizontal="left" vertical="top" wrapText="1"/>
    </xf>
    <xf numFmtId="0" fontId="67" fillId="0" borderId="82" xfId="0" applyFont="1" applyBorder="1" applyAlignment="1">
      <alignment horizontal="left" vertical="top" wrapText="1"/>
    </xf>
    <xf numFmtId="0" fontId="67" fillId="0" borderId="0" xfId="530" applyFont="1" applyAlignment="1" applyProtection="1">
      <alignment horizontal="center"/>
      <protection locked="0"/>
    </xf>
    <xf numFmtId="5" fontId="68" fillId="32" borderId="296" xfId="181" applyNumberFormat="1" applyFont="1" applyFill="1" applyBorder="1" applyAlignment="1">
      <alignment horizontal="right"/>
    </xf>
    <xf numFmtId="165" fontId="68" fillId="32" borderId="281" xfId="181" applyNumberFormat="1" applyFont="1" applyFill="1" applyBorder="1" applyAlignment="1">
      <alignment horizontal="right"/>
    </xf>
    <xf numFmtId="0" fontId="68" fillId="78" borderId="43" xfId="0" applyFont="1" applyFill="1" applyBorder="1"/>
    <xf numFmtId="0" fontId="68" fillId="78" borderId="213" xfId="0" applyFont="1" applyFill="1" applyBorder="1"/>
    <xf numFmtId="0" fontId="68" fillId="78" borderId="216" xfId="0" applyFont="1" applyFill="1" applyBorder="1"/>
    <xf numFmtId="166" fontId="68" fillId="36" borderId="84" xfId="0" applyNumberFormat="1" applyFont="1" applyFill="1" applyBorder="1"/>
    <xf numFmtId="166" fontId="68" fillId="36" borderId="186" xfId="0" applyNumberFormat="1" applyFont="1" applyFill="1" applyBorder="1"/>
    <xf numFmtId="166" fontId="68" fillId="36" borderId="182" xfId="0" applyNumberFormat="1" applyFont="1" applyFill="1" applyBorder="1"/>
    <xf numFmtId="166" fontId="101" fillId="32" borderId="21" xfId="0" applyNumberFormat="1" applyFont="1" applyFill="1" applyBorder="1"/>
    <xf numFmtId="0" fontId="70" fillId="35" borderId="14" xfId="0" applyFont="1" applyFill="1" applyBorder="1" applyAlignment="1">
      <alignment horizontal="center" wrapText="1"/>
    </xf>
    <xf numFmtId="0" fontId="70" fillId="35" borderId="12" xfId="0" applyFont="1" applyFill="1" applyBorder="1" applyAlignment="1">
      <alignment horizontal="center"/>
    </xf>
    <xf numFmtId="0" fontId="70" fillId="35" borderId="188" xfId="0" applyFont="1" applyFill="1" applyBorder="1" applyAlignment="1">
      <alignment horizontal="center"/>
    </xf>
    <xf numFmtId="0" fontId="70" fillId="35" borderId="57" xfId="0" applyFont="1" applyFill="1" applyBorder="1" applyAlignment="1">
      <alignment horizontal="center"/>
    </xf>
    <xf numFmtId="0" fontId="70" fillId="35" borderId="145" xfId="0" applyFont="1" applyFill="1" applyBorder="1" applyAlignment="1">
      <alignment horizontal="center" wrapText="1"/>
    </xf>
    <xf numFmtId="0" fontId="70" fillId="35" borderId="189" xfId="0" applyFont="1" applyFill="1" applyBorder="1" applyAlignment="1">
      <alignment horizontal="center"/>
    </xf>
    <xf numFmtId="0" fontId="70" fillId="35" borderId="142" xfId="0" applyFont="1" applyFill="1" applyBorder="1" applyAlignment="1">
      <alignment horizontal="center" wrapText="1"/>
    </xf>
    <xf numFmtId="0" fontId="70" fillId="35" borderId="11" xfId="0" applyFont="1" applyFill="1" applyBorder="1" applyAlignment="1">
      <alignment horizontal="center"/>
    </xf>
    <xf numFmtId="0" fontId="70" fillId="35" borderId="102" xfId="0" applyFont="1" applyFill="1" applyBorder="1" applyAlignment="1">
      <alignment horizontal="center"/>
    </xf>
    <xf numFmtId="0" fontId="70" fillId="35" borderId="143" xfId="0" applyFont="1" applyFill="1" applyBorder="1" applyAlignment="1">
      <alignment horizontal="center" wrapText="1"/>
    </xf>
    <xf numFmtId="0" fontId="70" fillId="35" borderId="64" xfId="0" applyFont="1" applyFill="1" applyBorder="1" applyAlignment="1">
      <alignment horizontal="center" wrapText="1"/>
    </xf>
    <xf numFmtId="0" fontId="70" fillId="35" borderId="81" xfId="0" applyFont="1" applyFill="1" applyBorder="1" applyAlignment="1">
      <alignment horizontal="center" wrapText="1"/>
    </xf>
    <xf numFmtId="0" fontId="70" fillId="35" borderId="19" xfId="0" applyFont="1" applyFill="1" applyBorder="1" applyAlignment="1">
      <alignment horizontal="center" wrapText="1"/>
    </xf>
    <xf numFmtId="4" fontId="156" fillId="32" borderId="293" xfId="0" applyNumberFormat="1" applyFont="1" applyFill="1" applyBorder="1" applyProtection="1">
      <protection locked="0"/>
    </xf>
    <xf numFmtId="4" fontId="156" fillId="32" borderId="294" xfId="0" applyNumberFormat="1" applyFont="1" applyFill="1" applyBorder="1" applyProtection="1">
      <protection locked="0"/>
    </xf>
    <xf numFmtId="4" fontId="156" fillId="32" borderId="295" xfId="0" applyNumberFormat="1" applyFont="1" applyFill="1" applyBorder="1" applyProtection="1">
      <protection locked="0"/>
    </xf>
    <xf numFmtId="0" fontId="167" fillId="71" borderId="23" xfId="0" applyFont="1" applyFill="1" applyBorder="1"/>
    <xf numFmtId="4" fontId="156" fillId="32" borderId="188" xfId="0" applyNumberFormat="1" applyFont="1" applyFill="1" applyBorder="1" applyProtection="1">
      <protection locked="0"/>
    </xf>
    <xf numFmtId="3" fontId="152" fillId="32" borderId="29" xfId="0" applyNumberFormat="1" applyFont="1" applyFill="1" applyBorder="1" applyAlignment="1" applyProtection="1">
      <alignment horizontal="right"/>
      <protection locked="0"/>
    </xf>
    <xf numFmtId="0" fontId="157" fillId="32" borderId="35" xfId="0" applyFont="1" applyFill="1" applyBorder="1" applyAlignment="1" applyProtection="1">
      <alignment horizontal="center"/>
      <protection locked="0"/>
    </xf>
    <xf numFmtId="0" fontId="157" fillId="32" borderId="56" xfId="0" applyFont="1" applyFill="1" applyBorder="1" applyAlignment="1" applyProtection="1">
      <alignment horizontal="center"/>
      <protection locked="0"/>
    </xf>
    <xf numFmtId="0" fontId="157" fillId="32" borderId="265" xfId="0" applyFont="1" applyFill="1" applyBorder="1" applyAlignment="1" applyProtection="1">
      <alignment horizontal="center"/>
      <protection locked="0"/>
    </xf>
    <xf numFmtId="0" fontId="157" fillId="32" borderId="266" xfId="0" applyFont="1" applyFill="1" applyBorder="1" applyAlignment="1" applyProtection="1">
      <alignment horizontal="center"/>
      <protection locked="0"/>
    </xf>
    <xf numFmtId="0" fontId="157" fillId="32" borderId="268" xfId="0" applyFont="1" applyFill="1" applyBorder="1" applyAlignment="1" applyProtection="1">
      <alignment horizontal="center"/>
      <protection locked="0"/>
    </xf>
    <xf numFmtId="0" fontId="157" fillId="32" borderId="269" xfId="0" applyFont="1" applyFill="1" applyBorder="1" applyAlignment="1" applyProtection="1">
      <alignment horizontal="center"/>
      <protection locked="0"/>
    </xf>
    <xf numFmtId="0" fontId="157" fillId="32" borderId="188" xfId="0" applyFont="1" applyFill="1" applyBorder="1" applyAlignment="1" applyProtection="1">
      <alignment horizontal="center"/>
      <protection locked="0"/>
    </xf>
    <xf numFmtId="0" fontId="157" fillId="32" borderId="178" xfId="0" applyFont="1" applyFill="1" applyBorder="1" applyAlignment="1" applyProtection="1">
      <alignment horizontal="center"/>
      <protection locked="0"/>
    </xf>
    <xf numFmtId="0" fontId="68" fillId="29" borderId="81" xfId="0" applyFont="1" applyFill="1" applyBorder="1"/>
    <xf numFmtId="0" fontId="68" fillId="29" borderId="82" xfId="0" applyFont="1" applyFill="1" applyBorder="1"/>
    <xf numFmtId="0" fontId="68" fillId="34" borderId="81" xfId="0" applyFont="1" applyFill="1" applyBorder="1"/>
    <xf numFmtId="0" fontId="68" fillId="34" borderId="82" xfId="0" applyFont="1" applyFill="1" applyBorder="1"/>
    <xf numFmtId="0" fontId="68" fillId="34" borderId="81" xfId="0" applyFont="1" applyFill="1" applyBorder="1" applyAlignment="1">
      <alignment horizontal="center"/>
    </xf>
    <xf numFmtId="0" fontId="68" fillId="34" borderId="82" xfId="0" applyFont="1" applyFill="1" applyBorder="1" applyAlignment="1">
      <alignment horizontal="center"/>
    </xf>
    <xf numFmtId="0" fontId="104" fillId="73" borderId="19" xfId="0" applyFont="1" applyFill="1" applyBorder="1"/>
    <xf numFmtId="0" fontId="104" fillId="73" borderId="82" xfId="0" applyFont="1" applyFill="1" applyBorder="1"/>
    <xf numFmtId="0" fontId="100" fillId="30" borderId="81" xfId="0" applyFont="1" applyFill="1" applyBorder="1" applyAlignment="1">
      <alignment horizontal="centerContinuous"/>
    </xf>
    <xf numFmtId="0" fontId="100" fillId="30" borderId="82" xfId="0" applyFont="1" applyFill="1" applyBorder="1" applyAlignment="1">
      <alignment horizontal="centerContinuous"/>
    </xf>
    <xf numFmtId="37" fontId="100" fillId="30" borderId="81" xfId="0" applyNumberFormat="1" applyFont="1" applyFill="1" applyBorder="1" applyAlignment="1">
      <alignment horizontal="centerContinuous"/>
    </xf>
    <xf numFmtId="37" fontId="100" fillId="30" borderId="82" xfId="0" applyNumberFormat="1" applyFont="1" applyFill="1" applyBorder="1" applyAlignment="1">
      <alignment horizontal="centerContinuous"/>
    </xf>
    <xf numFmtId="0" fontId="158" fillId="0" borderId="265" xfId="0" applyFont="1" applyBorder="1"/>
    <xf numFmtId="0" fontId="122" fillId="0" borderId="198" xfId="0" applyFont="1" applyBorder="1" applyAlignment="1">
      <alignment horizontal="centerContinuous" wrapText="1"/>
    </xf>
    <xf numFmtId="0" fontId="122" fillId="0" borderId="180" xfId="0" applyFont="1" applyBorder="1" applyAlignment="1">
      <alignment horizontal="centerContinuous" wrapText="1"/>
    </xf>
    <xf numFmtId="0" fontId="122" fillId="0" borderId="199" xfId="0" applyFont="1" applyBorder="1" applyAlignment="1">
      <alignment horizontal="centerContinuous" wrapText="1"/>
    </xf>
    <xf numFmtId="0" fontId="122" fillId="0" borderId="53" xfId="0" applyFont="1" applyBorder="1" applyAlignment="1">
      <alignment horizontal="centerContinuous" wrapText="1"/>
    </xf>
    <xf numFmtId="0" fontId="122" fillId="0" borderId="54" xfId="0" applyFont="1" applyBorder="1" applyAlignment="1">
      <alignment horizontal="centerContinuous" wrapText="1"/>
    </xf>
    <xf numFmtId="0" fontId="122" fillId="0" borderId="55" xfId="0" applyFont="1" applyBorder="1" applyAlignment="1">
      <alignment horizontal="centerContinuous" wrapText="1"/>
    </xf>
    <xf numFmtId="0" fontId="122" fillId="0" borderId="51" xfId="0" applyFont="1" applyBorder="1" applyAlignment="1">
      <alignment horizontal="centerContinuous" wrapText="1"/>
    </xf>
    <xf numFmtId="0" fontId="122" fillId="0" borderId="84" xfId="0" applyFont="1" applyBorder="1" applyAlignment="1">
      <alignment horizontal="centerContinuous" wrapText="1"/>
    </xf>
    <xf numFmtId="0" fontId="122" fillId="0" borderId="56" xfId="0" applyFont="1" applyBorder="1" applyAlignment="1">
      <alignment horizontal="centerContinuous" wrapText="1"/>
    </xf>
    <xf numFmtId="0" fontId="122" fillId="0" borderId="193" xfId="0" applyFont="1" applyBorder="1" applyAlignment="1">
      <alignment horizontal="centerContinuous" wrapText="1"/>
    </xf>
    <xf numFmtId="0" fontId="136" fillId="0" borderId="59" xfId="663" applyFont="1" applyBorder="1" applyAlignment="1">
      <alignment horizontal="centerContinuous"/>
    </xf>
    <xf numFmtId="0" fontId="136" fillId="0" borderId="60" xfId="663" applyFont="1" applyBorder="1" applyAlignment="1">
      <alignment horizontal="centerContinuous"/>
    </xf>
    <xf numFmtId="0" fontId="109" fillId="0" borderId="0" xfId="663" applyFont="1" applyAlignment="1">
      <alignment horizontal="centerContinuous" vertical="top" wrapText="1"/>
    </xf>
    <xf numFmtId="0" fontId="109" fillId="0" borderId="0" xfId="663" applyFont="1" applyAlignment="1">
      <alignment horizontal="centerContinuous"/>
    </xf>
    <xf numFmtId="0" fontId="110" fillId="0" borderId="0" xfId="0" applyFont="1" applyAlignment="1">
      <alignment horizontal="centerContinuous"/>
    </xf>
    <xf numFmtId="1" fontId="96" fillId="0" borderId="10" xfId="0" applyNumberFormat="1" applyFont="1" applyBorder="1" applyAlignment="1">
      <alignment horizontal="right"/>
    </xf>
    <xf numFmtId="0" fontId="71" fillId="0" borderId="288" xfId="663" applyFont="1" applyBorder="1" applyAlignment="1">
      <alignment horizontal="centerContinuous"/>
    </xf>
    <xf numFmtId="0" fontId="71" fillId="0" borderId="262" xfId="663" applyFont="1" applyBorder="1" applyAlignment="1">
      <alignment horizontal="centerContinuous"/>
    </xf>
    <xf numFmtId="0" fontId="71" fillId="0" borderId="289" xfId="663" applyFont="1" applyBorder="1" applyAlignment="1">
      <alignment horizontal="centerContinuous"/>
    </xf>
    <xf numFmtId="0" fontId="71" fillId="0" borderId="40" xfId="663" applyFont="1" applyBorder="1" applyAlignment="1">
      <alignment horizontal="centerContinuous"/>
    </xf>
    <xf numFmtId="9" fontId="68" fillId="0" borderId="262" xfId="663" applyNumberFormat="1" applyFont="1" applyBorder="1" applyAlignment="1">
      <alignment horizontal="centerContinuous"/>
    </xf>
    <xf numFmtId="0" fontId="68" fillId="0" borderId="289" xfId="663" applyFont="1" applyBorder="1" applyAlignment="1">
      <alignment horizontal="centerContinuous"/>
    </xf>
    <xf numFmtId="0" fontId="71" fillId="0" borderId="114" xfId="663" applyFont="1" applyBorder="1" applyAlignment="1">
      <alignment horizontal="centerContinuous"/>
    </xf>
    <xf numFmtId="0" fontId="121" fillId="0" borderId="0" xfId="0" applyFont="1" applyAlignment="1">
      <alignment horizontal="centerContinuous"/>
    </xf>
    <xf numFmtId="0" fontId="102" fillId="0" borderId="294" xfId="0" applyFont="1" applyBorder="1" applyAlignment="1">
      <alignment horizontal="center"/>
    </xf>
    <xf numFmtId="3" fontId="154" fillId="32" borderId="294" xfId="0" applyNumberFormat="1" applyFont="1" applyFill="1" applyBorder="1" applyProtection="1">
      <protection locked="0"/>
    </xf>
    <xf numFmtId="3" fontId="102" fillId="0" borderId="294" xfId="0" applyNumberFormat="1" applyFont="1" applyBorder="1"/>
    <xf numFmtId="37" fontId="102" fillId="0" borderId="165" xfId="0" applyNumberFormat="1" applyFont="1" applyBorder="1"/>
    <xf numFmtId="0" fontId="68" fillId="32" borderId="294" xfId="495" applyFont="1" applyFill="1" applyBorder="1" applyAlignment="1">
      <alignment horizontal="center" wrapText="1"/>
    </xf>
    <xf numFmtId="3" fontId="68" fillId="32" borderId="294" xfId="181" applyNumberFormat="1" applyFont="1" applyFill="1" applyBorder="1"/>
    <xf numFmtId="0" fontId="125" fillId="78" borderId="0" xfId="526" applyFont="1" applyFill="1" applyAlignment="1">
      <alignment horizontal="left" wrapText="1"/>
    </xf>
    <xf numFmtId="0" fontId="75" fillId="31" borderId="0" xfId="0" applyFont="1" applyFill="1" applyAlignment="1">
      <alignment horizontal="left"/>
    </xf>
    <xf numFmtId="49" fontId="67" fillId="0" borderId="81" xfId="0" applyNumberFormat="1" applyFont="1" applyBorder="1" applyAlignment="1">
      <alignment horizontal="left"/>
    </xf>
    <xf numFmtId="49" fontId="67" fillId="0" borderId="83" xfId="0" applyNumberFormat="1" applyFont="1" applyBorder="1" applyAlignment="1">
      <alignment horizontal="left"/>
    </xf>
    <xf numFmtId="49" fontId="67" fillId="0" borderId="82" xfId="0" applyNumberFormat="1" applyFont="1" applyBorder="1" applyAlignment="1">
      <alignment horizontal="left"/>
    </xf>
    <xf numFmtId="0" fontId="70" fillId="0" borderId="83" xfId="0" applyFont="1" applyBorder="1" applyAlignment="1">
      <alignment horizontal="center"/>
    </xf>
    <xf numFmtId="0" fontId="70" fillId="0" borderId="82" xfId="0" applyFont="1" applyBorder="1" applyAlignment="1">
      <alignment horizontal="center"/>
    </xf>
    <xf numFmtId="0" fontId="70" fillId="0" borderId="0" xfId="17654" applyFont="1" applyAlignment="1">
      <alignment horizontal="left"/>
    </xf>
    <xf numFmtId="0" fontId="159" fillId="32" borderId="17" xfId="0" applyFont="1" applyFill="1" applyBorder="1" applyAlignment="1">
      <alignment horizontal="left"/>
    </xf>
    <xf numFmtId="0" fontId="150" fillId="32" borderId="0" xfId="17654" applyFont="1" applyFill="1" applyAlignment="1">
      <alignment horizontal="left"/>
    </xf>
    <xf numFmtId="0" fontId="70" fillId="0" borderId="50" xfId="0" applyFont="1" applyBorder="1" applyAlignment="1">
      <alignment horizontal="center"/>
    </xf>
    <xf numFmtId="0" fontId="70" fillId="0" borderId="84" xfId="0" applyFont="1" applyBorder="1" applyAlignment="1">
      <alignment horizontal="center" wrapText="1"/>
    </xf>
    <xf numFmtId="0" fontId="70" fillId="0" borderId="83" xfId="0" applyFont="1" applyBorder="1" applyAlignment="1">
      <alignment horizontal="center" wrapText="1"/>
    </xf>
    <xf numFmtId="0" fontId="69" fillId="0" borderId="81" xfId="0" applyFont="1" applyBorder="1" applyAlignment="1">
      <alignment horizontal="center" wrapText="1"/>
    </xf>
    <xf numFmtId="0" fontId="69" fillId="0" borderId="82" xfId="0" applyFont="1" applyBorder="1" applyAlignment="1">
      <alignment horizontal="center" wrapText="1"/>
    </xf>
    <xf numFmtId="0" fontId="67" fillId="0" borderId="81" xfId="0" applyFont="1" applyBorder="1" applyAlignment="1">
      <alignment horizontal="left"/>
    </xf>
    <xf numFmtId="0" fontId="67" fillId="0" borderId="83" xfId="0" applyFont="1" applyBorder="1" applyAlignment="1">
      <alignment horizontal="left"/>
    </xf>
    <xf numFmtId="0" fontId="67" fillId="0" borderId="82" xfId="0" applyFont="1" applyBorder="1" applyAlignment="1">
      <alignment horizontal="left"/>
    </xf>
    <xf numFmtId="0" fontId="96" fillId="0" borderId="0" xfId="0" applyFont="1" applyAlignment="1">
      <alignment horizontal="left" vertical="top" wrapText="1"/>
    </xf>
    <xf numFmtId="0" fontId="69" fillId="0" borderId="0" xfId="0" applyFont="1" applyAlignment="1">
      <alignment horizontal="left"/>
    </xf>
    <xf numFmtId="0" fontId="104" fillId="0" borderId="0" xfId="0" applyFont="1" applyAlignment="1">
      <alignment horizontal="left"/>
    </xf>
    <xf numFmtId="0" fontId="99" fillId="0" borderId="83" xfId="0" applyFont="1" applyBorder="1" applyAlignment="1">
      <alignment horizontal="center"/>
    </xf>
    <xf numFmtId="0" fontId="70" fillId="0" borderId="12" xfId="0" applyFont="1" applyBorder="1" applyAlignment="1">
      <alignment horizontal="center"/>
    </xf>
    <xf numFmtId="0" fontId="70" fillId="0" borderId="13" xfId="0" applyFont="1" applyBorder="1" applyAlignment="1">
      <alignment horizontal="center"/>
    </xf>
    <xf numFmtId="0" fontId="70" fillId="0" borderId="14" xfId="0" applyFont="1" applyBorder="1" applyAlignment="1">
      <alignment horizontal="center"/>
    </xf>
    <xf numFmtId="169" fontId="68" fillId="32" borderId="273" xfId="0" applyNumberFormat="1" applyFont="1" applyFill="1" applyBorder="1"/>
    <xf numFmtId="169" fontId="68" fillId="32" borderId="258" xfId="0" applyNumberFormat="1" applyFont="1" applyFill="1" applyBorder="1"/>
    <xf numFmtId="169" fontId="68" fillId="32" borderId="283" xfId="0" applyNumberFormat="1" applyFont="1" applyFill="1" applyBorder="1"/>
    <xf numFmtId="172" fontId="96" fillId="0" borderId="10" xfId="0" applyNumberFormat="1" applyFont="1" applyBorder="1" applyAlignment="1">
      <alignment horizontal="right"/>
    </xf>
    <xf numFmtId="0" fontId="102" fillId="0" borderId="293" xfId="0" applyFont="1" applyBorder="1" applyAlignment="1">
      <alignment horizontal="center"/>
    </xf>
    <xf numFmtId="3" fontId="154" fillId="32" borderId="293" xfId="0" applyNumberFormat="1" applyFont="1" applyFill="1" applyBorder="1" applyProtection="1">
      <protection locked="0"/>
    </xf>
    <xf numFmtId="3" fontId="102" fillId="0" borderId="293" xfId="0" applyNumberFormat="1" applyFont="1" applyBorder="1"/>
    <xf numFmtId="0" fontId="68" fillId="0" borderId="293" xfId="0" applyFont="1" applyBorder="1"/>
    <xf numFmtId="0" fontId="68" fillId="0" borderId="294" xfId="0" applyFont="1" applyBorder="1"/>
    <xf numFmtId="0" fontId="99" fillId="0" borderId="81" xfId="0" applyFont="1" applyBorder="1" applyAlignment="1">
      <alignment horizontal="centerContinuous" wrapText="1"/>
    </xf>
    <xf numFmtId="0" fontId="99" fillId="0" borderId="83" xfId="0" applyFont="1" applyBorder="1" applyAlignment="1">
      <alignment horizontal="centerContinuous" wrapText="1"/>
    </xf>
    <xf numFmtId="0" fontId="99" fillId="0" borderId="82" xfId="0" applyFont="1" applyBorder="1" applyAlignment="1">
      <alignment horizontal="centerContinuous" wrapText="1"/>
    </xf>
    <xf numFmtId="0" fontId="70" fillId="0" borderId="81" xfId="0" applyFont="1" applyBorder="1" applyAlignment="1">
      <alignment horizontal="centerContinuous" wrapText="1"/>
    </xf>
    <xf numFmtId="0" fontId="70" fillId="0" borderId="83" xfId="0" applyFont="1" applyBorder="1" applyAlignment="1">
      <alignment horizontal="centerContinuous" wrapText="1"/>
    </xf>
    <xf numFmtId="0" fontId="70" fillId="0" borderId="82" xfId="0" applyFont="1" applyBorder="1" applyAlignment="1">
      <alignment horizontal="centerContinuous" wrapText="1"/>
    </xf>
    <xf numFmtId="0" fontId="100" fillId="0" borderId="47" xfId="0" applyFont="1" applyBorder="1" applyAlignment="1">
      <alignment horizontal="center" wrapText="1"/>
    </xf>
    <xf numFmtId="0" fontId="100" fillId="0" borderId="29" xfId="0" applyFont="1" applyBorder="1" applyAlignment="1">
      <alignment horizontal="center" wrapText="1"/>
    </xf>
    <xf numFmtId="0" fontId="75" fillId="31" borderId="0" xfId="0" applyFont="1" applyFill="1" applyAlignment="1">
      <alignment horizontal="centerContinuous" wrapText="1"/>
    </xf>
    <xf numFmtId="0" fontId="100" fillId="0" borderId="81" xfId="0" applyFont="1" applyBorder="1" applyAlignment="1">
      <alignment horizontal="centerContinuous"/>
    </xf>
    <xf numFmtId="0" fontId="100" fillId="0" borderId="83" xfId="0" applyFont="1" applyBorder="1" applyAlignment="1">
      <alignment horizontal="centerContinuous"/>
    </xf>
    <xf numFmtId="0" fontId="100" fillId="0" borderId="82" xfId="0" applyFont="1" applyBorder="1" applyAlignment="1">
      <alignment horizontal="centerContinuous"/>
    </xf>
    <xf numFmtId="0" fontId="96" fillId="0" borderId="0" xfId="0" applyFont="1" applyAlignment="1">
      <alignment horizontal="centerContinuous" wrapText="1"/>
    </xf>
    <xf numFmtId="0" fontId="96" fillId="0" borderId="0" xfId="0" applyFont="1" applyAlignment="1">
      <alignment horizontal="centerContinuous" vertical="top" wrapText="1"/>
    </xf>
    <xf numFmtId="0" fontId="99" fillId="0" borderId="81" xfId="0" applyFont="1" applyBorder="1" applyAlignment="1">
      <alignment horizontal="centerContinuous"/>
    </xf>
    <xf numFmtId="0" fontId="99" fillId="0" borderId="83" xfId="0" applyFont="1" applyBorder="1" applyAlignment="1">
      <alignment horizontal="centerContinuous"/>
    </xf>
    <xf numFmtId="0" fontId="99" fillId="0" borderId="82" xfId="0" applyFont="1" applyBorder="1" applyAlignment="1">
      <alignment horizontal="centerContinuous"/>
    </xf>
    <xf numFmtId="166" fontId="68" fillId="70" borderId="50" xfId="0" applyNumberFormat="1" applyFont="1" applyFill="1" applyBorder="1"/>
    <xf numFmtId="3" fontId="68" fillId="0" borderId="36" xfId="0" applyNumberFormat="1" applyFont="1" applyBorder="1"/>
    <xf numFmtId="37" fontId="168" fillId="32" borderId="301" xfId="0" applyNumberFormat="1" applyFont="1" applyFill="1" applyBorder="1" applyProtection="1">
      <protection locked="0"/>
    </xf>
    <xf numFmtId="37" fontId="153" fillId="33" borderId="302" xfId="0" applyNumberFormat="1" applyFont="1" applyFill="1" applyBorder="1" applyProtection="1">
      <protection locked="0"/>
    </xf>
    <xf numFmtId="3" fontId="155" fillId="0" borderId="267" xfId="0" applyNumberFormat="1" applyFont="1" applyBorder="1"/>
    <xf numFmtId="0" fontId="102" fillId="0" borderId="265" xfId="0" applyFont="1" applyBorder="1" applyAlignment="1">
      <alignment horizontal="centerContinuous" wrapText="1"/>
    </xf>
    <xf numFmtId="0" fontId="102" fillId="0" borderId="266" xfId="0" applyFont="1" applyBorder="1" applyAlignment="1">
      <alignment horizontal="centerContinuous"/>
    </xf>
    <xf numFmtId="49" fontId="102" fillId="32" borderId="81" xfId="0" applyNumberFormat="1" applyFont="1" applyFill="1" applyBorder="1" applyAlignment="1" applyProtection="1">
      <alignment horizontal="centerContinuous" vertical="top" wrapText="1"/>
      <protection locked="0"/>
    </xf>
    <xf numFmtId="49" fontId="102" fillId="32" borderId="83" xfId="0" applyNumberFormat="1" applyFont="1" applyFill="1" applyBorder="1" applyAlignment="1" applyProtection="1">
      <alignment horizontal="centerContinuous" vertical="top" wrapText="1"/>
      <protection locked="0"/>
    </xf>
    <xf numFmtId="49" fontId="102" fillId="32" borderId="82" xfId="0" applyNumberFormat="1" applyFont="1" applyFill="1" applyBorder="1" applyAlignment="1" applyProtection="1">
      <alignment horizontal="centerContinuous" vertical="top" wrapText="1"/>
      <protection locked="0"/>
    </xf>
    <xf numFmtId="49" fontId="68" fillId="32" borderId="303" xfId="0" applyNumberFormat="1" applyFont="1" applyFill="1" applyBorder="1" applyAlignment="1" applyProtection="1">
      <alignment horizontal="centerContinuous" vertical="top" wrapText="1"/>
      <protection locked="0"/>
    </xf>
    <xf numFmtId="49" fontId="68" fillId="32" borderId="304" xfId="0" applyNumberFormat="1" applyFont="1" applyFill="1" applyBorder="1" applyAlignment="1" applyProtection="1">
      <alignment horizontal="centerContinuous" vertical="top" wrapText="1"/>
      <protection locked="0"/>
    </xf>
    <xf numFmtId="49" fontId="68" fillId="32" borderId="305" xfId="0" applyNumberFormat="1" applyFont="1" applyFill="1" applyBorder="1" applyAlignment="1" applyProtection="1">
      <alignment horizontal="centerContinuous" vertical="top" wrapText="1"/>
      <protection locked="0"/>
    </xf>
    <xf numFmtId="0" fontId="68" fillId="32" borderId="306" xfId="0" applyFont="1" applyFill="1" applyBorder="1" applyAlignment="1" applyProtection="1">
      <alignment horizontal="centerContinuous" vertical="top" wrapText="1"/>
      <protection locked="0"/>
    </xf>
    <xf numFmtId="0" fontId="68" fillId="32" borderId="307" xfId="0" applyFont="1" applyFill="1" applyBorder="1" applyAlignment="1" applyProtection="1">
      <alignment horizontal="centerContinuous" vertical="top" wrapText="1"/>
      <protection locked="0"/>
    </xf>
    <xf numFmtId="0" fontId="68" fillId="32" borderId="308" xfId="0" applyFont="1" applyFill="1" applyBorder="1" applyAlignment="1" applyProtection="1">
      <alignment horizontal="centerContinuous" vertical="top" wrapText="1"/>
      <protection locked="0"/>
    </xf>
    <xf numFmtId="49" fontId="102" fillId="32" borderId="38" xfId="0" applyNumberFormat="1" applyFont="1" applyFill="1" applyBorder="1" applyAlignment="1" applyProtection="1">
      <alignment horizontal="centerContinuous" vertical="top" wrapText="1"/>
      <protection locked="0"/>
    </xf>
    <xf numFmtId="49" fontId="102" fillId="32" borderId="52" xfId="0" applyNumberFormat="1" applyFont="1" applyFill="1" applyBorder="1" applyAlignment="1" applyProtection="1">
      <alignment horizontal="centerContinuous" vertical="top" wrapText="1"/>
      <protection locked="0"/>
    </xf>
    <xf numFmtId="49" fontId="102" fillId="32" borderId="61" xfId="0" applyNumberFormat="1" applyFont="1" applyFill="1" applyBorder="1" applyAlignment="1" applyProtection="1">
      <alignment horizontal="centerContinuous" vertical="top" wrapText="1"/>
      <protection locked="0"/>
    </xf>
    <xf numFmtId="172" fontId="125" fillId="0" borderId="10" xfId="0" applyNumberFormat="1" applyFont="1" applyBorder="1" applyAlignment="1">
      <alignment horizontal="right"/>
    </xf>
    <xf numFmtId="0" fontId="96" fillId="25" borderId="10" xfId="0" quotePrefix="1" applyFont="1" applyFill="1" applyBorder="1" applyAlignment="1">
      <alignment horizontal="right"/>
    </xf>
    <xf numFmtId="0" fontId="96" fillId="0" borderId="10" xfId="0" quotePrefix="1" applyFont="1" applyBorder="1" applyAlignment="1">
      <alignment horizontal="right"/>
    </xf>
    <xf numFmtId="37" fontId="102" fillId="0" borderId="297" xfId="0" applyNumberFormat="1" applyFont="1" applyBorder="1"/>
    <xf numFmtId="37" fontId="102" fillId="0" borderId="298" xfId="0" applyNumberFormat="1" applyFont="1" applyBorder="1"/>
    <xf numFmtId="172" fontId="102" fillId="0" borderId="293" xfId="0" applyNumberFormat="1" applyFont="1" applyBorder="1" applyAlignment="1">
      <alignment horizontal="center"/>
    </xf>
    <xf numFmtId="37" fontId="102" fillId="0" borderId="299" xfId="0" applyNumberFormat="1" applyFont="1" applyBorder="1"/>
    <xf numFmtId="37" fontId="102" fillId="0" borderId="300" xfId="0" applyNumberFormat="1" applyFont="1" applyBorder="1"/>
    <xf numFmtId="172" fontId="102" fillId="0" borderId="294" xfId="0" applyNumberFormat="1" applyFont="1" applyBorder="1" applyAlignment="1">
      <alignment horizontal="center"/>
    </xf>
    <xf numFmtId="0" fontId="172" fillId="79" borderId="17" xfId="0" applyFont="1" applyFill="1" applyBorder="1" applyAlignment="1">
      <alignment horizontal="centerContinuous" wrapText="1"/>
    </xf>
    <xf numFmtId="0" fontId="173" fillId="79" borderId="0" xfId="0" applyFont="1" applyFill="1" applyAlignment="1">
      <alignment horizontal="centerContinuous"/>
    </xf>
    <xf numFmtId="0" fontId="100" fillId="0" borderId="19" xfId="0" applyFont="1" applyBorder="1" applyAlignment="1">
      <alignment horizontal="centerContinuous" wrapText="1"/>
    </xf>
    <xf numFmtId="5" fontId="68" fillId="32" borderId="34" xfId="181" applyNumberFormat="1" applyFont="1" applyFill="1" applyBorder="1" applyAlignment="1">
      <alignment horizontal="right"/>
    </xf>
    <xf numFmtId="165" fontId="68" fillId="32" borderId="294" xfId="181" applyNumberFormat="1" applyFont="1" applyFill="1" applyBorder="1" applyAlignment="1">
      <alignment horizontal="right"/>
    </xf>
    <xf numFmtId="165" fontId="68" fillId="32" borderId="309" xfId="181" applyNumberFormat="1" applyFont="1" applyFill="1" applyBorder="1" applyAlignment="1">
      <alignment horizontal="right"/>
    </xf>
    <xf numFmtId="0" fontId="159" fillId="0" borderId="0" xfId="0" applyFont="1" applyAlignment="1">
      <alignment horizontal="left"/>
    </xf>
    <xf numFmtId="0" fontId="174" fillId="32" borderId="17" xfId="0" applyFont="1" applyFill="1" applyBorder="1" applyAlignment="1">
      <alignment horizontal="left"/>
    </xf>
    <xf numFmtId="0" fontId="103" fillId="0" borderId="81" xfId="0" applyFont="1" applyBorder="1" applyAlignment="1">
      <alignment horizontal="center" wrapText="1"/>
    </xf>
    <xf numFmtId="5" fontId="68" fillId="32" borderId="310" xfId="181" applyNumberFormat="1" applyFont="1" applyFill="1" applyBorder="1" applyAlignment="1">
      <alignment horizontal="right"/>
    </xf>
    <xf numFmtId="169" fontId="147" fillId="0" borderId="48" xfId="0" applyNumberFormat="1" applyFont="1" applyBorder="1"/>
    <xf numFmtId="171" fontId="147" fillId="0" borderId="50" xfId="0" applyNumberFormat="1" applyFont="1" applyBorder="1"/>
    <xf numFmtId="169" fontId="147" fillId="0" borderId="281" xfId="0" applyNumberFormat="1" applyFont="1" applyBorder="1"/>
    <xf numFmtId="171" fontId="147" fillId="0" borderId="280" xfId="0" applyNumberFormat="1" applyFont="1" applyBorder="1"/>
    <xf numFmtId="169" fontId="147" fillId="0" borderId="282" xfId="0" applyNumberFormat="1" applyFont="1" applyBorder="1"/>
    <xf numFmtId="171" fontId="147" fillId="0" borderId="284" xfId="0" applyNumberFormat="1" applyFont="1" applyBorder="1"/>
    <xf numFmtId="0" fontId="70" fillId="0" borderId="29" xfId="0" applyFont="1" applyBorder="1" applyAlignment="1">
      <alignment horizontal="center" wrapText="1"/>
    </xf>
    <xf numFmtId="0" fontId="68" fillId="0" borderId="47" xfId="0" applyFont="1" applyBorder="1"/>
    <xf numFmtId="3" fontId="68" fillId="36" borderId="294" xfId="0" applyNumberFormat="1" applyFont="1" applyFill="1" applyBorder="1" applyAlignment="1">
      <alignment horizontal="right"/>
    </xf>
    <xf numFmtId="165" fontId="68" fillId="32" borderId="296" xfId="181" applyNumberFormat="1" applyFont="1" applyFill="1" applyBorder="1" applyAlignment="1">
      <alignment horizontal="right"/>
    </xf>
    <xf numFmtId="0" fontId="171" fillId="32" borderId="293" xfId="0" applyFont="1" applyFill="1" applyBorder="1" applyAlignment="1" applyProtection="1">
      <alignment horizontal="right"/>
      <protection locked="0"/>
    </xf>
    <xf numFmtId="0" fontId="171" fillId="32" borderId="294" xfId="0" applyFont="1" applyFill="1" applyBorder="1" applyAlignment="1" applyProtection="1">
      <alignment horizontal="right"/>
      <protection locked="0"/>
    </xf>
    <xf numFmtId="0" fontId="67" fillId="80" borderId="0" xfId="0" applyFont="1" applyFill="1" applyAlignment="1">
      <alignment horizontal="centerContinuous" vertical="center" wrapText="1"/>
    </xf>
    <xf numFmtId="37" fontId="72" fillId="0" borderId="244" xfId="0" applyNumberFormat="1" applyFont="1" applyBorder="1" applyAlignment="1">
      <alignment horizontal="right"/>
    </xf>
    <xf numFmtId="37" fontId="72" fillId="0" borderId="104" xfId="0" applyNumberFormat="1" applyFont="1" applyBorder="1" applyAlignment="1">
      <alignment horizontal="right"/>
    </xf>
    <xf numFmtId="0" fontId="70" fillId="0" borderId="62" xfId="0" quotePrefix="1" applyFont="1" applyBorder="1" applyAlignment="1">
      <alignment horizontal="center"/>
    </xf>
    <xf numFmtId="37" fontId="70" fillId="0" borderId="62" xfId="0" applyNumberFormat="1" applyFont="1" applyBorder="1"/>
    <xf numFmtId="0" fontId="70" fillId="0" borderId="226" xfId="0" quotePrefix="1" applyFont="1" applyBorder="1" applyAlignment="1">
      <alignment horizontal="left"/>
    </xf>
    <xf numFmtId="0" fontId="70" fillId="0" borderId="243" xfId="0" applyFont="1" applyBorder="1"/>
    <xf numFmtId="0" fontId="157" fillId="32" borderId="35" xfId="0" applyFont="1" applyFill="1" applyBorder="1" applyAlignment="1" applyProtection="1">
      <alignment horizontal="centerContinuous"/>
      <protection locked="0"/>
    </xf>
    <xf numFmtId="0" fontId="157" fillId="32" borderId="56" xfId="0" applyFont="1" applyFill="1" applyBorder="1" applyAlignment="1" applyProtection="1">
      <alignment horizontal="centerContinuous"/>
      <protection locked="0"/>
    </xf>
    <xf numFmtId="168" fontId="152" fillId="32" borderId="0" xfId="182" applyNumberFormat="1" applyFont="1" applyFill="1" applyBorder="1" applyProtection="1">
      <protection locked="0"/>
    </xf>
    <xf numFmtId="0" fontId="175" fillId="0" borderId="0" xfId="0" applyFont="1"/>
    <xf numFmtId="0" fontId="68" fillId="78" borderId="43" xfId="0" applyFont="1" applyFill="1" applyBorder="1" applyAlignment="1">
      <alignment wrapText="1"/>
    </xf>
    <xf numFmtId="0" fontId="101" fillId="0" borderId="311" xfId="0" applyFont="1" applyBorder="1"/>
    <xf numFmtId="0" fontId="101" fillId="0" borderId="311" xfId="0" applyFont="1" applyBorder="1" applyAlignment="1">
      <alignment horizontal="left" wrapText="1"/>
    </xf>
    <xf numFmtId="3" fontId="101" fillId="0" borderId="311" xfId="0" applyNumberFormat="1" applyFont="1" applyBorder="1" applyAlignment="1">
      <alignment horizontal="right" wrapText="1"/>
    </xf>
    <xf numFmtId="3" fontId="101" fillId="36" borderId="311" xfId="0" applyNumberFormat="1" applyFont="1" applyFill="1" applyBorder="1" applyAlignment="1">
      <alignment horizontal="right" wrapText="1"/>
    </xf>
    <xf numFmtId="0" fontId="68" fillId="78" borderId="312" xfId="0" applyFont="1" applyFill="1" applyBorder="1" applyAlignment="1">
      <alignment wrapText="1"/>
    </xf>
    <xf numFmtId="0" fontId="68" fillId="32" borderId="311" xfId="495" applyFont="1" applyFill="1" applyBorder="1" applyAlignment="1">
      <alignment horizontal="center" wrapText="1"/>
    </xf>
    <xf numFmtId="3" fontId="68" fillId="32" borderId="311" xfId="181" applyNumberFormat="1" applyFont="1" applyFill="1" applyBorder="1"/>
    <xf numFmtId="3" fontId="68" fillId="36" borderId="311" xfId="0" applyNumberFormat="1" applyFont="1" applyFill="1" applyBorder="1" applyAlignment="1">
      <alignment horizontal="right"/>
    </xf>
    <xf numFmtId="3" fontId="147" fillId="32" borderId="258" xfId="0" applyNumberFormat="1" applyFont="1" applyFill="1" applyBorder="1"/>
    <xf numFmtId="4" fontId="74" fillId="0" borderId="29" xfId="181" applyNumberFormat="1" applyFont="1" applyBorder="1" applyProtection="1"/>
    <xf numFmtId="0" fontId="70" fillId="71" borderId="294" xfId="0" applyFont="1" applyFill="1" applyBorder="1"/>
    <xf numFmtId="4" fontId="68" fillId="0" borderId="294" xfId="181" applyNumberFormat="1" applyFont="1" applyBorder="1" applyProtection="1"/>
    <xf numFmtId="0" fontId="68" fillId="0" borderId="29" xfId="0" applyFont="1" applyBorder="1" applyAlignment="1">
      <alignment horizontal="center"/>
    </xf>
    <xf numFmtId="3" fontId="152" fillId="32" borderId="311" xfId="0" applyNumberFormat="1" applyFont="1" applyFill="1" applyBorder="1" applyAlignment="1" applyProtection="1">
      <alignment horizontal="right"/>
      <protection locked="0"/>
    </xf>
    <xf numFmtId="0" fontId="68" fillId="0" borderId="294" xfId="0" applyFont="1" applyBorder="1" applyAlignment="1">
      <alignment horizontal="center"/>
    </xf>
    <xf numFmtId="3" fontId="152" fillId="32" borderId="294" xfId="0" applyNumberFormat="1" applyFont="1" applyFill="1" applyBorder="1" applyAlignment="1" applyProtection="1">
      <alignment horizontal="right"/>
      <protection locked="0"/>
    </xf>
    <xf numFmtId="4" fontId="68" fillId="0" borderId="294" xfId="0" applyNumberFormat="1" applyFont="1" applyBorder="1"/>
    <xf numFmtId="3" fontId="68" fillId="0" borderId="294" xfId="0" applyNumberFormat="1" applyFont="1" applyBorder="1"/>
    <xf numFmtId="0" fontId="96" fillId="0" borderId="15" xfId="0" applyFont="1" applyBorder="1"/>
    <xf numFmtId="3" fontId="153" fillId="32" borderId="22" xfId="0" applyNumberFormat="1" applyFont="1" applyFill="1" applyBorder="1" applyProtection="1">
      <protection locked="0"/>
    </xf>
    <xf numFmtId="0" fontId="96" fillId="0" borderId="294" xfId="0" applyFont="1" applyBorder="1"/>
    <xf numFmtId="0" fontId="96" fillId="0" borderId="265" xfId="0" applyFont="1" applyBorder="1" applyAlignment="1">
      <alignment horizontal="center"/>
    </xf>
    <xf numFmtId="3" fontId="153" fillId="32" borderId="294" xfId="0" applyNumberFormat="1" applyFont="1" applyFill="1" applyBorder="1" applyProtection="1">
      <protection locked="0"/>
    </xf>
    <xf numFmtId="0" fontId="96" fillId="0" borderId="309" xfId="0" applyFont="1" applyBorder="1"/>
    <xf numFmtId="2" fontId="156" fillId="32" borderId="29" xfId="0" applyNumberFormat="1" applyFont="1" applyFill="1" applyBorder="1" applyProtection="1">
      <protection locked="0"/>
    </xf>
    <xf numFmtId="2" fontId="70" fillId="71" borderId="311" xfId="0" applyNumberFormat="1" applyFont="1" applyFill="1" applyBorder="1"/>
    <xf numFmtId="2" fontId="156" fillId="32" borderId="309" xfId="181" applyNumberFormat="1" applyFont="1" applyFill="1" applyBorder="1" applyProtection="1">
      <protection locked="0"/>
    </xf>
    <xf numFmtId="0" fontId="125" fillId="0" borderId="10" xfId="0" applyFont="1" applyBorder="1"/>
    <xf numFmtId="0" fontId="178" fillId="77" borderId="0" xfId="0" applyFont="1" applyFill="1"/>
    <xf numFmtId="37" fontId="178" fillId="77" borderId="0" xfId="0" applyNumberFormat="1" applyFont="1" applyFill="1"/>
    <xf numFmtId="37" fontId="178" fillId="77" borderId="0" xfId="0" applyNumberFormat="1" applyFont="1" applyFill="1" applyAlignment="1">
      <alignment horizontal="center"/>
    </xf>
    <xf numFmtId="4" fontId="178" fillId="77" borderId="0" xfId="0" applyNumberFormat="1" applyFont="1" applyFill="1"/>
    <xf numFmtId="0" fontId="178" fillId="77" borderId="0" xfId="0" applyFont="1" applyFill="1" applyAlignment="1">
      <alignment horizontal="center"/>
    </xf>
    <xf numFmtId="37" fontId="179" fillId="77" borderId="0" xfId="0" applyNumberFormat="1" applyFont="1" applyFill="1"/>
    <xf numFmtId="0" fontId="179" fillId="77" borderId="0" xfId="0" applyFont="1" applyFill="1" applyAlignment="1">
      <alignment horizontal="left" wrapText="1"/>
    </xf>
    <xf numFmtId="4" fontId="179" fillId="77" borderId="0" xfId="0" applyNumberFormat="1" applyFont="1" applyFill="1"/>
    <xf numFmtId="0" fontId="179" fillId="77" borderId="0" xfId="0" applyFont="1" applyFill="1" applyAlignment="1">
      <alignment horizontal="center"/>
    </xf>
    <xf numFmtId="0" fontId="179" fillId="77" borderId="0" xfId="0" applyFont="1" applyFill="1" applyAlignment="1">
      <alignment horizontal="left" vertical="top" wrapText="1"/>
    </xf>
    <xf numFmtId="0" fontId="178" fillId="77" borderId="0" xfId="0" applyFont="1" applyFill="1" applyAlignment="1">
      <alignment horizontal="left"/>
    </xf>
    <xf numFmtId="0" fontId="179" fillId="77" borderId="0" xfId="0" applyFont="1" applyFill="1"/>
    <xf numFmtId="0" fontId="70" fillId="0" borderId="48" xfId="0" applyFont="1" applyBorder="1" applyAlignment="1">
      <alignment horizontal="centerContinuous"/>
    </xf>
    <xf numFmtId="0" fontId="70" fillId="0" borderId="49" xfId="0" applyFont="1" applyBorder="1" applyAlignment="1">
      <alignment horizontal="centerContinuous"/>
    </xf>
    <xf numFmtId="0" fontId="70" fillId="70" borderId="84" xfId="0" applyFont="1" applyFill="1" applyBorder="1" applyAlignment="1">
      <alignment horizontal="center"/>
    </xf>
    <xf numFmtId="0" fontId="70" fillId="0" borderId="51" xfId="0" applyFont="1" applyBorder="1" applyAlignment="1">
      <alignment horizontal="centerContinuous"/>
    </xf>
    <xf numFmtId="0" fontId="70" fillId="0" borderId="144" xfId="0" applyFont="1" applyBorder="1" applyAlignment="1">
      <alignment horizontal="centerContinuous"/>
    </xf>
    <xf numFmtId="37" fontId="153" fillId="33" borderId="11" xfId="0" applyNumberFormat="1" applyFont="1" applyFill="1" applyBorder="1" applyAlignment="1" applyProtection="1">
      <alignment horizontal="right"/>
      <protection locked="0"/>
    </xf>
    <xf numFmtId="37" fontId="153" fillId="33" borderId="238" xfId="0" applyNumberFormat="1" applyFont="1" applyFill="1" applyBorder="1" applyAlignment="1" applyProtection="1">
      <alignment horizontal="right"/>
      <protection locked="0"/>
    </xf>
    <xf numFmtId="3" fontId="154" fillId="32" borderId="34" xfId="0" applyNumberFormat="1" applyFont="1" applyFill="1" applyBorder="1" applyProtection="1">
      <protection locked="0"/>
    </xf>
    <xf numFmtId="3" fontId="102" fillId="0" borderId="34" xfId="0" applyNumberFormat="1" applyFont="1" applyBorder="1"/>
    <xf numFmtId="3" fontId="96" fillId="24" borderId="11" xfId="0" applyNumberFormat="1" applyFont="1" applyFill="1" applyBorder="1"/>
    <xf numFmtId="3" fontId="96" fillId="24" borderId="11" xfId="181" applyNumberFormat="1" applyFont="1" applyFill="1" applyBorder="1" applyProtection="1"/>
    <xf numFmtId="3" fontId="96" fillId="0" borderId="11" xfId="0" applyNumberFormat="1" applyFont="1" applyBorder="1" applyAlignment="1">
      <alignment horizontal="right"/>
    </xf>
    <xf numFmtId="3" fontId="96" fillId="24" borderId="11" xfId="0" applyNumberFormat="1" applyFont="1" applyFill="1" applyBorder="1" applyAlignment="1">
      <alignment horizontal="right"/>
    </xf>
    <xf numFmtId="3" fontId="153" fillId="33" borderId="11" xfId="0" applyNumberFormat="1" applyFont="1" applyFill="1" applyBorder="1" applyAlignment="1" applyProtection="1">
      <alignment horizontal="right"/>
      <protection locked="0"/>
    </xf>
    <xf numFmtId="3" fontId="96" fillId="0" borderId="10" xfId="0" applyNumberFormat="1" applyFont="1" applyBorder="1" applyAlignment="1">
      <alignment horizontal="right"/>
    </xf>
    <xf numFmtId="3" fontId="153" fillId="33" borderId="10" xfId="0" applyNumberFormat="1" applyFont="1" applyFill="1" applyBorder="1" applyAlignment="1" applyProtection="1">
      <alignment horizontal="right"/>
      <protection locked="0"/>
    </xf>
    <xf numFmtId="3" fontId="153" fillId="33" borderId="148" xfId="0" applyNumberFormat="1" applyFont="1" applyFill="1" applyBorder="1" applyProtection="1">
      <protection locked="0"/>
    </xf>
    <xf numFmtId="3" fontId="68" fillId="0" borderId="34" xfId="0" applyNumberFormat="1" applyFont="1" applyBorder="1"/>
    <xf numFmtId="3" fontId="152" fillId="32" borderId="214" xfId="0" applyNumberFormat="1" applyFont="1" applyFill="1" applyBorder="1" applyAlignment="1" applyProtection="1">
      <alignment horizontal="right"/>
      <protection locked="0"/>
    </xf>
    <xf numFmtId="3" fontId="68" fillId="0" borderId="214" xfId="0" applyNumberFormat="1" applyFont="1" applyBorder="1"/>
    <xf numFmtId="3" fontId="68" fillId="0" borderId="176" xfId="0" applyNumberFormat="1" applyFont="1" applyBorder="1"/>
    <xf numFmtId="168" fontId="152" fillId="32" borderId="180" xfId="182" applyNumberFormat="1" applyFont="1" applyFill="1" applyBorder="1" applyProtection="1">
      <protection locked="0"/>
    </xf>
    <xf numFmtId="0" fontId="157" fillId="32" borderId="265" xfId="0" applyFont="1" applyFill="1" applyBorder="1" applyAlignment="1" applyProtection="1">
      <alignment horizontal="left"/>
      <protection locked="0"/>
    </xf>
    <xf numFmtId="0" fontId="157" fillId="32" borderId="266" xfId="0" applyFont="1" applyFill="1" applyBorder="1" applyAlignment="1" applyProtection="1">
      <alignment horizontal="left"/>
      <protection locked="0"/>
    </xf>
    <xf numFmtId="0" fontId="68" fillId="32" borderId="0" xfId="0" applyFont="1" applyFill="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FFFFCC"/>
      <color rgb="FFCCFFCC"/>
      <color rgb="FF3559F3"/>
      <color rgb="FFFFFF99"/>
      <color rgb="FFFF7C80"/>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923925</xdr:colOff>
          <xdr:row>6</xdr:row>
          <xdr:rowOff>152400</xdr:rowOff>
        </xdr:from>
        <xdr:to>
          <xdr:col>0</xdr:col>
          <xdr:colOff>6753225</xdr:colOff>
          <xdr:row>51</xdr:row>
          <xdr:rowOff>133350</xdr:rowOff>
        </xdr:to>
        <xdr:sp macro="" textlink="">
          <xdr:nvSpPr>
            <xdr:cNvPr id="1025" name="Object 1" descr="OPB Workbook Instruction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847725</xdr:colOff>
          <xdr:row>5</xdr:row>
          <xdr:rowOff>123825</xdr:rowOff>
        </xdr:from>
        <xdr:to>
          <xdr:col>3</xdr:col>
          <xdr:colOff>200025</xdr:colOff>
          <xdr:row>52</xdr:row>
          <xdr:rowOff>57150</xdr:rowOff>
        </xdr:to>
        <xdr:sp macro="" textlink="">
          <xdr:nvSpPr>
            <xdr:cNvPr id="38913" name="Object 1" descr="Exhibit F"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Florida Department of Education" id="{1F471670-B2F1-431A-BF2E-14A22D9B5720}" userId="Florida Department of Education" providerId="None"/>
  <person displayName="Nieto, Eve" id="{FDFE3473-6407-453C-A662-0F057485ABEA}" userId="S::Eve.Nieto@fldoe.org::ad6a7cfb-2703-4993-aa9e-44caa64432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3146285474</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ext>
    <extLst>
      <x:ext xmlns:xltc2="http://schemas.microsoft.com/office/spreadsheetml/2020/threadedcomments2" uri="{F7C98A9C-CBB3-438F-8F68-D28B6AF4A901}">
        <xltc2:checksum>2226529474</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FTE-2A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A109 to S137</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A109 to S136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s>
</file>

<file path=xl/threadedComments/threadedComment3.xml><?xml version="1.0" encoding="utf-8"?>
<ThreadedComments xmlns="http://schemas.microsoft.com/office/spreadsheetml/2018/threadedcomments" xmlns:x="http://schemas.openxmlformats.org/spreadsheetml/2006/main">
  <threadedComment ref="G79"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dT="2025-05-02T18:35:18.33" personId="{FDFE3473-6407-453C-A662-0F057485ABEA}" id="{B48468A9-3461-4F32-B791-2EFF870A63E9}">
    <text xml:space="preserve">
Reminder:  Enter G.L. 30800 as a negative.</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personId="{1F471670-B2F1-431A-BF2E-14A22D9B5720}" id="{C439E12A-A2BD-4B44-9D99-3AC88DA9BEC8}">
    <text xml:space="preserve">This cell will automatically populate. Should agree with Exhibit C, Cell H10. Resident and nonresident students pay resident tuition.
</text>
  </threadedComment>
  <threadedComment ref="D118"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heetViews>
  <sheetFormatPr defaultColWidth="9.140625" defaultRowHeight="12.75"/>
  <cols>
    <col min="1" max="1" width="116.28515625" style="1" customWidth="1"/>
    <col min="2" max="2" width="3.28515625" style="1" customWidth="1"/>
    <col min="3" max="3" width="31.140625" style="1" customWidth="1"/>
    <col min="4" max="4" width="21.14062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76" t="s">
        <v>0</v>
      </c>
      <c r="B1" s="576"/>
      <c r="C1" s="576"/>
      <c r="D1" s="576"/>
      <c r="E1" s="576"/>
    </row>
    <row r="2" spans="1:5" ht="23.25">
      <c r="A2" s="576" t="s">
        <v>775</v>
      </c>
      <c r="B2" s="576"/>
      <c r="C2" s="576"/>
      <c r="D2" s="576"/>
      <c r="E2" s="576"/>
    </row>
    <row r="3" spans="1:5" ht="21" customHeight="1">
      <c r="A3" s="576" t="s">
        <v>1</v>
      </c>
      <c r="B3" s="576"/>
      <c r="C3" s="576"/>
      <c r="D3" s="576"/>
      <c r="E3" s="57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1128" t="s">
        <v>774</v>
      </c>
      <c r="B7" s="1129"/>
      <c r="C7" s="1130" t="s">
        <v>776</v>
      </c>
      <c r="D7" s="1128">
        <v>40280</v>
      </c>
      <c r="E7" s="1132" t="s">
        <v>777</v>
      </c>
    </row>
    <row r="8" spans="1:5" s="3" customFormat="1" ht="20.100000000000001" customHeight="1">
      <c r="A8" s="1128"/>
      <c r="B8" s="1129"/>
      <c r="C8" s="1130"/>
      <c r="D8" s="1128"/>
      <c r="E8" s="1132"/>
    </row>
    <row r="9" spans="1:5" s="3" customFormat="1" ht="20.100000000000001" customHeight="1">
      <c r="A9" s="1131"/>
      <c r="B9" s="1133"/>
      <c r="C9" s="1130"/>
      <c r="D9" s="1138"/>
      <c r="E9" s="1132"/>
    </row>
    <row r="10" spans="1:5" s="3" customFormat="1" ht="20.100000000000001" customHeight="1">
      <c r="A10" s="1134" t="s">
        <v>9</v>
      </c>
      <c r="B10" s="1135"/>
      <c r="C10" s="1136" t="s">
        <v>10</v>
      </c>
      <c r="D10" s="1136"/>
      <c r="E10" s="1136" t="s">
        <v>10</v>
      </c>
    </row>
    <row r="11" spans="1:5" s="3" customFormat="1" ht="20.100000000000001" customHeight="1">
      <c r="A11" s="1134"/>
      <c r="B11" s="1135"/>
      <c r="C11" s="1135"/>
      <c r="D11" s="1136"/>
      <c r="E11" s="1135"/>
    </row>
    <row r="12" spans="1:5" ht="20.100000000000001" customHeight="1">
      <c r="A12" s="1135"/>
      <c r="B12" s="1135"/>
      <c r="C12" s="1135"/>
      <c r="D12" s="1136"/>
      <c r="E12" s="1135"/>
    </row>
    <row r="13" spans="1:5" ht="20.100000000000001" customHeight="1">
      <c r="A13" s="1137" t="s">
        <v>10</v>
      </c>
      <c r="B13" s="1135"/>
      <c r="C13" s="1135"/>
      <c r="D13" s="1136"/>
      <c r="E13" s="1135"/>
    </row>
    <row r="14" spans="1:5" ht="20.100000000000001" customHeight="1">
      <c r="A14" s="1137"/>
      <c r="B14" s="1135"/>
      <c r="C14" s="1135"/>
      <c r="D14" s="1139"/>
      <c r="E14" s="1135"/>
    </row>
    <row r="15" spans="1:5" ht="20.100000000000001" customHeight="1">
      <c r="A15" s="1137"/>
      <c r="B15" s="1135"/>
      <c r="C15" s="1135"/>
      <c r="D15" s="1139"/>
      <c r="E15" s="1135"/>
    </row>
    <row r="16" spans="1:5" ht="20.100000000000001" customHeight="1">
      <c r="A16" s="1137"/>
      <c r="B16" s="1135"/>
      <c r="C16" s="1135"/>
      <c r="D16" s="1139"/>
      <c r="E16" s="1135"/>
    </row>
    <row r="17" spans="1:6" ht="15" customHeight="1">
      <c r="A17" s="8"/>
      <c r="B17" s="2"/>
      <c r="C17" s="2"/>
      <c r="D17" s="2"/>
      <c r="E17" s="2"/>
    </row>
    <row r="18" spans="1:6" ht="15" customHeight="1">
      <c r="A18" s="478"/>
      <c r="B18" s="176"/>
      <c r="C18" s="176"/>
      <c r="D18" s="176"/>
      <c r="E18" s="176"/>
      <c r="F18" s="179"/>
    </row>
    <row r="19" spans="1:6" ht="19.5" customHeight="1">
      <c r="A19" s="478"/>
      <c r="B19" s="176"/>
      <c r="C19" s="176"/>
      <c r="D19" s="176"/>
      <c r="E19" s="176"/>
      <c r="F19" s="179"/>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Normal="100" zoomScalePageLayoutView="80" workbookViewId="0"/>
  </sheetViews>
  <sheetFormatPr defaultColWidth="9.140625" defaultRowHeight="23.25"/>
  <cols>
    <col min="1" max="1" width="47.7109375" style="63" customWidth="1"/>
    <col min="2" max="2" width="20.7109375" style="63" customWidth="1"/>
    <col min="3" max="4" width="17.42578125" style="63" customWidth="1"/>
    <col min="5" max="5" width="19.85546875" style="63" customWidth="1"/>
    <col min="6" max="6" width="7.42578125" style="63" customWidth="1"/>
    <col min="7" max="16384" width="9.140625" style="63"/>
  </cols>
  <sheetData>
    <row r="1" spans="1:8" ht="24" customHeight="1">
      <c r="A1" s="274"/>
      <c r="B1" s="274"/>
      <c r="C1" s="274"/>
      <c r="D1" s="274"/>
      <c r="E1" s="324" t="s">
        <v>567</v>
      </c>
      <c r="F1" s="274"/>
    </row>
    <row r="2" spans="1:8" ht="24" customHeight="1">
      <c r="A2" s="274"/>
      <c r="B2" s="274"/>
      <c r="C2" s="274"/>
      <c r="D2" s="274"/>
      <c r="E2" s="325"/>
      <c r="F2" s="274"/>
    </row>
    <row r="3" spans="1:8" ht="24" customHeight="1" thickBot="1">
      <c r="A3" s="893" t="s">
        <v>171</v>
      </c>
      <c r="B3" s="882" t="str">
        <f>'CHECK SHEET'!D7</f>
        <v>Pasco-Hernando State College</v>
      </c>
      <c r="C3" s="882"/>
      <c r="D3" s="882"/>
      <c r="E3" s="882"/>
      <c r="F3" s="273"/>
      <c r="G3" s="321"/>
    </row>
    <row r="4" spans="1:8" ht="24" customHeight="1">
      <c r="A4" s="879" t="s">
        <v>568</v>
      </c>
      <c r="B4" s="879"/>
      <c r="C4" s="879"/>
      <c r="D4" s="879"/>
      <c r="E4" s="879"/>
      <c r="F4" s="273"/>
    </row>
    <row r="5" spans="1:8" ht="24" customHeight="1">
      <c r="A5" s="879" t="s">
        <v>569</v>
      </c>
      <c r="B5" s="879"/>
      <c r="C5" s="879"/>
      <c r="D5" s="879"/>
      <c r="E5" s="879"/>
      <c r="F5" s="273"/>
    </row>
    <row r="6" spans="1:8" ht="24" customHeight="1">
      <c r="A6" s="879" t="s">
        <v>763</v>
      </c>
      <c r="B6" s="879"/>
      <c r="C6" s="879"/>
      <c r="D6" s="879"/>
      <c r="E6" s="879"/>
      <c r="F6" s="273"/>
    </row>
    <row r="7" spans="1:8" ht="20.100000000000001" customHeight="1">
      <c r="A7" s="808"/>
      <c r="B7" s="808"/>
      <c r="C7" s="808"/>
      <c r="D7" s="884"/>
      <c r="E7" s="884"/>
    </row>
    <row r="8" spans="1:8" ht="24" customHeight="1" thickBot="1">
      <c r="A8" s="835" t="s">
        <v>570</v>
      </c>
      <c r="B8" s="835"/>
      <c r="C8" s="835"/>
      <c r="H8" s="322"/>
    </row>
    <row r="9" spans="1:8" s="11" customFormat="1" ht="64.349999999999994" customHeight="1" thickBot="1">
      <c r="A9" s="276" t="s">
        <v>571</v>
      </c>
      <c r="B9" s="809" t="s">
        <v>572</v>
      </c>
      <c r="C9" s="295" t="s">
        <v>573</v>
      </c>
      <c r="D9" s="295" t="s">
        <v>574</v>
      </c>
      <c r="E9" s="344" t="s">
        <v>48</v>
      </c>
      <c r="F9" s="25"/>
      <c r="H9" s="342"/>
    </row>
    <row r="10" spans="1:8" s="11" customFormat="1" ht="20.100000000000001" customHeight="1">
      <c r="A10" s="358" t="s">
        <v>575</v>
      </c>
      <c r="B10" s="435">
        <v>20527154</v>
      </c>
      <c r="C10" s="436">
        <v>2603248</v>
      </c>
      <c r="D10" s="436">
        <v>1317445</v>
      </c>
      <c r="E10" s="359">
        <f>SUM(B10:D10)</f>
        <v>24447847</v>
      </c>
      <c r="F10" s="342"/>
      <c r="G10" s="342"/>
    </row>
    <row r="11" spans="1:8" s="11" customFormat="1" ht="20.100000000000001" customHeight="1">
      <c r="A11" s="358" t="s">
        <v>576</v>
      </c>
      <c r="B11" s="437">
        <v>0</v>
      </c>
      <c r="C11" s="430">
        <v>0</v>
      </c>
      <c r="D11" s="430">
        <v>0</v>
      </c>
      <c r="E11" s="359">
        <f>SUM(B11:D11)</f>
        <v>0</v>
      </c>
      <c r="F11" s="342"/>
      <c r="G11" s="342"/>
      <c r="H11" s="342"/>
    </row>
    <row r="12" spans="1:8" s="11" customFormat="1" ht="20.100000000000001" customHeight="1" thickBot="1">
      <c r="A12" s="358" t="s">
        <v>577</v>
      </c>
      <c r="B12" s="437">
        <v>0</v>
      </c>
      <c r="C12" s="430">
        <v>0</v>
      </c>
      <c r="D12" s="430">
        <v>0</v>
      </c>
      <c r="E12" s="360">
        <f>SUM(B12:D12)</f>
        <v>0</v>
      </c>
      <c r="F12" s="342"/>
    </row>
    <row r="13" spans="1:8" s="11" customFormat="1" ht="20.100000000000001" customHeight="1" thickBot="1">
      <c r="A13" s="358" t="s">
        <v>578</v>
      </c>
      <c r="B13" s="361"/>
      <c r="C13" s="362"/>
      <c r="D13" s="362"/>
      <c r="E13" s="363"/>
      <c r="F13" s="342"/>
    </row>
    <row r="14" spans="1:8" s="11" customFormat="1" ht="20.100000000000001" customHeight="1">
      <c r="A14" s="358" t="s">
        <v>579</v>
      </c>
      <c r="B14" s="437">
        <f>7060948-146025</f>
        <v>6914923</v>
      </c>
      <c r="C14" s="438">
        <f>1554106-448390</f>
        <v>1105716</v>
      </c>
      <c r="D14" s="438">
        <v>468907</v>
      </c>
      <c r="E14" s="360">
        <f t="shared" ref="E14:E20" si="0">SUM(B14:D14)</f>
        <v>8489546</v>
      </c>
      <c r="F14" s="342"/>
    </row>
    <row r="15" spans="1:8" s="11" customFormat="1" ht="20.100000000000001" customHeight="1">
      <c r="A15" s="358" t="s">
        <v>580</v>
      </c>
      <c r="B15" s="437">
        <v>146025</v>
      </c>
      <c r="C15" s="430">
        <v>448390</v>
      </c>
      <c r="D15" s="430">
        <v>0</v>
      </c>
      <c r="E15" s="360">
        <f>SUM(B15:D15)</f>
        <v>594415</v>
      </c>
      <c r="F15" s="342"/>
    </row>
    <row r="16" spans="1:8" s="11" customFormat="1" ht="20.100000000000001" customHeight="1">
      <c r="A16" s="358" t="s">
        <v>581</v>
      </c>
      <c r="B16" s="437">
        <v>8468656</v>
      </c>
      <c r="C16" s="430">
        <v>610363</v>
      </c>
      <c r="D16" s="430"/>
      <c r="E16" s="360">
        <f t="shared" si="0"/>
        <v>9079019</v>
      </c>
      <c r="F16" s="342"/>
    </row>
    <row r="17" spans="1:6" s="11" customFormat="1" ht="20.100000000000001" customHeight="1">
      <c r="A17" s="358" t="s">
        <v>582</v>
      </c>
      <c r="B17" s="437">
        <v>11005626</v>
      </c>
      <c r="C17" s="430">
        <v>6334398</v>
      </c>
      <c r="D17" s="430">
        <v>552000</v>
      </c>
      <c r="E17" s="360">
        <f t="shared" si="0"/>
        <v>17892024</v>
      </c>
      <c r="F17" s="342"/>
    </row>
    <row r="18" spans="1:6" s="11" customFormat="1" ht="20.100000000000001" customHeight="1">
      <c r="A18" s="358" t="s">
        <v>583</v>
      </c>
      <c r="B18" s="437">
        <v>2576976</v>
      </c>
      <c r="C18" s="430">
        <f>9285218-125000</f>
        <v>9160218</v>
      </c>
      <c r="D18" s="430">
        <v>22133</v>
      </c>
      <c r="E18" s="360">
        <f t="shared" si="0"/>
        <v>11759327</v>
      </c>
      <c r="F18" s="342"/>
    </row>
    <row r="19" spans="1:6" s="11" customFormat="1" ht="20.100000000000001" customHeight="1">
      <c r="A19" s="358" t="s">
        <v>584</v>
      </c>
      <c r="B19" s="437">
        <v>253300</v>
      </c>
      <c r="C19" s="430">
        <v>190000</v>
      </c>
      <c r="D19" s="430"/>
      <c r="E19" s="360">
        <f t="shared" si="0"/>
        <v>443300</v>
      </c>
      <c r="F19" s="342"/>
    </row>
    <row r="20" spans="1:6" s="11" customFormat="1" ht="20.100000000000001" customHeight="1" thickBot="1">
      <c r="A20" s="358" t="s">
        <v>585</v>
      </c>
      <c r="B20" s="437">
        <v>100000</v>
      </c>
      <c r="C20" s="431">
        <f>100000+125000</f>
        <v>225000</v>
      </c>
      <c r="D20" s="431">
        <v>0</v>
      </c>
      <c r="E20" s="360">
        <f t="shared" si="0"/>
        <v>325000</v>
      </c>
      <c r="F20" s="342"/>
    </row>
    <row r="21" spans="1:6" s="11" customFormat="1" ht="24" customHeight="1" thickBot="1">
      <c r="A21" s="283" t="s">
        <v>48</v>
      </c>
      <c r="B21" s="343">
        <f>SUM(B10:B20)</f>
        <v>49992660</v>
      </c>
      <c r="C21" s="346">
        <f>SUM(C10:C20)</f>
        <v>20677333</v>
      </c>
      <c r="D21" s="346">
        <f>SUM(D10:D20)</f>
        <v>2360485</v>
      </c>
      <c r="E21" s="345">
        <f>SUM(E10:E20)</f>
        <v>73030478</v>
      </c>
      <c r="F21" s="342"/>
    </row>
    <row r="22" spans="1:6" ht="24" customHeight="1">
      <c r="B22" s="323"/>
      <c r="F22" s="322"/>
    </row>
    <row r="23" spans="1:6" ht="24" customHeight="1">
      <c r="F23" s="322"/>
    </row>
    <row r="24" spans="1:6">
      <c r="F24" s="322"/>
    </row>
    <row r="25" spans="1:6">
      <c r="F25" s="322"/>
    </row>
    <row r="96" spans="3:4">
      <c r="C96" s="63">
        <f>SUM(C91:C95)</f>
        <v>0</v>
      </c>
      <c r="D96" s="63">
        <f>SUM(D91:D95)</f>
        <v>0</v>
      </c>
    </row>
  </sheetData>
  <sheetProtection algorithmName="SHA-512" hashValue="LrgSEKgB5L9zCT6BQVYF3b5JAWuiQr5Qj3iq7R+mrCrPRGYnvjmg/bQtdR4bbTviCJbhbhrIwSFD3uHItBaAkA==" saltValue="23JiQkOq1gHHyreA9oNV4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76" t="s">
        <v>586</v>
      </c>
      <c r="B1" s="475"/>
      <c r="C1" s="475"/>
      <c r="D1" s="475"/>
      <c r="E1" s="475"/>
      <c r="F1" s="475"/>
      <c r="G1" s="475"/>
    </row>
    <row r="2" spans="1:7" ht="26.25">
      <c r="A2" s="466" t="s">
        <v>587</v>
      </c>
      <c r="B2" s="475"/>
    </row>
    <row r="3" spans="1:7" ht="26.1" customHeight="1">
      <c r="A3" s="465" t="s">
        <v>588</v>
      </c>
      <c r="B3" s="47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utoPict="0" altText="Exhibit F" r:id="rId5">
            <anchor moveWithCells="1">
              <from>
                <xdr:col>0</xdr:col>
                <xdr:colOff>847725</xdr:colOff>
                <xdr:row>5</xdr:row>
                <xdr:rowOff>123825</xdr:rowOff>
              </from>
              <to>
                <xdr:col>3</xdr:col>
                <xdr:colOff>200025</xdr:colOff>
                <xdr:row>52</xdr:row>
                <xdr:rowOff>57150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3"/>
  <sheetViews>
    <sheetView showGridLines="0" zoomScale="80" zoomScaleNormal="80" zoomScaleSheetLayoutView="50" zoomScalePageLayoutView="60" workbookViewId="0"/>
  </sheetViews>
  <sheetFormatPr defaultColWidth="12.42578125" defaultRowHeight="15.75"/>
  <cols>
    <col min="1" max="1" width="26.42578125" style="171" customWidth="1"/>
    <col min="2" max="2" width="94.28515625" style="171" customWidth="1"/>
    <col min="3" max="3" width="66.85546875" style="171" customWidth="1"/>
    <col min="4" max="5" width="25.85546875" style="243" customWidth="1"/>
    <col min="6" max="6" width="33.7109375" style="243" customWidth="1"/>
    <col min="7" max="7" width="3.140625" style="171" customWidth="1"/>
    <col min="8" max="16384" width="12.42578125" style="171"/>
  </cols>
  <sheetData>
    <row r="1" spans="1:224" ht="30" customHeight="1" thickBot="1">
      <c r="A1" s="879" t="s">
        <v>171</v>
      </c>
      <c r="B1" s="897" t="str">
        <f>'CHECK SHEET'!D7</f>
        <v>Pasco-Hernando State College</v>
      </c>
      <c r="C1" s="897"/>
      <c r="D1" s="897"/>
      <c r="E1" s="897"/>
      <c r="F1" s="897"/>
      <c r="G1" s="213"/>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row>
    <row r="2" spans="1:224" ht="30" customHeight="1">
      <c r="A2" s="898" t="s">
        <v>589</v>
      </c>
      <c r="B2" s="898"/>
      <c r="C2" s="898"/>
      <c r="D2" s="898"/>
      <c r="E2" s="898"/>
      <c r="F2" s="898"/>
      <c r="G2" s="215"/>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row>
    <row r="3" spans="1:224" s="216" customFormat="1" ht="30" customHeight="1">
      <c r="A3" s="879" t="s">
        <v>590</v>
      </c>
      <c r="B3" s="879"/>
      <c r="C3" s="879"/>
      <c r="D3" s="879"/>
      <c r="E3" s="879"/>
      <c r="F3" s="879"/>
    </row>
    <row r="4" spans="1:224" ht="30" customHeight="1">
      <c r="A4" s="898" t="s">
        <v>763</v>
      </c>
      <c r="B4" s="898"/>
      <c r="C4" s="898"/>
      <c r="D4" s="898"/>
      <c r="E4" s="898"/>
      <c r="F4" s="898"/>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row>
    <row r="5" spans="1:224" ht="30" customHeight="1">
      <c r="A5" s="846"/>
      <c r="B5" s="846"/>
      <c r="C5" s="846"/>
      <c r="D5" s="846"/>
      <c r="E5" s="846"/>
      <c r="F5" s="846"/>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row>
    <row r="6" spans="1:224" ht="22.35" customHeight="1" thickBot="1">
      <c r="A6" s="169"/>
      <c r="C6" s="217"/>
      <c r="D6" s="217"/>
      <c r="E6" s="217"/>
      <c r="F6" s="217"/>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row>
    <row r="7" spans="1:224" ht="30" customHeight="1" thickBot="1">
      <c r="A7" s="844" t="s">
        <v>570</v>
      </c>
      <c r="B7" s="845"/>
      <c r="C7" s="838" t="s">
        <v>743</v>
      </c>
      <c r="D7" s="839"/>
      <c r="E7" s="839"/>
      <c r="F7" s="840"/>
      <c r="G7" s="214"/>
      <c r="H7" s="214"/>
      <c r="I7" s="23"/>
      <c r="J7" s="23"/>
      <c r="K7" s="220"/>
      <c r="L7" s="220"/>
      <c r="M7" s="220"/>
      <c r="N7" s="220"/>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row>
    <row r="8" spans="1:224" s="169" customFormat="1" ht="114.6" customHeight="1" thickBot="1">
      <c r="A8" s="952" t="s">
        <v>591</v>
      </c>
      <c r="B8" s="953"/>
      <c r="C8" s="221" t="s">
        <v>261</v>
      </c>
      <c r="D8" s="222" t="s">
        <v>592</v>
      </c>
      <c r="E8" s="536" t="s">
        <v>593</v>
      </c>
      <c r="F8" s="221" t="s">
        <v>594</v>
      </c>
      <c r="G8" s="219"/>
      <c r="H8" s="219"/>
      <c r="I8" s="82"/>
      <c r="J8" s="23"/>
      <c r="K8" s="87"/>
      <c r="L8" s="87"/>
      <c r="M8" s="87"/>
      <c r="N8" s="87"/>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row>
    <row r="9" spans="1:224" s="169" customFormat="1" ht="30" customHeight="1" thickBot="1">
      <c r="A9" s="836" t="s">
        <v>393</v>
      </c>
      <c r="B9" s="841"/>
      <c r="C9" s="246"/>
      <c r="D9" s="261"/>
      <c r="E9" s="261"/>
      <c r="F9" s="261"/>
      <c r="I9" s="82"/>
      <c r="J9" s="23"/>
      <c r="K9" s="87"/>
      <c r="L9" s="87"/>
      <c r="M9" s="87"/>
      <c r="N9" s="87"/>
    </row>
    <row r="10" spans="1:224" s="11" customFormat="1" ht="30" customHeight="1">
      <c r="A10" s="223" t="s">
        <v>394</v>
      </c>
      <c r="B10" s="231"/>
      <c r="C10" s="537" t="s">
        <v>395</v>
      </c>
      <c r="D10" s="1147">
        <v>0</v>
      </c>
      <c r="E10" s="1147">
        <v>0</v>
      </c>
      <c r="F10" s="1148">
        <f t="shared" ref="F10:F73" si="0">+D10+E10</f>
        <v>0</v>
      </c>
      <c r="I10" s="82"/>
      <c r="J10" s="23"/>
      <c r="K10" s="87"/>
      <c r="L10" s="87"/>
      <c r="M10" s="87"/>
      <c r="N10" s="87"/>
    </row>
    <row r="11" spans="1:224" s="11" customFormat="1" ht="30" customHeight="1">
      <c r="A11" s="722" t="s">
        <v>396</v>
      </c>
      <c r="B11" s="723"/>
      <c r="C11" s="724" t="s">
        <v>397</v>
      </c>
      <c r="D11" s="725">
        <v>0</v>
      </c>
      <c r="E11" s="725">
        <v>0</v>
      </c>
      <c r="F11" s="726">
        <f t="shared" si="0"/>
        <v>0</v>
      </c>
      <c r="I11" s="82"/>
      <c r="J11" s="23"/>
      <c r="K11" s="87"/>
      <c r="L11" s="87"/>
      <c r="M11" s="87"/>
      <c r="N11" s="87"/>
    </row>
    <row r="12" spans="1:224" s="11" customFormat="1" ht="30" customHeight="1">
      <c r="A12" s="722" t="s">
        <v>398</v>
      </c>
      <c r="B12" s="723"/>
      <c r="C12" s="724" t="s">
        <v>399</v>
      </c>
      <c r="D12" s="725">
        <v>0</v>
      </c>
      <c r="E12" s="725">
        <v>0</v>
      </c>
      <c r="F12" s="726">
        <f t="shared" si="0"/>
        <v>0</v>
      </c>
      <c r="I12" s="82"/>
      <c r="J12" s="23"/>
      <c r="K12" s="87"/>
      <c r="L12" s="87"/>
      <c r="M12" s="87"/>
      <c r="N12" s="87"/>
    </row>
    <row r="13" spans="1:224" s="11" customFormat="1" ht="30" customHeight="1">
      <c r="A13" s="722" t="s">
        <v>400</v>
      </c>
      <c r="B13" s="723"/>
      <c r="C13" s="724" t="s">
        <v>401</v>
      </c>
      <c r="D13" s="725">
        <v>0</v>
      </c>
      <c r="E13" s="725">
        <v>0</v>
      </c>
      <c r="F13" s="726">
        <f t="shared" si="0"/>
        <v>0</v>
      </c>
      <c r="I13" s="82"/>
      <c r="J13" s="23"/>
      <c r="K13" s="87"/>
      <c r="L13" s="87"/>
      <c r="M13" s="87"/>
      <c r="N13" s="87"/>
    </row>
    <row r="14" spans="1:224" s="11" customFormat="1" ht="30" customHeight="1">
      <c r="A14" s="722" t="s">
        <v>402</v>
      </c>
      <c r="B14" s="723"/>
      <c r="C14" s="724" t="s">
        <v>403</v>
      </c>
      <c r="D14" s="725">
        <v>0</v>
      </c>
      <c r="E14" s="725">
        <v>0</v>
      </c>
      <c r="F14" s="726">
        <f t="shared" si="0"/>
        <v>0</v>
      </c>
      <c r="I14" s="82"/>
      <c r="J14" s="23"/>
      <c r="K14" s="87"/>
      <c r="L14" s="87"/>
      <c r="M14" s="87"/>
      <c r="N14" s="87"/>
    </row>
    <row r="15" spans="1:224" s="11" customFormat="1" ht="30" customHeight="1">
      <c r="A15" s="722" t="s">
        <v>404</v>
      </c>
      <c r="B15" s="723"/>
      <c r="C15" s="724" t="s">
        <v>405</v>
      </c>
      <c r="D15" s="725">
        <v>413707</v>
      </c>
      <c r="E15" s="725">
        <v>0</v>
      </c>
      <c r="F15" s="726">
        <f t="shared" si="0"/>
        <v>413707</v>
      </c>
      <c r="I15" s="82"/>
      <c r="J15" s="23"/>
      <c r="K15" s="87"/>
      <c r="L15" s="87"/>
      <c r="M15" s="87"/>
      <c r="N15" s="87"/>
    </row>
    <row r="16" spans="1:224" s="11" customFormat="1" ht="30" customHeight="1">
      <c r="A16" s="722" t="s">
        <v>406</v>
      </c>
      <c r="B16" s="723"/>
      <c r="C16" s="724" t="s">
        <v>407</v>
      </c>
      <c r="D16" s="725">
        <v>55655</v>
      </c>
      <c r="E16" s="725">
        <v>0</v>
      </c>
      <c r="F16" s="726">
        <f t="shared" si="0"/>
        <v>55655</v>
      </c>
    </row>
    <row r="17" spans="1:6" s="11" customFormat="1" ht="30" customHeight="1">
      <c r="A17" s="722" t="s">
        <v>408</v>
      </c>
      <c r="B17" s="723"/>
      <c r="C17" s="724" t="s">
        <v>409</v>
      </c>
      <c r="D17" s="725">
        <v>0</v>
      </c>
      <c r="E17" s="725">
        <v>0</v>
      </c>
      <c r="F17" s="726">
        <f t="shared" si="0"/>
        <v>0</v>
      </c>
    </row>
    <row r="18" spans="1:6" s="11" customFormat="1" ht="30" customHeight="1">
      <c r="A18" s="722" t="s">
        <v>410</v>
      </c>
      <c r="B18" s="723"/>
      <c r="C18" s="724" t="s">
        <v>411</v>
      </c>
      <c r="D18" s="725">
        <v>0</v>
      </c>
      <c r="E18" s="725">
        <v>0</v>
      </c>
      <c r="F18" s="726">
        <f t="shared" si="0"/>
        <v>0</v>
      </c>
    </row>
    <row r="19" spans="1:6" s="11" customFormat="1" ht="30" customHeight="1">
      <c r="A19" s="722" t="s">
        <v>690</v>
      </c>
      <c r="B19" s="723"/>
      <c r="C19" s="724" t="s">
        <v>413</v>
      </c>
      <c r="D19" s="725">
        <v>0</v>
      </c>
      <c r="E19" s="725">
        <v>0</v>
      </c>
      <c r="F19" s="726">
        <f t="shared" si="0"/>
        <v>0</v>
      </c>
    </row>
    <row r="20" spans="1:6" s="11" customFormat="1" ht="30" customHeight="1">
      <c r="A20" s="722" t="s">
        <v>414</v>
      </c>
      <c r="B20" s="723"/>
      <c r="C20" s="724">
        <v>52500</v>
      </c>
      <c r="D20" s="725">
        <v>0</v>
      </c>
      <c r="E20" s="725">
        <v>0</v>
      </c>
      <c r="F20" s="726">
        <f>+D20+E20</f>
        <v>0</v>
      </c>
    </row>
    <row r="21" spans="1:6" s="11" customFormat="1" ht="30" customHeight="1">
      <c r="A21" s="722" t="s">
        <v>415</v>
      </c>
      <c r="B21" s="723"/>
      <c r="C21" s="724" t="s">
        <v>416</v>
      </c>
      <c r="D21" s="725">
        <v>0</v>
      </c>
      <c r="E21" s="725">
        <v>0</v>
      </c>
      <c r="F21" s="726">
        <f t="shared" si="0"/>
        <v>0</v>
      </c>
    </row>
    <row r="22" spans="1:6" s="11" customFormat="1" ht="30" customHeight="1">
      <c r="A22" s="722" t="s">
        <v>417</v>
      </c>
      <c r="B22" s="723"/>
      <c r="C22" s="724" t="s">
        <v>418</v>
      </c>
      <c r="D22" s="725">
        <v>0</v>
      </c>
      <c r="E22" s="725">
        <v>0</v>
      </c>
      <c r="F22" s="726">
        <f t="shared" si="0"/>
        <v>0</v>
      </c>
    </row>
    <row r="23" spans="1:6" s="11" customFormat="1" ht="30" customHeight="1">
      <c r="A23" s="722" t="s">
        <v>419</v>
      </c>
      <c r="B23" s="723"/>
      <c r="C23" s="724" t="s">
        <v>420</v>
      </c>
      <c r="D23" s="725">
        <v>0</v>
      </c>
      <c r="E23" s="725">
        <v>0</v>
      </c>
      <c r="F23" s="726">
        <f t="shared" si="0"/>
        <v>0</v>
      </c>
    </row>
    <row r="24" spans="1:6" s="11" customFormat="1" ht="30" customHeight="1">
      <c r="A24" s="722" t="s">
        <v>421</v>
      </c>
      <c r="B24" s="723"/>
      <c r="C24" s="724" t="s">
        <v>422</v>
      </c>
      <c r="D24" s="725">
        <v>0</v>
      </c>
      <c r="E24" s="725">
        <v>0</v>
      </c>
      <c r="F24" s="726">
        <f t="shared" si="0"/>
        <v>0</v>
      </c>
    </row>
    <row r="25" spans="1:6" s="11" customFormat="1" ht="30" customHeight="1">
      <c r="A25" s="722" t="s">
        <v>423</v>
      </c>
      <c r="B25" s="723"/>
      <c r="C25" s="724" t="s">
        <v>424</v>
      </c>
      <c r="D25" s="725">
        <v>0</v>
      </c>
      <c r="E25" s="725">
        <v>0</v>
      </c>
      <c r="F25" s="726">
        <f t="shared" si="0"/>
        <v>0</v>
      </c>
    </row>
    <row r="26" spans="1:6" s="11" customFormat="1" ht="30" customHeight="1">
      <c r="A26" s="722" t="s">
        <v>425</v>
      </c>
      <c r="B26" s="723"/>
      <c r="C26" s="724" t="s">
        <v>426</v>
      </c>
      <c r="D26" s="725">
        <v>12000</v>
      </c>
      <c r="E26" s="725">
        <v>0</v>
      </c>
      <c r="F26" s="726">
        <f t="shared" si="0"/>
        <v>12000</v>
      </c>
    </row>
    <row r="27" spans="1:6" s="11" customFormat="1" ht="30" customHeight="1">
      <c r="A27" s="722" t="s">
        <v>427</v>
      </c>
      <c r="B27" s="723"/>
      <c r="C27" s="724" t="s">
        <v>428</v>
      </c>
      <c r="D27" s="725">
        <v>0</v>
      </c>
      <c r="E27" s="725">
        <v>0</v>
      </c>
      <c r="F27" s="726">
        <f t="shared" si="0"/>
        <v>0</v>
      </c>
    </row>
    <row r="28" spans="1:6" s="11" customFormat="1" ht="30" customHeight="1">
      <c r="A28" s="722" t="s">
        <v>429</v>
      </c>
      <c r="B28" s="723"/>
      <c r="C28" s="724" t="s">
        <v>430</v>
      </c>
      <c r="D28" s="725">
        <v>0</v>
      </c>
      <c r="E28" s="725">
        <v>0</v>
      </c>
      <c r="F28" s="726">
        <f t="shared" si="0"/>
        <v>0</v>
      </c>
    </row>
    <row r="29" spans="1:6" s="11" customFormat="1" ht="30" customHeight="1">
      <c r="A29" s="722" t="s">
        <v>431</v>
      </c>
      <c r="B29" s="723"/>
      <c r="C29" s="724" t="s">
        <v>432</v>
      </c>
      <c r="D29" s="725">
        <v>0</v>
      </c>
      <c r="E29" s="725">
        <v>0</v>
      </c>
      <c r="F29" s="726">
        <f t="shared" si="0"/>
        <v>0</v>
      </c>
    </row>
    <row r="30" spans="1:6" s="11" customFormat="1" ht="30" customHeight="1">
      <c r="A30" s="722" t="s">
        <v>433</v>
      </c>
      <c r="B30" s="723"/>
      <c r="C30" s="724" t="s">
        <v>434</v>
      </c>
      <c r="D30" s="725">
        <v>33280</v>
      </c>
      <c r="E30" s="725">
        <v>0</v>
      </c>
      <c r="F30" s="726">
        <f t="shared" si="0"/>
        <v>33280</v>
      </c>
    </row>
    <row r="31" spans="1:6" s="11" customFormat="1" ht="30" customHeight="1">
      <c r="A31" s="722" t="s">
        <v>435</v>
      </c>
      <c r="B31" s="723"/>
      <c r="C31" s="724" t="s">
        <v>436</v>
      </c>
      <c r="D31" s="725">
        <v>0</v>
      </c>
      <c r="E31" s="725">
        <v>0</v>
      </c>
      <c r="F31" s="726">
        <f t="shared" si="0"/>
        <v>0</v>
      </c>
    </row>
    <row r="32" spans="1:6" s="11" customFormat="1" ht="30" customHeight="1">
      <c r="A32" s="722" t="s">
        <v>437</v>
      </c>
      <c r="B32" s="723"/>
      <c r="C32" s="724" t="s">
        <v>438</v>
      </c>
      <c r="D32" s="725">
        <v>0</v>
      </c>
      <c r="E32" s="725">
        <v>0</v>
      </c>
      <c r="F32" s="726">
        <f>+D32+E32</f>
        <v>0</v>
      </c>
    </row>
    <row r="33" spans="1:6" s="11" customFormat="1" ht="30" customHeight="1">
      <c r="A33" s="722" t="s">
        <v>439</v>
      </c>
      <c r="B33" s="723"/>
      <c r="C33" s="724" t="s">
        <v>440</v>
      </c>
      <c r="D33" s="725">
        <v>0</v>
      </c>
      <c r="E33" s="725">
        <v>0</v>
      </c>
      <c r="F33" s="726">
        <f t="shared" si="0"/>
        <v>0</v>
      </c>
    </row>
    <row r="34" spans="1:6" s="11" customFormat="1" ht="30" customHeight="1">
      <c r="A34" s="722" t="s">
        <v>441</v>
      </c>
      <c r="B34" s="723"/>
      <c r="C34" s="724" t="s">
        <v>442</v>
      </c>
      <c r="D34" s="725">
        <v>0</v>
      </c>
      <c r="E34" s="725">
        <v>0</v>
      </c>
      <c r="F34" s="726">
        <f t="shared" si="0"/>
        <v>0</v>
      </c>
    </row>
    <row r="35" spans="1:6" s="11" customFormat="1" ht="30" customHeight="1">
      <c r="A35" s="722" t="s">
        <v>443</v>
      </c>
      <c r="B35" s="723"/>
      <c r="C35" s="724">
        <v>56001</v>
      </c>
      <c r="D35" s="725">
        <v>70458</v>
      </c>
      <c r="E35" s="725">
        <v>0</v>
      </c>
      <c r="F35" s="726">
        <f>+D35+E35</f>
        <v>70458</v>
      </c>
    </row>
    <row r="36" spans="1:6" s="11" customFormat="1" ht="30" customHeight="1">
      <c r="A36" s="722" t="s">
        <v>444</v>
      </c>
      <c r="B36" s="723"/>
      <c r="C36" s="724">
        <v>56002</v>
      </c>
      <c r="D36" s="725">
        <v>0</v>
      </c>
      <c r="E36" s="725">
        <v>0</v>
      </c>
      <c r="F36" s="726">
        <f>+D36+E36</f>
        <v>0</v>
      </c>
    </row>
    <row r="37" spans="1:6" s="11" customFormat="1" ht="30" customHeight="1">
      <c r="A37" s="722" t="s">
        <v>445</v>
      </c>
      <c r="B37" s="723"/>
      <c r="C37" s="724">
        <v>56003</v>
      </c>
      <c r="D37" s="725">
        <v>0</v>
      </c>
      <c r="E37" s="725">
        <v>0</v>
      </c>
      <c r="F37" s="726">
        <f>+D37+E37</f>
        <v>0</v>
      </c>
    </row>
    <row r="38" spans="1:6" s="11" customFormat="1" ht="30" customHeight="1">
      <c r="A38" s="722" t="s">
        <v>446</v>
      </c>
      <c r="B38" s="723"/>
      <c r="C38" s="724" t="s">
        <v>447</v>
      </c>
      <c r="D38" s="725">
        <v>0</v>
      </c>
      <c r="E38" s="725">
        <v>0</v>
      </c>
      <c r="F38" s="726">
        <f>+D38+E38</f>
        <v>0</v>
      </c>
    </row>
    <row r="39" spans="1:6" s="11" customFormat="1" ht="30" customHeight="1">
      <c r="A39" s="722" t="s">
        <v>448</v>
      </c>
      <c r="B39" s="723"/>
      <c r="C39" s="724" t="s">
        <v>449</v>
      </c>
      <c r="D39" s="725">
        <v>0</v>
      </c>
      <c r="E39" s="725">
        <v>0</v>
      </c>
      <c r="F39" s="726">
        <f t="shared" si="0"/>
        <v>0</v>
      </c>
    </row>
    <row r="40" spans="1:6" s="11" customFormat="1" ht="30" customHeight="1">
      <c r="A40" s="722" t="s">
        <v>450</v>
      </c>
      <c r="B40" s="723"/>
      <c r="C40" s="724" t="s">
        <v>451</v>
      </c>
      <c r="D40" s="725">
        <v>0</v>
      </c>
      <c r="E40" s="725">
        <v>0</v>
      </c>
      <c r="F40" s="726">
        <f t="shared" si="0"/>
        <v>0</v>
      </c>
    </row>
    <row r="41" spans="1:6" s="11" customFormat="1" ht="30" customHeight="1">
      <c r="A41" s="722" t="s">
        <v>452</v>
      </c>
      <c r="B41" s="723"/>
      <c r="C41" s="724" t="s">
        <v>453</v>
      </c>
      <c r="D41" s="725">
        <v>0</v>
      </c>
      <c r="E41" s="725">
        <v>0</v>
      </c>
      <c r="F41" s="726">
        <f t="shared" si="0"/>
        <v>0</v>
      </c>
    </row>
    <row r="42" spans="1:6" s="11" customFormat="1" ht="30" customHeight="1">
      <c r="A42" s="722" t="s">
        <v>454</v>
      </c>
      <c r="B42" s="723"/>
      <c r="C42" s="724" t="s">
        <v>455</v>
      </c>
      <c r="D42" s="725">
        <v>0</v>
      </c>
      <c r="E42" s="725">
        <v>0</v>
      </c>
      <c r="F42" s="726">
        <f t="shared" si="0"/>
        <v>0</v>
      </c>
    </row>
    <row r="43" spans="1:6" s="11" customFormat="1" ht="30" customHeight="1">
      <c r="A43" s="722" t="s">
        <v>456</v>
      </c>
      <c r="B43" s="723"/>
      <c r="C43" s="724" t="s">
        <v>457</v>
      </c>
      <c r="D43" s="725">
        <v>0</v>
      </c>
      <c r="E43" s="725">
        <v>0</v>
      </c>
      <c r="F43" s="726">
        <f t="shared" si="0"/>
        <v>0</v>
      </c>
    </row>
    <row r="44" spans="1:6" s="11" customFormat="1" ht="30" customHeight="1">
      <c r="A44" s="722" t="s">
        <v>458</v>
      </c>
      <c r="B44" s="723"/>
      <c r="C44" s="724" t="s">
        <v>459</v>
      </c>
      <c r="D44" s="725">
        <v>0</v>
      </c>
      <c r="E44" s="725">
        <v>0</v>
      </c>
      <c r="F44" s="726">
        <f t="shared" si="0"/>
        <v>0</v>
      </c>
    </row>
    <row r="45" spans="1:6" s="11" customFormat="1" ht="30" customHeight="1">
      <c r="A45" s="722" t="s">
        <v>460</v>
      </c>
      <c r="B45" s="723"/>
      <c r="C45" s="724" t="s">
        <v>461</v>
      </c>
      <c r="D45" s="725">
        <v>0</v>
      </c>
      <c r="E45" s="725">
        <v>0</v>
      </c>
      <c r="F45" s="726">
        <f t="shared" si="0"/>
        <v>0</v>
      </c>
    </row>
    <row r="46" spans="1:6" s="11" customFormat="1" ht="30" customHeight="1">
      <c r="A46" s="722" t="s">
        <v>462</v>
      </c>
      <c r="B46" s="723"/>
      <c r="C46" s="724" t="s">
        <v>463</v>
      </c>
      <c r="D46" s="725">
        <v>1300</v>
      </c>
      <c r="E46" s="725">
        <v>0</v>
      </c>
      <c r="F46" s="726">
        <f t="shared" si="0"/>
        <v>1300</v>
      </c>
    </row>
    <row r="47" spans="1:6" s="11" customFormat="1" ht="30" customHeight="1">
      <c r="A47" s="722" t="s">
        <v>464</v>
      </c>
      <c r="B47" s="723"/>
      <c r="C47" s="724" t="s">
        <v>465</v>
      </c>
      <c r="D47" s="725">
        <v>40495</v>
      </c>
      <c r="E47" s="725">
        <v>0</v>
      </c>
      <c r="F47" s="726">
        <f t="shared" si="0"/>
        <v>40495</v>
      </c>
    </row>
    <row r="48" spans="1:6" s="11" customFormat="1" ht="30" customHeight="1">
      <c r="A48" s="722" t="s">
        <v>466</v>
      </c>
      <c r="B48" s="723"/>
      <c r="C48" s="724" t="s">
        <v>467</v>
      </c>
      <c r="D48" s="725">
        <v>69647</v>
      </c>
      <c r="E48" s="725">
        <v>0</v>
      </c>
      <c r="F48" s="726">
        <f t="shared" si="0"/>
        <v>69647</v>
      </c>
    </row>
    <row r="49" spans="1:6" s="11" customFormat="1" ht="30" customHeight="1">
      <c r="A49" s="722" t="s">
        <v>468</v>
      </c>
      <c r="B49" s="723"/>
      <c r="C49" s="724" t="s">
        <v>469</v>
      </c>
      <c r="D49" s="725">
        <v>0</v>
      </c>
      <c r="E49" s="725">
        <v>0</v>
      </c>
      <c r="F49" s="726">
        <f t="shared" si="0"/>
        <v>0</v>
      </c>
    </row>
    <row r="50" spans="1:6" s="11" customFormat="1" ht="30" customHeight="1">
      <c r="A50" s="722" t="s">
        <v>470</v>
      </c>
      <c r="B50" s="723"/>
      <c r="C50" s="724" t="s">
        <v>471</v>
      </c>
      <c r="D50" s="725">
        <v>0</v>
      </c>
      <c r="E50" s="725">
        <v>0</v>
      </c>
      <c r="F50" s="726">
        <f t="shared" si="0"/>
        <v>0</v>
      </c>
    </row>
    <row r="51" spans="1:6" s="11" customFormat="1" ht="30" customHeight="1">
      <c r="A51" s="722" t="s">
        <v>472</v>
      </c>
      <c r="B51" s="723"/>
      <c r="C51" s="724" t="s">
        <v>473</v>
      </c>
      <c r="D51" s="725">
        <v>0</v>
      </c>
      <c r="E51" s="725">
        <v>0</v>
      </c>
      <c r="F51" s="726">
        <f t="shared" si="0"/>
        <v>0</v>
      </c>
    </row>
    <row r="52" spans="1:6" s="11" customFormat="1" ht="30" customHeight="1">
      <c r="A52" s="722" t="s">
        <v>595</v>
      </c>
      <c r="B52" s="723"/>
      <c r="C52" s="724" t="s">
        <v>596</v>
      </c>
      <c r="D52" s="725">
        <v>0</v>
      </c>
      <c r="E52" s="725">
        <v>0</v>
      </c>
      <c r="F52" s="726">
        <f>+D52+E52</f>
        <v>0</v>
      </c>
    </row>
    <row r="53" spans="1:6" s="11" customFormat="1" ht="30" customHeight="1">
      <c r="A53" s="722" t="s">
        <v>475</v>
      </c>
      <c r="B53" s="723"/>
      <c r="C53" s="724" t="s">
        <v>476</v>
      </c>
      <c r="D53" s="725">
        <v>93854</v>
      </c>
      <c r="E53" s="725">
        <v>0</v>
      </c>
      <c r="F53" s="726">
        <f t="shared" si="0"/>
        <v>93854</v>
      </c>
    </row>
    <row r="54" spans="1:6" s="11" customFormat="1" ht="30" customHeight="1">
      <c r="A54" s="722" t="s">
        <v>477</v>
      </c>
      <c r="B54" s="723"/>
      <c r="C54" s="724" t="s">
        <v>478</v>
      </c>
      <c r="D54" s="725">
        <v>0</v>
      </c>
      <c r="E54" s="725">
        <v>0</v>
      </c>
      <c r="F54" s="726">
        <f t="shared" si="0"/>
        <v>0</v>
      </c>
    </row>
    <row r="55" spans="1:6" s="11" customFormat="1" ht="30" customHeight="1" thickBot="1">
      <c r="A55" s="727" t="s">
        <v>479</v>
      </c>
      <c r="B55" s="728"/>
      <c r="C55" s="729" t="s">
        <v>480</v>
      </c>
      <c r="D55" s="725">
        <v>0</v>
      </c>
      <c r="E55" s="730">
        <v>0</v>
      </c>
      <c r="F55" s="731">
        <f t="shared" si="0"/>
        <v>0</v>
      </c>
    </row>
    <row r="56" spans="1:6" s="169" customFormat="1" ht="30" customHeight="1" thickBot="1">
      <c r="A56" s="252" t="s">
        <v>481</v>
      </c>
      <c r="B56" s="253"/>
      <c r="C56" s="538"/>
      <c r="D56" s="258">
        <f>SUM(D10:D55)</f>
        <v>790396</v>
      </c>
      <c r="E56" s="258">
        <f>SUM(E10:E55)</f>
        <v>0</v>
      </c>
      <c r="F56" s="258">
        <f t="shared" si="0"/>
        <v>790396</v>
      </c>
    </row>
    <row r="57" spans="1:6" s="11" customFormat="1" ht="30" customHeight="1">
      <c r="A57" s="225"/>
      <c r="B57" s="226"/>
      <c r="C57" s="539"/>
      <c r="D57" s="540"/>
      <c r="E57" s="540"/>
      <c r="F57" s="540"/>
    </row>
    <row r="58" spans="1:6" s="11" customFormat="1" ht="30" customHeight="1">
      <c r="A58" s="227"/>
      <c r="B58" s="227"/>
      <c r="C58" s="227"/>
      <c r="D58" s="228"/>
      <c r="E58" s="228"/>
      <c r="F58" s="228"/>
    </row>
    <row r="59" spans="1:6" s="11" customFormat="1" ht="30" customHeight="1" thickBot="1">
      <c r="A59" s="227"/>
      <c r="B59" s="227"/>
      <c r="C59" s="227"/>
      <c r="D59" s="228"/>
      <c r="E59" s="228"/>
      <c r="F59" s="228"/>
    </row>
    <row r="60" spans="1:6" s="11" customFormat="1" ht="30" customHeight="1" thickBot="1">
      <c r="A60" s="218"/>
      <c r="B60" s="219"/>
      <c r="C60" s="838" t="str">
        <f>C7</f>
        <v>2025-26</v>
      </c>
      <c r="D60" s="839"/>
      <c r="E60" s="839"/>
      <c r="F60" s="840"/>
    </row>
    <row r="61" spans="1:6" s="11" customFormat="1" ht="111.6" customHeight="1" thickBot="1">
      <c r="A61" s="952" t="s">
        <v>591</v>
      </c>
      <c r="B61" s="953"/>
      <c r="C61" s="221" t="s">
        <v>261</v>
      </c>
      <c r="D61" s="222" t="s">
        <v>592</v>
      </c>
      <c r="E61" s="536" t="s">
        <v>593</v>
      </c>
      <c r="F61" s="221" t="s">
        <v>594</v>
      </c>
    </row>
    <row r="62" spans="1:6" s="11" customFormat="1" ht="30" customHeight="1" thickBot="1">
      <c r="A62" s="842" t="s">
        <v>155</v>
      </c>
      <c r="B62" s="843"/>
      <c r="C62" s="229"/>
      <c r="D62" s="230"/>
      <c r="E62" s="230"/>
      <c r="F62" s="230"/>
    </row>
    <row r="63" spans="1:6" s="11" customFormat="1" ht="30" customHeight="1">
      <c r="A63" s="223" t="s">
        <v>483</v>
      </c>
      <c r="B63" s="231"/>
      <c r="C63" s="232" t="s">
        <v>484</v>
      </c>
      <c r="D63" s="439">
        <v>550</v>
      </c>
      <c r="E63" s="439">
        <v>0</v>
      </c>
      <c r="F63" s="224">
        <f t="shared" si="0"/>
        <v>550</v>
      </c>
    </row>
    <row r="64" spans="1:6" s="11" customFormat="1" ht="30" customHeight="1">
      <c r="A64" s="722" t="s">
        <v>485</v>
      </c>
      <c r="B64" s="723"/>
      <c r="C64" s="732" t="s">
        <v>486</v>
      </c>
      <c r="D64" s="725">
        <v>0</v>
      </c>
      <c r="E64" s="725">
        <v>0</v>
      </c>
      <c r="F64" s="726">
        <f t="shared" si="0"/>
        <v>0</v>
      </c>
    </row>
    <row r="65" spans="1:6" s="11" customFormat="1" ht="30" customHeight="1">
      <c r="A65" s="722" t="s">
        <v>487</v>
      </c>
      <c r="B65" s="723"/>
      <c r="C65" s="732" t="s">
        <v>488</v>
      </c>
      <c r="D65" s="725">
        <v>0</v>
      </c>
      <c r="E65" s="725">
        <v>0</v>
      </c>
      <c r="F65" s="726">
        <f t="shared" si="0"/>
        <v>0</v>
      </c>
    </row>
    <row r="66" spans="1:6" s="11" customFormat="1" ht="30" customHeight="1">
      <c r="A66" s="722" t="s">
        <v>489</v>
      </c>
      <c r="B66" s="723"/>
      <c r="C66" s="732" t="s">
        <v>490</v>
      </c>
      <c r="D66" s="725">
        <v>0</v>
      </c>
      <c r="E66" s="725">
        <v>0</v>
      </c>
      <c r="F66" s="726">
        <f t="shared" si="0"/>
        <v>0</v>
      </c>
    </row>
    <row r="67" spans="1:6" s="11" customFormat="1" ht="30" customHeight="1">
      <c r="A67" s="722" t="s">
        <v>597</v>
      </c>
      <c r="B67" s="723"/>
      <c r="C67" s="732" t="s">
        <v>492</v>
      </c>
      <c r="D67" s="725">
        <v>0</v>
      </c>
      <c r="E67" s="725">
        <v>0</v>
      </c>
      <c r="F67" s="726">
        <f t="shared" si="0"/>
        <v>0</v>
      </c>
    </row>
    <row r="68" spans="1:6" s="11" customFormat="1" ht="30" customHeight="1">
      <c r="A68" s="722" t="s">
        <v>493</v>
      </c>
      <c r="B68" s="723"/>
      <c r="C68" s="732" t="s">
        <v>494</v>
      </c>
      <c r="D68" s="725">
        <v>0</v>
      </c>
      <c r="E68" s="725">
        <v>0</v>
      </c>
      <c r="F68" s="726">
        <f t="shared" si="0"/>
        <v>0</v>
      </c>
    </row>
    <row r="69" spans="1:6" s="11" customFormat="1" ht="30" customHeight="1">
      <c r="A69" s="984" t="s">
        <v>683</v>
      </c>
      <c r="B69" s="723"/>
      <c r="C69" s="981">
        <v>63100</v>
      </c>
      <c r="D69" s="982">
        <v>0</v>
      </c>
      <c r="E69" s="982">
        <v>0</v>
      </c>
      <c r="F69" s="983">
        <v>0</v>
      </c>
    </row>
    <row r="70" spans="1:6" s="11" customFormat="1" ht="30" customHeight="1">
      <c r="A70" s="722" t="s">
        <v>495</v>
      </c>
      <c r="B70" s="723"/>
      <c r="C70" s="732" t="s">
        <v>496</v>
      </c>
      <c r="D70" s="725">
        <v>0</v>
      </c>
      <c r="E70" s="725">
        <v>0</v>
      </c>
      <c r="F70" s="726">
        <f t="shared" si="0"/>
        <v>0</v>
      </c>
    </row>
    <row r="71" spans="1:6" s="11" customFormat="1" ht="30" customHeight="1">
      <c r="A71" s="722" t="s">
        <v>694</v>
      </c>
      <c r="B71" s="723"/>
      <c r="C71" s="732" t="s">
        <v>498</v>
      </c>
      <c r="D71" s="725">
        <v>0</v>
      </c>
      <c r="E71" s="725">
        <v>0</v>
      </c>
      <c r="F71" s="726">
        <f t="shared" si="0"/>
        <v>0</v>
      </c>
    </row>
    <row r="72" spans="1:6" s="11" customFormat="1" ht="30" customHeight="1">
      <c r="A72" s="722" t="s">
        <v>499</v>
      </c>
      <c r="B72" s="723"/>
      <c r="C72" s="732" t="s">
        <v>500</v>
      </c>
      <c r="D72" s="725">
        <v>6150</v>
      </c>
      <c r="E72" s="725">
        <v>0</v>
      </c>
      <c r="F72" s="726">
        <f t="shared" si="0"/>
        <v>6150</v>
      </c>
    </row>
    <row r="73" spans="1:6" s="11" customFormat="1" ht="30" customHeight="1">
      <c r="A73" s="722" t="s">
        <v>678</v>
      </c>
      <c r="B73" s="723"/>
      <c r="C73" s="732" t="s">
        <v>501</v>
      </c>
      <c r="D73" s="725">
        <v>0</v>
      </c>
      <c r="E73" s="725">
        <v>0</v>
      </c>
      <c r="F73" s="726">
        <f t="shared" si="0"/>
        <v>0</v>
      </c>
    </row>
    <row r="74" spans="1:6" s="11" customFormat="1" ht="30" customHeight="1">
      <c r="A74" s="722" t="s">
        <v>502</v>
      </c>
      <c r="B74" s="723"/>
      <c r="C74" s="732" t="s">
        <v>503</v>
      </c>
      <c r="D74" s="725">
        <v>0</v>
      </c>
      <c r="E74" s="725">
        <v>0</v>
      </c>
      <c r="F74" s="726">
        <f t="shared" ref="F74:F109" si="1">+D74+E74</f>
        <v>0</v>
      </c>
    </row>
    <row r="75" spans="1:6" s="11" customFormat="1" ht="30" customHeight="1">
      <c r="A75" s="722" t="s">
        <v>504</v>
      </c>
      <c r="B75" s="723"/>
      <c r="C75" s="732" t="s">
        <v>505</v>
      </c>
      <c r="D75" s="725">
        <v>2948</v>
      </c>
      <c r="E75" s="725">
        <v>0</v>
      </c>
      <c r="F75" s="726">
        <f t="shared" si="1"/>
        <v>2948</v>
      </c>
    </row>
    <row r="76" spans="1:6" s="11" customFormat="1" ht="30" customHeight="1">
      <c r="A76" s="722" t="s">
        <v>506</v>
      </c>
      <c r="B76" s="723"/>
      <c r="C76" s="732" t="s">
        <v>507</v>
      </c>
      <c r="D76" s="725">
        <v>1500</v>
      </c>
      <c r="E76" s="725">
        <v>0</v>
      </c>
      <c r="F76" s="726">
        <f t="shared" si="1"/>
        <v>1500</v>
      </c>
    </row>
    <row r="77" spans="1:6" s="11" customFormat="1" ht="30" customHeight="1">
      <c r="A77" s="722" t="s">
        <v>508</v>
      </c>
      <c r="B77" s="723"/>
      <c r="C77" s="732" t="s">
        <v>509</v>
      </c>
      <c r="D77" s="725">
        <v>0</v>
      </c>
      <c r="E77" s="725">
        <v>0</v>
      </c>
      <c r="F77" s="726">
        <f t="shared" si="1"/>
        <v>0</v>
      </c>
    </row>
    <row r="78" spans="1:6" s="11" customFormat="1" ht="30" customHeight="1">
      <c r="A78" s="722" t="s">
        <v>510</v>
      </c>
      <c r="B78" s="723"/>
      <c r="C78" s="732" t="s">
        <v>511</v>
      </c>
      <c r="D78" s="725">
        <v>0</v>
      </c>
      <c r="E78" s="725">
        <v>0</v>
      </c>
      <c r="F78" s="726">
        <f t="shared" si="1"/>
        <v>0</v>
      </c>
    </row>
    <row r="79" spans="1:6" s="11" customFormat="1" ht="30" customHeight="1">
      <c r="A79" s="722" t="s">
        <v>512</v>
      </c>
      <c r="B79" s="723"/>
      <c r="C79" s="732" t="s">
        <v>513</v>
      </c>
      <c r="D79" s="725">
        <v>0</v>
      </c>
      <c r="E79" s="725">
        <v>0</v>
      </c>
      <c r="F79" s="726">
        <f t="shared" si="1"/>
        <v>0</v>
      </c>
    </row>
    <row r="80" spans="1:6" s="11" customFormat="1" ht="30" customHeight="1">
      <c r="A80" s="722" t="s">
        <v>514</v>
      </c>
      <c r="B80" s="723"/>
      <c r="C80" s="732" t="s">
        <v>515</v>
      </c>
      <c r="D80" s="725">
        <v>0</v>
      </c>
      <c r="E80" s="725">
        <v>0</v>
      </c>
      <c r="F80" s="726">
        <f t="shared" ref="F80:F85" si="2">+D80+E80</f>
        <v>0</v>
      </c>
    </row>
    <row r="81" spans="1:6" s="11" customFormat="1" ht="30" customHeight="1">
      <c r="A81" s="722" t="s">
        <v>516</v>
      </c>
      <c r="B81" s="723"/>
      <c r="C81" s="732" t="s">
        <v>517</v>
      </c>
      <c r="D81" s="725">
        <v>0</v>
      </c>
      <c r="E81" s="725">
        <v>0</v>
      </c>
      <c r="F81" s="726">
        <f t="shared" si="2"/>
        <v>0</v>
      </c>
    </row>
    <row r="82" spans="1:6" s="11" customFormat="1" ht="30" customHeight="1">
      <c r="A82" s="722" t="s">
        <v>518</v>
      </c>
      <c r="B82" s="723"/>
      <c r="C82" s="732" t="s">
        <v>519</v>
      </c>
      <c r="D82" s="725">
        <v>0</v>
      </c>
      <c r="E82" s="725">
        <v>0</v>
      </c>
      <c r="F82" s="726">
        <f t="shared" si="2"/>
        <v>0</v>
      </c>
    </row>
    <row r="83" spans="1:6" s="11" customFormat="1" ht="30" customHeight="1">
      <c r="A83" s="722" t="s">
        <v>520</v>
      </c>
      <c r="B83" s="723"/>
      <c r="C83" s="732" t="s">
        <v>521</v>
      </c>
      <c r="D83" s="725">
        <v>0</v>
      </c>
      <c r="E83" s="725">
        <v>0</v>
      </c>
      <c r="F83" s="726">
        <f t="shared" si="2"/>
        <v>0</v>
      </c>
    </row>
    <row r="84" spans="1:6" s="11" customFormat="1" ht="30" customHeight="1">
      <c r="A84" s="722" t="s">
        <v>522</v>
      </c>
      <c r="B84" s="723"/>
      <c r="C84" s="732" t="s">
        <v>523</v>
      </c>
      <c r="D84" s="725">
        <v>0</v>
      </c>
      <c r="E84" s="725">
        <v>0</v>
      </c>
      <c r="F84" s="726">
        <f t="shared" si="2"/>
        <v>0</v>
      </c>
    </row>
    <row r="85" spans="1:6" s="11" customFormat="1" ht="30" customHeight="1">
      <c r="A85" s="722" t="s">
        <v>524</v>
      </c>
      <c r="B85" s="723"/>
      <c r="C85" s="732" t="s">
        <v>525</v>
      </c>
      <c r="D85" s="725">
        <v>0</v>
      </c>
      <c r="E85" s="725">
        <v>0</v>
      </c>
      <c r="F85" s="726">
        <f t="shared" si="2"/>
        <v>0</v>
      </c>
    </row>
    <row r="86" spans="1:6" s="11" customFormat="1" ht="30" customHeight="1">
      <c r="A86" s="722" t="s">
        <v>526</v>
      </c>
      <c r="B86" s="723"/>
      <c r="C86" s="732" t="s">
        <v>527</v>
      </c>
      <c r="D86" s="725">
        <v>0</v>
      </c>
      <c r="E86" s="725">
        <v>0</v>
      </c>
      <c r="F86" s="726">
        <f t="shared" si="1"/>
        <v>0</v>
      </c>
    </row>
    <row r="87" spans="1:6" s="11" customFormat="1" ht="30" customHeight="1">
      <c r="A87" s="722" t="s">
        <v>598</v>
      </c>
      <c r="B87" s="723"/>
      <c r="C87" s="732">
        <v>69100</v>
      </c>
      <c r="D87" s="725">
        <v>0</v>
      </c>
      <c r="E87" s="725">
        <v>0</v>
      </c>
      <c r="F87" s="726">
        <f t="shared" si="1"/>
        <v>0</v>
      </c>
    </row>
    <row r="88" spans="1:6" s="11" customFormat="1" ht="30" customHeight="1">
      <c r="A88" s="722" t="s">
        <v>599</v>
      </c>
      <c r="B88" s="723"/>
      <c r="C88" s="732">
        <v>69200</v>
      </c>
      <c r="D88" s="725">
        <v>0</v>
      </c>
      <c r="E88" s="725">
        <v>0</v>
      </c>
      <c r="F88" s="726">
        <f t="shared" si="1"/>
        <v>0</v>
      </c>
    </row>
    <row r="89" spans="1:6" s="11" customFormat="1" ht="30" customHeight="1">
      <c r="A89" s="722" t="s">
        <v>528</v>
      </c>
      <c r="B89" s="723"/>
      <c r="C89" s="732" t="s">
        <v>529</v>
      </c>
      <c r="D89" s="725">
        <v>0</v>
      </c>
      <c r="E89" s="725">
        <v>0</v>
      </c>
      <c r="F89" s="726">
        <f t="shared" si="1"/>
        <v>0</v>
      </c>
    </row>
    <row r="90" spans="1:6" s="11" customFormat="1" ht="30" customHeight="1">
      <c r="A90" s="722" t="s">
        <v>387</v>
      </c>
      <c r="B90" s="723"/>
      <c r="C90" s="732" t="s">
        <v>531</v>
      </c>
      <c r="D90" s="725">
        <v>0</v>
      </c>
      <c r="E90" s="725">
        <v>0</v>
      </c>
      <c r="F90" s="726">
        <f t="shared" si="1"/>
        <v>0</v>
      </c>
    </row>
    <row r="91" spans="1:6" s="11" customFormat="1" ht="30" customHeight="1" thickBot="1">
      <c r="A91" s="727" t="s">
        <v>532</v>
      </c>
      <c r="B91" s="728"/>
      <c r="C91" s="733" t="s">
        <v>533</v>
      </c>
      <c r="D91" s="725">
        <v>0</v>
      </c>
      <c r="E91" s="725">
        <v>0</v>
      </c>
      <c r="F91" s="731">
        <f t="shared" si="1"/>
        <v>0</v>
      </c>
    </row>
    <row r="92" spans="1:6" s="11" customFormat="1" ht="30" customHeight="1" thickBot="1">
      <c r="A92" s="836" t="s">
        <v>600</v>
      </c>
      <c r="B92" s="841"/>
      <c r="C92" s="255"/>
      <c r="D92" s="254">
        <f>SUM(D63:D91)</f>
        <v>11148</v>
      </c>
      <c r="E92" s="254">
        <f>SUM(E63:E91)</f>
        <v>0</v>
      </c>
      <c r="F92" s="254">
        <f t="shared" si="1"/>
        <v>11148</v>
      </c>
    </row>
    <row r="93" spans="1:6" s="11" customFormat="1" ht="30" customHeight="1">
      <c r="A93" s="233"/>
      <c r="B93" s="233"/>
      <c r="C93" s="233"/>
      <c r="D93" s="234"/>
      <c r="E93" s="234"/>
      <c r="F93" s="234"/>
    </row>
    <row r="94" spans="1:6" s="11" customFormat="1" ht="30" customHeight="1" thickBot="1">
      <c r="A94" s="233"/>
      <c r="B94" s="233"/>
      <c r="C94" s="233"/>
      <c r="D94" s="234"/>
      <c r="E94" s="234"/>
      <c r="F94" s="234"/>
    </row>
    <row r="95" spans="1:6" s="11" customFormat="1" ht="30" customHeight="1" thickBot="1">
      <c r="A95" s="235"/>
      <c r="B95" s="235"/>
      <c r="C95" s="838" t="str">
        <f>C7</f>
        <v>2025-26</v>
      </c>
      <c r="D95" s="839"/>
      <c r="E95" s="839"/>
      <c r="F95" s="840"/>
    </row>
    <row r="96" spans="1:6" s="11" customFormat="1" ht="111.6" customHeight="1" thickBot="1">
      <c r="A96" s="954" t="s">
        <v>156</v>
      </c>
      <c r="B96" s="955"/>
      <c r="C96" s="221" t="s">
        <v>261</v>
      </c>
      <c r="D96" s="222" t="s">
        <v>592</v>
      </c>
      <c r="E96" s="536" t="s">
        <v>593</v>
      </c>
      <c r="F96" s="221" t="s">
        <v>594</v>
      </c>
    </row>
    <row r="97" spans="1:6" s="11" customFormat="1" ht="30" customHeight="1">
      <c r="A97" s="223" t="s">
        <v>535</v>
      </c>
      <c r="B97" s="231"/>
      <c r="C97" s="232" t="s">
        <v>536</v>
      </c>
      <c r="D97" s="439">
        <v>0</v>
      </c>
      <c r="E97" s="439">
        <v>0</v>
      </c>
      <c r="F97" s="224">
        <f t="shared" si="1"/>
        <v>0</v>
      </c>
    </row>
    <row r="98" spans="1:6" s="11" customFormat="1" ht="30" customHeight="1">
      <c r="A98" s="722" t="s">
        <v>601</v>
      </c>
      <c r="B98" s="723"/>
      <c r="C98" s="732" t="s">
        <v>538</v>
      </c>
      <c r="D98" s="725">
        <v>0</v>
      </c>
      <c r="E98" s="725">
        <v>0</v>
      </c>
      <c r="F98" s="726">
        <f t="shared" si="1"/>
        <v>0</v>
      </c>
    </row>
    <row r="99" spans="1:6" s="11" customFormat="1" ht="30" customHeight="1">
      <c r="A99" s="722" t="s">
        <v>539</v>
      </c>
      <c r="B99" s="723"/>
      <c r="C99" s="732" t="s">
        <v>540</v>
      </c>
      <c r="D99" s="725">
        <v>0</v>
      </c>
      <c r="E99" s="725">
        <v>0</v>
      </c>
      <c r="F99" s="726">
        <f t="shared" si="1"/>
        <v>0</v>
      </c>
    </row>
    <row r="100" spans="1:6" s="11" customFormat="1" ht="30" customHeight="1">
      <c r="A100" s="722" t="s">
        <v>541</v>
      </c>
      <c r="B100" s="723"/>
      <c r="C100" s="732" t="s">
        <v>542</v>
      </c>
      <c r="D100" s="725">
        <v>0</v>
      </c>
      <c r="E100" s="725">
        <v>0</v>
      </c>
      <c r="F100" s="726">
        <f t="shared" si="1"/>
        <v>0</v>
      </c>
    </row>
    <row r="101" spans="1:6" s="11" customFormat="1" ht="30" customHeight="1">
      <c r="A101" s="722" t="s">
        <v>544</v>
      </c>
      <c r="B101" s="723"/>
      <c r="C101" s="981" t="s">
        <v>545</v>
      </c>
      <c r="D101" s="982">
        <v>0</v>
      </c>
      <c r="E101" s="982">
        <v>0</v>
      </c>
      <c r="F101" s="983">
        <f t="shared" si="1"/>
        <v>0</v>
      </c>
    </row>
    <row r="102" spans="1:6" s="11" customFormat="1" ht="30" customHeight="1">
      <c r="A102" s="1060" t="s">
        <v>771</v>
      </c>
      <c r="B102" s="1061"/>
      <c r="C102" s="1062">
        <v>73001</v>
      </c>
      <c r="D102" s="1086">
        <v>0</v>
      </c>
      <c r="E102" s="1086">
        <v>0</v>
      </c>
      <c r="F102" s="1019">
        <f t="shared" si="1"/>
        <v>0</v>
      </c>
    </row>
    <row r="103" spans="1:6" s="11" customFormat="1" ht="30" customHeight="1">
      <c r="A103" s="1063" t="s">
        <v>685</v>
      </c>
      <c r="B103" s="1064"/>
      <c r="C103" s="1065">
        <v>73002</v>
      </c>
      <c r="D103" s="1087">
        <v>0</v>
      </c>
      <c r="E103" s="1087">
        <v>0</v>
      </c>
      <c r="F103" s="1020">
        <f t="shared" si="1"/>
        <v>0</v>
      </c>
    </row>
    <row r="104" spans="1:6" s="11" customFormat="1" ht="30" customHeight="1">
      <c r="A104" s="722" t="s">
        <v>543</v>
      </c>
      <c r="B104" s="723"/>
      <c r="C104" s="1016">
        <v>73050</v>
      </c>
      <c r="D104" s="1017">
        <v>0</v>
      </c>
      <c r="E104" s="1017">
        <v>0</v>
      </c>
      <c r="F104" s="1018">
        <f>+D104+E104</f>
        <v>0</v>
      </c>
    </row>
    <row r="105" spans="1:6" s="11" customFormat="1" ht="30" customHeight="1">
      <c r="A105" s="984" t="s">
        <v>772</v>
      </c>
      <c r="B105" s="723"/>
      <c r="C105" s="981">
        <v>73100</v>
      </c>
      <c r="D105" s="982">
        <v>0</v>
      </c>
      <c r="E105" s="982">
        <v>0</v>
      </c>
      <c r="F105" s="1018">
        <f>+D105+E105</f>
        <v>0</v>
      </c>
    </row>
    <row r="106" spans="1:6" s="11" customFormat="1" ht="47.25" customHeight="1">
      <c r="A106" s="1043" t="s">
        <v>602</v>
      </c>
      <c r="B106" s="1044"/>
      <c r="C106" s="732" t="s">
        <v>547</v>
      </c>
      <c r="D106" s="725">
        <v>0</v>
      </c>
      <c r="E106" s="725">
        <v>0</v>
      </c>
      <c r="F106" s="726">
        <f t="shared" si="1"/>
        <v>0</v>
      </c>
    </row>
    <row r="107" spans="1:6" s="11" customFormat="1" ht="30" customHeight="1">
      <c r="A107" s="722" t="s">
        <v>548</v>
      </c>
      <c r="B107" s="723"/>
      <c r="C107" s="732" t="s">
        <v>549</v>
      </c>
      <c r="D107" s="725">
        <v>0</v>
      </c>
      <c r="E107" s="725">
        <v>0</v>
      </c>
      <c r="F107" s="726">
        <f t="shared" si="1"/>
        <v>0</v>
      </c>
    </row>
    <row r="108" spans="1:6" s="11" customFormat="1" ht="30" customHeight="1">
      <c r="A108" s="722" t="s">
        <v>550</v>
      </c>
      <c r="B108" s="723"/>
      <c r="C108" s="732" t="s">
        <v>551</v>
      </c>
      <c r="D108" s="725">
        <v>0</v>
      </c>
      <c r="E108" s="725">
        <v>0</v>
      </c>
      <c r="F108" s="726">
        <f t="shared" si="1"/>
        <v>0</v>
      </c>
    </row>
    <row r="109" spans="1:6" s="11" customFormat="1" ht="30" customHeight="1" thickBot="1">
      <c r="A109" s="727" t="s">
        <v>552</v>
      </c>
      <c r="B109" s="728"/>
      <c r="C109" s="733" t="s">
        <v>553</v>
      </c>
      <c r="D109" s="730">
        <v>0</v>
      </c>
      <c r="E109" s="730">
        <v>0</v>
      </c>
      <c r="F109" s="731">
        <f t="shared" si="1"/>
        <v>0</v>
      </c>
    </row>
    <row r="110" spans="1:6" s="11" customFormat="1" ht="30" customHeight="1" thickBot="1">
      <c r="A110" s="256" t="s">
        <v>554</v>
      </c>
      <c r="B110" s="257"/>
      <c r="C110" s="257"/>
      <c r="D110" s="258">
        <f>SUM(D97:D109)</f>
        <v>0</v>
      </c>
      <c r="E110" s="258">
        <f>SUM(E97:E109)</f>
        <v>0</v>
      </c>
      <c r="F110" s="258">
        <f>SUM(D110:E110)</f>
        <v>0</v>
      </c>
    </row>
    <row r="111" spans="1:6" s="11" customFormat="1" ht="30" customHeight="1" thickBot="1">
      <c r="A111" s="262"/>
      <c r="B111" s="263"/>
      <c r="C111" s="259"/>
      <c r="D111" s="260"/>
      <c r="E111" s="260"/>
      <c r="F111" s="260"/>
    </row>
    <row r="112" spans="1:6" s="172" customFormat="1" ht="30" customHeight="1" thickBot="1">
      <c r="A112" s="836" t="s">
        <v>555</v>
      </c>
      <c r="B112" s="841"/>
      <c r="C112" s="246"/>
      <c r="D112" s="254">
        <f>+D56+D92+D110</f>
        <v>801544</v>
      </c>
      <c r="E112" s="254">
        <f>+E56+E92+E110</f>
        <v>0</v>
      </c>
      <c r="F112" s="254">
        <f>SUM(D112:E112)</f>
        <v>801544</v>
      </c>
    </row>
    <row r="113" spans="1:6" s="11" customFormat="1" ht="116.45" customHeight="1">
      <c r="F113" s="236"/>
    </row>
    <row r="114" spans="1:6" s="63" customFormat="1" ht="30" customHeight="1" thickBot="1">
      <c r="A114" s="11"/>
      <c r="B114" s="11"/>
      <c r="C114" s="11"/>
      <c r="D114" s="11"/>
      <c r="E114" s="11"/>
      <c r="F114" s="11"/>
    </row>
    <row r="115" spans="1:6" s="63" customFormat="1" ht="111.75" customHeight="1" thickBot="1">
      <c r="A115" s="952" t="s">
        <v>603</v>
      </c>
      <c r="B115" s="953"/>
      <c r="C115" s="221" t="s">
        <v>261</v>
      </c>
      <c r="D115" s="221" t="s">
        <v>592</v>
      </c>
      <c r="E115" s="221" t="s">
        <v>593</v>
      </c>
      <c r="F115" s="221" t="s">
        <v>594</v>
      </c>
    </row>
    <row r="116" spans="1:6" s="63" customFormat="1" ht="30" customHeight="1">
      <c r="A116" s="223" t="s">
        <v>604</v>
      </c>
      <c r="B116" s="250"/>
      <c r="C116" s="251"/>
      <c r="D116" s="439">
        <v>0</v>
      </c>
      <c r="E116" s="439">
        <v>0</v>
      </c>
      <c r="F116" s="224">
        <v>0</v>
      </c>
    </row>
    <row r="117" spans="1:6" s="63" customFormat="1" ht="30" customHeight="1">
      <c r="A117" s="722" t="s">
        <v>605</v>
      </c>
      <c r="B117" s="575"/>
      <c r="C117" s="734"/>
      <c r="D117" s="1042">
        <f>'EXHIBIT C'!H10</f>
        <v>718716</v>
      </c>
      <c r="E117" s="725">
        <v>0</v>
      </c>
      <c r="F117" s="726">
        <f t="shared" ref="F117:F127" si="3">+D117+E117</f>
        <v>718716</v>
      </c>
    </row>
    <row r="118" spans="1:6" s="63" customFormat="1" ht="30" customHeight="1">
      <c r="A118" s="722" t="s">
        <v>606</v>
      </c>
      <c r="B118" s="575"/>
      <c r="C118" s="734"/>
      <c r="D118" s="1042">
        <f>'EXHIBIT C'!F19</f>
        <v>0</v>
      </c>
      <c r="E118" s="725">
        <v>0</v>
      </c>
      <c r="F118" s="726">
        <f t="shared" si="3"/>
        <v>0</v>
      </c>
    </row>
    <row r="119" spans="1:6" s="63" customFormat="1" ht="50.25" customHeight="1">
      <c r="A119" s="722" t="s">
        <v>607</v>
      </c>
      <c r="B119" s="575"/>
      <c r="C119" s="734"/>
      <c r="D119" s="725">
        <v>0</v>
      </c>
      <c r="E119" s="725">
        <v>0</v>
      </c>
      <c r="F119" s="726">
        <f t="shared" si="3"/>
        <v>0</v>
      </c>
    </row>
    <row r="120" spans="1:6" s="63" customFormat="1" ht="30" customHeight="1">
      <c r="A120" s="722" t="s">
        <v>608</v>
      </c>
      <c r="B120" s="575"/>
      <c r="C120" s="734"/>
      <c r="D120" s="725">
        <v>0</v>
      </c>
      <c r="E120" s="725">
        <v>0</v>
      </c>
      <c r="F120" s="726">
        <f t="shared" si="3"/>
        <v>0</v>
      </c>
    </row>
    <row r="121" spans="1:6" s="63" customFormat="1" ht="30" customHeight="1">
      <c r="A121" s="956" t="s">
        <v>681</v>
      </c>
      <c r="B121" s="575"/>
      <c r="C121" s="734"/>
      <c r="D121" s="725">
        <v>0</v>
      </c>
      <c r="E121" s="725">
        <v>0</v>
      </c>
      <c r="F121" s="726">
        <f t="shared" si="3"/>
        <v>0</v>
      </c>
    </row>
    <row r="122" spans="1:6" s="63" customFormat="1" ht="30" customHeight="1">
      <c r="A122" s="722" t="s">
        <v>609</v>
      </c>
      <c r="B122" s="575"/>
      <c r="C122" s="734"/>
      <c r="D122" s="725">
        <v>82828</v>
      </c>
      <c r="E122" s="725">
        <v>0</v>
      </c>
      <c r="F122" s="726">
        <f t="shared" si="3"/>
        <v>82828</v>
      </c>
    </row>
    <row r="123" spans="1:6" s="63" customFormat="1" ht="30" customHeight="1">
      <c r="A123" s="722" t="s">
        <v>610</v>
      </c>
      <c r="B123" s="575"/>
      <c r="C123" s="734"/>
      <c r="D123" s="725">
        <v>0</v>
      </c>
      <c r="E123" s="725">
        <v>0</v>
      </c>
      <c r="F123" s="726">
        <f t="shared" si="3"/>
        <v>0</v>
      </c>
    </row>
    <row r="124" spans="1:6" s="63" customFormat="1" ht="30" customHeight="1">
      <c r="A124" s="722" t="s">
        <v>611</v>
      </c>
      <c r="B124" s="575"/>
      <c r="C124" s="734"/>
      <c r="D124" s="725">
        <v>0</v>
      </c>
      <c r="E124" s="725">
        <v>0</v>
      </c>
      <c r="F124" s="726">
        <f t="shared" si="3"/>
        <v>0</v>
      </c>
    </row>
    <row r="125" spans="1:6" s="63" customFormat="1" ht="30" customHeight="1">
      <c r="A125" s="722" t="s">
        <v>612</v>
      </c>
      <c r="B125" s="575"/>
      <c r="C125" s="734"/>
      <c r="D125" s="725">
        <v>0</v>
      </c>
      <c r="E125" s="725">
        <v>0</v>
      </c>
      <c r="F125" s="726">
        <f t="shared" si="3"/>
        <v>0</v>
      </c>
    </row>
    <row r="126" spans="1:6" ht="24.75" customHeight="1">
      <c r="A126" s="722" t="s">
        <v>613</v>
      </c>
      <c r="B126" s="575"/>
      <c r="C126" s="734"/>
      <c r="D126" s="725">
        <v>0</v>
      </c>
      <c r="E126" s="725">
        <v>0</v>
      </c>
      <c r="F126" s="726">
        <f t="shared" si="3"/>
        <v>0</v>
      </c>
    </row>
    <row r="127" spans="1:6" ht="22.5" customHeight="1" thickBot="1">
      <c r="A127" s="727" t="s">
        <v>614</v>
      </c>
      <c r="B127" s="735"/>
      <c r="C127" s="736"/>
      <c r="D127" s="730">
        <v>0</v>
      </c>
      <c r="E127" s="730">
        <v>0</v>
      </c>
      <c r="F127" s="731">
        <f t="shared" si="3"/>
        <v>0</v>
      </c>
    </row>
    <row r="128" spans="1:6" ht="110.1" customHeight="1" thickBot="1">
      <c r="A128" s="836" t="s">
        <v>615</v>
      </c>
      <c r="B128" s="837"/>
      <c r="C128" s="246"/>
      <c r="D128" s="247">
        <f>SUM(D116:D127)</f>
        <v>801544</v>
      </c>
      <c r="E128" s="248">
        <f>SUM(E116:E127)</f>
        <v>0</v>
      </c>
      <c r="F128" s="249">
        <f>SUM(F116:F127)</f>
        <v>801544</v>
      </c>
    </row>
    <row r="129" spans="1:6" ht="14.1" customHeight="1">
      <c r="A129" s="237"/>
      <c r="B129" s="237"/>
      <c r="C129" s="238"/>
      <c r="D129" s="239"/>
      <c r="E129" s="239"/>
      <c r="F129" s="239"/>
    </row>
    <row r="130" spans="1:6" ht="83.25" customHeight="1">
      <c r="A130" s="899" t="s">
        <v>695</v>
      </c>
      <c r="B130" s="899"/>
      <c r="C130" s="900"/>
      <c r="D130" s="240">
        <f>D128-D112</f>
        <v>0</v>
      </c>
      <c r="E130" s="240">
        <f t="shared" ref="E130:F130" si="4">E128-E112</f>
        <v>0</v>
      </c>
      <c r="F130" s="240">
        <f t="shared" si="4"/>
        <v>0</v>
      </c>
    </row>
    <row r="131" spans="1:6" ht="30" customHeight="1">
      <c r="A131" s="237"/>
      <c r="B131" s="237"/>
      <c r="C131" s="238"/>
      <c r="D131" s="239"/>
      <c r="E131" s="239"/>
      <c r="F131" s="239"/>
    </row>
    <row r="132" spans="1:6" ht="30" customHeight="1" thickBot="1">
      <c r="A132" s="443" t="s">
        <v>696</v>
      </c>
      <c r="B132" s="11"/>
      <c r="C132" s="11"/>
      <c r="D132" s="241"/>
      <c r="E132" s="241"/>
      <c r="F132" s="242"/>
    </row>
    <row r="133" spans="1:6" ht="238.5" customHeight="1" thickBot="1">
      <c r="A133" s="1045"/>
      <c r="B133" s="1046" t="s">
        <v>792</v>
      </c>
      <c r="C133" s="1046"/>
      <c r="D133" s="1046"/>
      <c r="E133" s="1046"/>
      <c r="F133" s="1047"/>
    </row>
    <row r="134" spans="1:6" ht="30" customHeight="1">
      <c r="A134" s="440"/>
      <c r="B134" s="440"/>
      <c r="C134" s="440"/>
      <c r="D134" s="440"/>
      <c r="E134" s="440"/>
      <c r="F134" s="440"/>
    </row>
    <row r="135" spans="1:6" ht="30" customHeight="1" thickBot="1">
      <c r="A135" s="443" t="s">
        <v>616</v>
      </c>
      <c r="B135" s="441"/>
      <c r="C135" s="441"/>
      <c r="D135" s="241"/>
      <c r="E135" s="241"/>
      <c r="F135" s="242"/>
    </row>
    <row r="136" spans="1:6" ht="207" customHeight="1" thickBot="1">
      <c r="A136" s="1045"/>
      <c r="B136" s="1046"/>
      <c r="C136" s="1046"/>
      <c r="D136" s="1046"/>
      <c r="E136" s="1046"/>
      <c r="F136" s="1047"/>
    </row>
    <row r="137" spans="1:6" ht="25.35" customHeight="1">
      <c r="F137" s="244"/>
    </row>
    <row r="138" spans="1:6" ht="25.35" customHeight="1">
      <c r="F138" s="244"/>
    </row>
    <row r="139" spans="1:6" ht="25.35" customHeight="1">
      <c r="F139" s="244"/>
    </row>
    <row r="140" spans="1:6" ht="25.35" customHeight="1">
      <c r="F140" s="244"/>
    </row>
    <row r="141" spans="1:6" ht="25.35" customHeight="1">
      <c r="F141" s="244"/>
    </row>
    <row r="142" spans="1:6" ht="25.35" customHeight="1">
      <c r="E142" s="245"/>
      <c r="F142" s="244"/>
    </row>
    <row r="143" spans="1:6" ht="25.35" customHeight="1">
      <c r="E143" s="245"/>
      <c r="F143" s="244"/>
    </row>
    <row r="144" spans="1:6" ht="25.35" customHeight="1">
      <c r="E144" s="245"/>
      <c r="F144" s="244"/>
    </row>
    <row r="145" spans="6:6" ht="25.35" customHeight="1">
      <c r="F145" s="244"/>
    </row>
    <row r="146" spans="6:6" ht="25.35" customHeight="1">
      <c r="F146" s="244"/>
    </row>
    <row r="147" spans="6:6" ht="25.35" customHeight="1">
      <c r="F147" s="244"/>
    </row>
    <row r="148" spans="6:6" ht="25.35" customHeight="1">
      <c r="F148" s="244"/>
    </row>
    <row r="149" spans="6:6" ht="25.35" customHeight="1">
      <c r="F149" s="244"/>
    </row>
    <row r="150" spans="6:6" ht="25.35" customHeight="1">
      <c r="F150" s="244"/>
    </row>
    <row r="151" spans="6:6" ht="25.35" customHeight="1">
      <c r="F151" s="244"/>
    </row>
    <row r="152" spans="6:6" ht="25.35" customHeight="1">
      <c r="F152" s="244"/>
    </row>
    <row r="153" spans="6:6" ht="25.35" customHeight="1">
      <c r="F153" s="244"/>
    </row>
    <row r="154" spans="6:6" ht="25.35" customHeight="1">
      <c r="F154" s="244"/>
    </row>
    <row r="155" spans="6:6" ht="25.35" customHeight="1">
      <c r="F155" s="244"/>
    </row>
    <row r="156" spans="6:6" ht="25.35" customHeight="1">
      <c r="F156" s="244"/>
    </row>
    <row r="157" spans="6:6" ht="25.35" customHeight="1">
      <c r="F157" s="244"/>
    </row>
    <row r="158" spans="6:6" ht="25.35" customHeight="1">
      <c r="F158" s="244"/>
    </row>
    <row r="159" spans="6:6" ht="25.35" customHeight="1">
      <c r="F159" s="244"/>
    </row>
    <row r="160" spans="6:6" ht="25.35" customHeight="1">
      <c r="F160" s="244"/>
    </row>
    <row r="161" spans="6:6" ht="25.35" customHeight="1">
      <c r="F161" s="244"/>
    </row>
    <row r="162" spans="6:6" ht="25.35" customHeight="1">
      <c r="F162" s="244"/>
    </row>
    <row r="163" spans="6:6" ht="25.35" customHeight="1">
      <c r="F163" s="244"/>
    </row>
    <row r="164" spans="6:6" ht="25.35" customHeight="1">
      <c r="F164" s="244"/>
    </row>
    <row r="165" spans="6:6" ht="25.35" customHeight="1">
      <c r="F165" s="244"/>
    </row>
    <row r="166" spans="6:6" ht="25.35" customHeight="1">
      <c r="F166" s="244"/>
    </row>
    <row r="167" spans="6:6" ht="25.35" customHeight="1">
      <c r="F167" s="244"/>
    </row>
    <row r="168" spans="6:6" ht="25.35" customHeight="1">
      <c r="F168" s="244"/>
    </row>
    <row r="169" spans="6:6" ht="25.35" customHeight="1">
      <c r="F169" s="244"/>
    </row>
    <row r="170" spans="6:6" ht="25.35" customHeight="1">
      <c r="F170" s="244"/>
    </row>
    <row r="171" spans="6:6" ht="25.35" customHeight="1">
      <c r="F171" s="244"/>
    </row>
    <row r="172" spans="6:6" ht="25.35" customHeight="1">
      <c r="F172" s="244"/>
    </row>
    <row r="173" spans="6:6" ht="25.35" customHeight="1">
      <c r="F173" s="244"/>
    </row>
    <row r="174" spans="6:6" ht="25.35" customHeight="1">
      <c r="F174" s="244"/>
    </row>
    <row r="175" spans="6:6" ht="25.35" customHeight="1">
      <c r="F175" s="244"/>
    </row>
    <row r="176" spans="6:6" ht="25.35" customHeight="1">
      <c r="F176" s="244"/>
    </row>
    <row r="177" spans="6:6" ht="25.35" customHeight="1">
      <c r="F177" s="244"/>
    </row>
    <row r="178" spans="6:6" ht="25.35" customHeight="1">
      <c r="F178" s="244"/>
    </row>
    <row r="179" spans="6:6" ht="25.35" customHeight="1">
      <c r="F179" s="244"/>
    </row>
    <row r="180" spans="6:6" ht="25.35" customHeight="1">
      <c r="F180" s="244"/>
    </row>
    <row r="181" spans="6:6" ht="25.35" customHeight="1">
      <c r="F181" s="244"/>
    </row>
    <row r="182" spans="6:6" ht="25.35" customHeight="1">
      <c r="F182" s="244"/>
    </row>
    <row r="183" spans="6:6" ht="25.35" customHeight="1">
      <c r="F183" s="244"/>
    </row>
    <row r="184" spans="6:6" ht="25.35" customHeight="1">
      <c r="F184" s="244"/>
    </row>
    <row r="185" spans="6:6" ht="25.35" customHeight="1">
      <c r="F185" s="244"/>
    </row>
    <row r="186" spans="6:6" ht="25.35" customHeight="1">
      <c r="F186" s="244"/>
    </row>
    <row r="187" spans="6:6" ht="25.35" customHeight="1">
      <c r="F187" s="244"/>
    </row>
    <row r="188" spans="6:6" ht="25.35" customHeight="1">
      <c r="F188" s="244"/>
    </row>
    <row r="189" spans="6:6" ht="25.35" customHeight="1">
      <c r="F189" s="244"/>
    </row>
    <row r="190" spans="6:6" ht="25.35" customHeight="1">
      <c r="F190" s="244"/>
    </row>
    <row r="191" spans="6:6" ht="25.35" customHeight="1">
      <c r="F191" s="244"/>
    </row>
    <row r="192" spans="6:6" ht="25.35" customHeight="1">
      <c r="F192" s="244"/>
    </row>
    <row r="193" spans="6:6" ht="25.35" customHeight="1">
      <c r="F193" s="244"/>
    </row>
    <row r="194" spans="6:6" ht="25.35" customHeight="1">
      <c r="F194" s="244"/>
    </row>
    <row r="195" spans="6:6" ht="25.35" customHeight="1">
      <c r="F195" s="244"/>
    </row>
    <row r="196" spans="6:6" ht="25.35" customHeight="1">
      <c r="F196" s="244"/>
    </row>
    <row r="197" spans="6:6" ht="25.35" customHeight="1">
      <c r="F197" s="244"/>
    </row>
    <row r="198" spans="6:6" ht="25.35" customHeight="1">
      <c r="F198" s="244"/>
    </row>
    <row r="199" spans="6:6" ht="25.35" customHeight="1">
      <c r="F199" s="244"/>
    </row>
    <row r="200" spans="6:6" ht="25.35" customHeight="1">
      <c r="F200" s="244"/>
    </row>
    <row r="201" spans="6:6" ht="25.35" customHeight="1">
      <c r="F201" s="244"/>
    </row>
    <row r="202" spans="6:6" ht="25.35" customHeight="1">
      <c r="F202" s="244"/>
    </row>
    <row r="203" spans="6:6" ht="25.35" customHeight="1">
      <c r="F203" s="244"/>
    </row>
    <row r="204" spans="6:6" ht="25.35" customHeight="1">
      <c r="F204" s="244"/>
    </row>
    <row r="205" spans="6:6" ht="25.35" customHeight="1">
      <c r="F205" s="244"/>
    </row>
    <row r="206" spans="6:6" ht="25.35" customHeight="1">
      <c r="F206" s="244"/>
    </row>
    <row r="207" spans="6:6" ht="25.35" customHeight="1">
      <c r="F207" s="244"/>
    </row>
    <row r="208" spans="6:6" ht="25.35" customHeight="1">
      <c r="F208" s="244"/>
    </row>
    <row r="209" spans="6:6" ht="25.35" customHeight="1">
      <c r="F209" s="244"/>
    </row>
    <row r="210" spans="6:6" ht="25.35" customHeight="1">
      <c r="F210" s="244"/>
    </row>
    <row r="211" spans="6:6" ht="25.35" customHeight="1">
      <c r="F211" s="244"/>
    </row>
    <row r="212" spans="6:6" ht="25.35" customHeight="1">
      <c r="F212" s="244"/>
    </row>
    <row r="213" spans="6:6" ht="25.35" customHeight="1">
      <c r="F213" s="244"/>
    </row>
    <row r="214" spans="6:6" ht="25.35" customHeight="1">
      <c r="F214" s="244"/>
    </row>
    <row r="215" spans="6:6" ht="25.35" customHeight="1">
      <c r="F215" s="244"/>
    </row>
    <row r="216" spans="6:6" ht="25.35" customHeight="1">
      <c r="F216" s="244"/>
    </row>
    <row r="217" spans="6:6" ht="25.35" customHeight="1">
      <c r="F217" s="244"/>
    </row>
    <row r="218" spans="6:6" ht="25.35" customHeight="1">
      <c r="F218" s="244"/>
    </row>
    <row r="219" spans="6:6" ht="25.35" customHeight="1">
      <c r="F219" s="244"/>
    </row>
    <row r="220" spans="6:6" ht="25.35" customHeight="1">
      <c r="F220" s="244"/>
    </row>
    <row r="221" spans="6:6" ht="25.35" customHeight="1">
      <c r="F221" s="244"/>
    </row>
    <row r="222" spans="6:6" ht="25.35" customHeight="1">
      <c r="F222" s="244"/>
    </row>
    <row r="223" spans="6:6" ht="25.35" customHeight="1">
      <c r="F223" s="244"/>
    </row>
    <row r="224" spans="6:6" ht="25.35" customHeight="1">
      <c r="F224" s="244"/>
    </row>
    <row r="225" spans="6:6" ht="25.35" customHeight="1">
      <c r="F225" s="244"/>
    </row>
    <row r="226" spans="6:6" ht="25.35" customHeight="1">
      <c r="F226" s="244"/>
    </row>
    <row r="227" spans="6:6" ht="25.35" customHeight="1">
      <c r="F227" s="244"/>
    </row>
    <row r="228" spans="6:6" ht="25.35" customHeight="1">
      <c r="F228" s="244"/>
    </row>
    <row r="229" spans="6:6" ht="25.35" customHeight="1">
      <c r="F229" s="244"/>
    </row>
    <row r="230" spans="6:6" ht="25.35" customHeight="1">
      <c r="F230" s="244"/>
    </row>
    <row r="231" spans="6:6" ht="25.35" customHeight="1">
      <c r="F231" s="244"/>
    </row>
    <row r="232" spans="6:6" ht="25.35" customHeight="1">
      <c r="F232" s="244"/>
    </row>
    <row r="233" spans="6:6" ht="25.35" customHeight="1">
      <c r="F233" s="244"/>
    </row>
    <row r="234" spans="6:6" ht="25.35" customHeight="1">
      <c r="F234" s="244"/>
    </row>
    <row r="235" spans="6:6" ht="25.35" customHeight="1">
      <c r="F235" s="244"/>
    </row>
    <row r="236" spans="6:6" ht="25.35" customHeight="1">
      <c r="F236" s="244"/>
    </row>
    <row r="237" spans="6:6" ht="25.35" customHeight="1">
      <c r="F237" s="244"/>
    </row>
    <row r="238" spans="6:6" ht="25.35" customHeight="1">
      <c r="F238" s="244"/>
    </row>
    <row r="239" spans="6:6" ht="25.35" customHeight="1">
      <c r="F239" s="244"/>
    </row>
    <row r="240" spans="6:6" ht="25.35" customHeight="1">
      <c r="F240" s="244"/>
    </row>
    <row r="241" spans="6:6" ht="25.35" customHeight="1">
      <c r="F241" s="244"/>
    </row>
    <row r="242" spans="6:6" ht="25.35" customHeight="1">
      <c r="F242" s="244"/>
    </row>
    <row r="243" spans="6:6" ht="25.35" customHeight="1">
      <c r="F243" s="244"/>
    </row>
    <row r="244" spans="6:6" ht="25.35" customHeight="1">
      <c r="F244" s="244"/>
    </row>
    <row r="245" spans="6:6" ht="25.35" customHeight="1">
      <c r="F245" s="244"/>
    </row>
    <row r="246" spans="6:6" ht="25.35" customHeight="1">
      <c r="F246" s="244"/>
    </row>
    <row r="247" spans="6:6" ht="25.35" customHeight="1">
      <c r="F247" s="244"/>
    </row>
    <row r="248" spans="6:6" ht="25.35" customHeight="1">
      <c r="F248" s="244"/>
    </row>
    <row r="249" spans="6:6" ht="25.35" customHeight="1">
      <c r="F249" s="244"/>
    </row>
    <row r="250" spans="6:6" ht="25.35" customHeight="1">
      <c r="F250" s="244"/>
    </row>
    <row r="251" spans="6:6" ht="25.35" customHeight="1">
      <c r="F251" s="244"/>
    </row>
    <row r="252" spans="6:6" ht="25.35" customHeight="1">
      <c r="F252" s="244"/>
    </row>
    <row r="253" spans="6:6" ht="25.35" customHeight="1">
      <c r="F253" s="244"/>
    </row>
    <row r="254" spans="6:6" ht="25.35" customHeight="1">
      <c r="F254" s="244"/>
    </row>
    <row r="255" spans="6:6" ht="25.35" customHeight="1">
      <c r="F255" s="244"/>
    </row>
    <row r="256" spans="6:6" ht="25.35" customHeight="1">
      <c r="F256" s="244"/>
    </row>
    <row r="257" spans="6:6" ht="25.35" customHeight="1">
      <c r="F257" s="244"/>
    </row>
    <row r="258" spans="6:6" ht="25.35" customHeight="1">
      <c r="F258" s="244"/>
    </row>
    <row r="259" spans="6:6" ht="25.35" customHeight="1">
      <c r="F259" s="244"/>
    </row>
    <row r="260" spans="6:6" ht="25.35" customHeight="1">
      <c r="F260" s="244"/>
    </row>
    <row r="261" spans="6:6" ht="25.35" customHeight="1">
      <c r="F261" s="244"/>
    </row>
    <row r="262" spans="6:6" ht="25.35" customHeight="1">
      <c r="F262" s="244"/>
    </row>
    <row r="263" spans="6:6" ht="25.35" customHeight="1">
      <c r="F263" s="244"/>
    </row>
    <row r="264" spans="6:6" ht="25.35" customHeight="1">
      <c r="F264" s="244"/>
    </row>
    <row r="265" spans="6:6" ht="25.35" customHeight="1">
      <c r="F265" s="244"/>
    </row>
    <row r="266" spans="6:6" ht="25.35" customHeight="1">
      <c r="F266" s="244"/>
    </row>
    <row r="267" spans="6:6" ht="25.35" customHeight="1">
      <c r="F267" s="244"/>
    </row>
    <row r="268" spans="6:6" ht="25.35" customHeight="1">
      <c r="F268" s="244"/>
    </row>
    <row r="269" spans="6:6" ht="25.35" customHeight="1">
      <c r="F269" s="244"/>
    </row>
    <row r="270" spans="6:6" ht="25.35" customHeight="1">
      <c r="F270" s="244"/>
    </row>
    <row r="271" spans="6:6" ht="25.35" customHeight="1">
      <c r="F271" s="244"/>
    </row>
    <row r="272" spans="6:6" ht="25.35" customHeight="1">
      <c r="F272" s="244"/>
    </row>
    <row r="273" spans="6:6" ht="25.35" customHeight="1">
      <c r="F273" s="244"/>
    </row>
    <row r="274" spans="6:6" ht="25.35" customHeight="1">
      <c r="F274" s="244"/>
    </row>
    <row r="275" spans="6:6" ht="25.35" customHeight="1">
      <c r="F275" s="244"/>
    </row>
    <row r="276" spans="6:6" ht="25.35" customHeight="1">
      <c r="F276" s="244"/>
    </row>
    <row r="277" spans="6:6" ht="25.35" customHeight="1">
      <c r="F277" s="244"/>
    </row>
    <row r="278" spans="6:6" ht="25.35" customHeight="1">
      <c r="F278" s="244"/>
    </row>
    <row r="279" spans="6:6" ht="25.35" customHeight="1">
      <c r="F279" s="244"/>
    </row>
    <row r="280" spans="6:6" ht="25.35" customHeight="1">
      <c r="F280" s="244"/>
    </row>
    <row r="281" spans="6:6" ht="25.35" customHeight="1">
      <c r="F281" s="244"/>
    </row>
    <row r="282" spans="6:6" ht="25.35" customHeight="1">
      <c r="F282" s="244"/>
    </row>
    <row r="283" spans="6:6" ht="25.35" customHeight="1">
      <c r="F283" s="244"/>
    </row>
    <row r="284" spans="6:6" ht="25.35" customHeight="1">
      <c r="F284" s="244"/>
    </row>
    <row r="285" spans="6:6" ht="25.35" customHeight="1">
      <c r="F285" s="244"/>
    </row>
    <row r="286" spans="6:6" ht="25.35" customHeight="1">
      <c r="F286" s="244"/>
    </row>
    <row r="287" spans="6:6" ht="25.35" customHeight="1">
      <c r="F287" s="244"/>
    </row>
    <row r="288" spans="6:6" ht="25.35" customHeight="1">
      <c r="F288" s="244"/>
    </row>
    <row r="289" spans="6:6" ht="25.35" customHeight="1">
      <c r="F289" s="244"/>
    </row>
    <row r="290" spans="6:6" ht="25.35" customHeight="1">
      <c r="F290" s="244"/>
    </row>
    <row r="291" spans="6:6" ht="25.35" customHeight="1">
      <c r="F291" s="244"/>
    </row>
    <row r="292" spans="6:6" ht="25.35" customHeight="1">
      <c r="F292" s="244"/>
    </row>
    <row r="293" spans="6:6" ht="25.35" customHeight="1">
      <c r="F293" s="244"/>
    </row>
    <row r="294" spans="6:6" ht="25.35" customHeight="1">
      <c r="F294" s="244"/>
    </row>
    <row r="295" spans="6:6" ht="25.35" customHeight="1">
      <c r="F295" s="244"/>
    </row>
    <row r="296" spans="6:6" ht="25.35" customHeight="1">
      <c r="F296" s="244"/>
    </row>
    <row r="297" spans="6:6" ht="25.35" customHeight="1">
      <c r="F297" s="244"/>
    </row>
    <row r="298" spans="6:6" ht="25.35" customHeight="1">
      <c r="F298" s="244"/>
    </row>
    <row r="299" spans="6:6" ht="25.35" customHeight="1">
      <c r="F299" s="244"/>
    </row>
    <row r="300" spans="6:6" ht="25.35" customHeight="1">
      <c r="F300" s="244"/>
    </row>
    <row r="301" spans="6:6" ht="25.35" customHeight="1">
      <c r="F301" s="244"/>
    </row>
    <row r="302" spans="6:6" ht="25.35" customHeight="1">
      <c r="F302" s="244"/>
    </row>
    <row r="303" spans="6:6" ht="25.35" customHeight="1">
      <c r="F303" s="244"/>
    </row>
    <row r="304" spans="6:6" ht="25.35" customHeight="1">
      <c r="F304" s="244"/>
    </row>
    <row r="305" spans="6:6" ht="25.35" customHeight="1">
      <c r="F305" s="244"/>
    </row>
    <row r="306" spans="6:6" ht="25.35" customHeight="1">
      <c r="F306" s="244"/>
    </row>
    <row r="307" spans="6:6" ht="25.35" customHeight="1">
      <c r="F307" s="244"/>
    </row>
    <row r="308" spans="6:6" ht="25.35" customHeight="1">
      <c r="F308" s="244"/>
    </row>
    <row r="309" spans="6:6" ht="25.35" customHeight="1">
      <c r="F309" s="244"/>
    </row>
    <row r="310" spans="6:6" ht="25.35" customHeight="1">
      <c r="F310" s="244"/>
    </row>
    <row r="311" spans="6:6" ht="25.35" customHeight="1">
      <c r="F311" s="244"/>
    </row>
    <row r="312" spans="6:6" ht="25.35" customHeight="1">
      <c r="F312" s="244"/>
    </row>
    <row r="313" spans="6:6" ht="25.35" customHeight="1">
      <c r="F313" s="244"/>
    </row>
    <row r="314" spans="6:6" ht="25.35" customHeight="1">
      <c r="F314" s="244"/>
    </row>
    <row r="315" spans="6:6" ht="25.35" customHeight="1">
      <c r="F315" s="244"/>
    </row>
    <row r="316" spans="6:6" ht="25.35" customHeight="1">
      <c r="F316" s="244"/>
    </row>
    <row r="317" spans="6:6" ht="25.35" customHeight="1">
      <c r="F317" s="244"/>
    </row>
    <row r="318" spans="6:6" ht="25.35" customHeight="1">
      <c r="F318" s="244"/>
    </row>
    <row r="319" spans="6:6" ht="25.35" customHeight="1">
      <c r="F319" s="244"/>
    </row>
    <row r="320" spans="6:6" ht="25.35" customHeight="1">
      <c r="F320" s="244"/>
    </row>
    <row r="321" spans="6:6" ht="25.35" customHeight="1">
      <c r="F321" s="244"/>
    </row>
    <row r="322" spans="6:6" ht="25.35" customHeight="1">
      <c r="F322" s="244"/>
    </row>
    <row r="323" spans="6:6" ht="25.35" customHeight="1">
      <c r="F323" s="244"/>
    </row>
    <row r="324" spans="6:6" ht="25.35" customHeight="1">
      <c r="F324" s="244"/>
    </row>
    <row r="325" spans="6:6" ht="25.35" customHeight="1">
      <c r="F325" s="244"/>
    </row>
    <row r="326" spans="6:6" ht="25.35" customHeight="1">
      <c r="F326" s="244"/>
    </row>
    <row r="327" spans="6:6" ht="25.35" customHeight="1">
      <c r="F327" s="244"/>
    </row>
    <row r="328" spans="6:6" ht="25.35" customHeight="1">
      <c r="F328" s="244"/>
    </row>
    <row r="329" spans="6:6" ht="25.35" customHeight="1">
      <c r="F329" s="244"/>
    </row>
    <row r="330" spans="6:6" ht="25.35" customHeight="1">
      <c r="F330" s="244"/>
    </row>
    <row r="331" spans="6:6" ht="25.35" customHeight="1">
      <c r="F331" s="244"/>
    </row>
    <row r="332" spans="6:6" ht="25.35" customHeight="1">
      <c r="F332" s="244"/>
    </row>
    <row r="333" spans="6:6" ht="25.35" customHeight="1">
      <c r="F333" s="244"/>
    </row>
    <row r="334" spans="6:6" ht="25.35" customHeight="1">
      <c r="F334" s="244"/>
    </row>
    <row r="335" spans="6:6" ht="25.35" customHeight="1">
      <c r="F335" s="244"/>
    </row>
    <row r="336" spans="6:6" ht="25.35" customHeight="1">
      <c r="F336" s="244"/>
    </row>
    <row r="337" spans="6:6" ht="25.35" customHeight="1">
      <c r="F337" s="244"/>
    </row>
    <row r="338" spans="6:6" ht="25.35" customHeight="1">
      <c r="F338" s="244"/>
    </row>
    <row r="339" spans="6:6" ht="25.35" customHeight="1">
      <c r="F339" s="244"/>
    </row>
    <row r="340" spans="6:6" ht="25.35" customHeight="1">
      <c r="F340" s="244"/>
    </row>
    <row r="341" spans="6:6" ht="25.35" customHeight="1">
      <c r="F341" s="244"/>
    </row>
    <row r="342" spans="6:6" ht="25.35" customHeight="1">
      <c r="F342" s="244"/>
    </row>
    <row r="343" spans="6:6" ht="25.35" customHeight="1">
      <c r="F343" s="244"/>
    </row>
    <row r="344" spans="6:6" ht="25.35" customHeight="1">
      <c r="F344" s="244"/>
    </row>
    <row r="345" spans="6:6" ht="25.35" customHeight="1">
      <c r="F345" s="244"/>
    </row>
    <row r="346" spans="6:6" ht="25.35" customHeight="1">
      <c r="F346" s="244"/>
    </row>
    <row r="347" spans="6:6" ht="25.35" customHeight="1">
      <c r="F347" s="244"/>
    </row>
    <row r="348" spans="6:6" ht="25.35" customHeight="1">
      <c r="F348" s="244"/>
    </row>
    <row r="349" spans="6:6" ht="25.35" customHeight="1">
      <c r="F349" s="244"/>
    </row>
    <row r="350" spans="6:6" ht="25.35" customHeight="1">
      <c r="F350" s="244"/>
    </row>
    <row r="351" spans="6:6" ht="25.35" customHeight="1">
      <c r="F351" s="244"/>
    </row>
    <row r="352" spans="6:6" ht="25.35" customHeight="1">
      <c r="F352" s="244"/>
    </row>
    <row r="353" spans="6:6" ht="25.35" customHeight="1">
      <c r="F353" s="244"/>
    </row>
    <row r="354" spans="6:6" ht="25.35" customHeight="1">
      <c r="F354" s="244"/>
    </row>
    <row r="355" spans="6:6" ht="25.35" customHeight="1">
      <c r="F355" s="244"/>
    </row>
    <row r="356" spans="6:6" ht="25.35" customHeight="1">
      <c r="F356" s="244"/>
    </row>
    <row r="357" spans="6:6" ht="25.35" customHeight="1">
      <c r="F357" s="244"/>
    </row>
    <row r="358" spans="6:6" ht="25.35" customHeight="1">
      <c r="F358" s="244"/>
    </row>
    <row r="359" spans="6:6" ht="25.35" customHeight="1">
      <c r="F359" s="244"/>
    </row>
    <row r="360" spans="6:6" ht="25.35" customHeight="1">
      <c r="F360" s="244"/>
    </row>
    <row r="361" spans="6:6" ht="25.35" customHeight="1">
      <c r="F361" s="244"/>
    </row>
    <row r="362" spans="6:6" ht="25.35" customHeight="1">
      <c r="F362" s="244"/>
    </row>
    <row r="363" spans="6:6" ht="25.35" customHeight="1">
      <c r="F363" s="244"/>
    </row>
    <row r="364" spans="6:6" ht="25.35" customHeight="1">
      <c r="F364" s="244"/>
    </row>
    <row r="365" spans="6:6" ht="25.35" customHeight="1">
      <c r="F365" s="244"/>
    </row>
    <row r="366" spans="6:6" ht="25.35" customHeight="1">
      <c r="F366" s="244"/>
    </row>
    <row r="367" spans="6:6" ht="25.35" customHeight="1">
      <c r="F367" s="244"/>
    </row>
    <row r="368" spans="6:6" ht="25.35" customHeight="1">
      <c r="F368" s="244"/>
    </row>
    <row r="369" spans="6:6" ht="25.35" customHeight="1">
      <c r="F369" s="244"/>
    </row>
    <row r="370" spans="6:6" ht="25.35" customHeight="1">
      <c r="F370" s="244"/>
    </row>
    <row r="371" spans="6:6" ht="25.35" customHeight="1">
      <c r="F371" s="244"/>
    </row>
    <row r="372" spans="6:6" ht="25.35" customHeight="1">
      <c r="F372" s="244"/>
    </row>
    <row r="373" spans="6:6" ht="25.35" customHeight="1">
      <c r="F373" s="244"/>
    </row>
    <row r="374" spans="6:6" ht="25.35" customHeight="1">
      <c r="F374" s="244"/>
    </row>
    <row r="375" spans="6:6" ht="25.35" customHeight="1">
      <c r="F375" s="244"/>
    </row>
    <row r="376" spans="6:6" ht="25.35" customHeight="1">
      <c r="F376" s="244"/>
    </row>
    <row r="377" spans="6:6" ht="25.35" customHeight="1">
      <c r="F377" s="244"/>
    </row>
    <row r="378" spans="6:6" ht="25.35" customHeight="1">
      <c r="F378" s="244"/>
    </row>
    <row r="379" spans="6:6" ht="25.35" customHeight="1">
      <c r="F379" s="244"/>
    </row>
    <row r="380" spans="6:6" ht="25.35" customHeight="1">
      <c r="F380" s="244"/>
    </row>
    <row r="381" spans="6:6" ht="25.35" customHeight="1">
      <c r="F381" s="244"/>
    </row>
    <row r="382" spans="6:6" ht="25.35" customHeight="1">
      <c r="F382" s="244"/>
    </row>
    <row r="383" spans="6:6" ht="25.35" customHeight="1">
      <c r="F383" s="244"/>
    </row>
    <row r="384" spans="6:6" ht="25.35" customHeight="1">
      <c r="F384" s="244"/>
    </row>
    <row r="385" spans="6:6" ht="25.35" customHeight="1">
      <c r="F385" s="244"/>
    </row>
    <row r="386" spans="6:6" ht="25.35" customHeight="1">
      <c r="F386" s="244"/>
    </row>
    <row r="387" spans="6:6" ht="25.35" customHeight="1">
      <c r="F387" s="244"/>
    </row>
    <row r="388" spans="6:6" ht="25.35" customHeight="1">
      <c r="F388" s="244"/>
    </row>
    <row r="389" spans="6:6" ht="25.35" customHeight="1">
      <c r="F389" s="244"/>
    </row>
    <row r="390" spans="6:6" ht="25.35" customHeight="1">
      <c r="F390" s="244"/>
    </row>
    <row r="391" spans="6:6" ht="25.35" customHeight="1">
      <c r="F391" s="244"/>
    </row>
    <row r="392" spans="6:6" ht="25.35" customHeight="1">
      <c r="F392" s="244"/>
    </row>
    <row r="393" spans="6:6" ht="25.35" customHeight="1">
      <c r="F393" s="244"/>
    </row>
    <row r="394" spans="6:6" ht="25.35" customHeight="1">
      <c r="F394" s="244"/>
    </row>
    <row r="395" spans="6:6" ht="25.35" customHeight="1">
      <c r="F395" s="244"/>
    </row>
    <row r="396" spans="6:6" ht="25.35" customHeight="1">
      <c r="F396" s="244"/>
    </row>
    <row r="397" spans="6:6" ht="25.35" customHeight="1">
      <c r="F397" s="244"/>
    </row>
    <row r="398" spans="6:6" ht="25.35" customHeight="1">
      <c r="F398" s="244"/>
    </row>
    <row r="399" spans="6:6" ht="25.35" customHeight="1">
      <c r="F399" s="244"/>
    </row>
    <row r="400" spans="6:6" ht="25.35" customHeight="1">
      <c r="F400" s="244"/>
    </row>
    <row r="401" spans="6:6" ht="25.35" customHeight="1">
      <c r="F401" s="244"/>
    </row>
    <row r="402" spans="6:6" ht="25.35" customHeight="1">
      <c r="F402" s="244"/>
    </row>
    <row r="403" spans="6:6" ht="25.35" customHeight="1">
      <c r="F403" s="244"/>
    </row>
    <row r="404" spans="6:6" ht="25.35" customHeight="1">
      <c r="F404" s="244"/>
    </row>
    <row r="405" spans="6:6" ht="25.35" customHeight="1">
      <c r="F405" s="244"/>
    </row>
    <row r="406" spans="6:6" ht="25.35" customHeight="1">
      <c r="F406" s="244"/>
    </row>
    <row r="407" spans="6:6" ht="25.35" customHeight="1">
      <c r="F407" s="244"/>
    </row>
    <row r="408" spans="6:6" ht="25.35" customHeight="1">
      <c r="F408" s="244"/>
    </row>
    <row r="409" spans="6:6" ht="25.35" customHeight="1">
      <c r="F409" s="244"/>
    </row>
    <row r="410" spans="6:6" ht="25.35" customHeight="1">
      <c r="F410" s="244"/>
    </row>
    <row r="411" spans="6:6" ht="25.35" customHeight="1">
      <c r="F411" s="244"/>
    </row>
    <row r="412" spans="6:6" ht="25.35" customHeight="1">
      <c r="F412" s="244"/>
    </row>
    <row r="413" spans="6:6" ht="25.35" customHeight="1">
      <c r="F413" s="244"/>
    </row>
    <row r="414" spans="6:6" ht="25.35" customHeight="1">
      <c r="F414" s="244"/>
    </row>
    <row r="415" spans="6:6" ht="25.35" customHeight="1">
      <c r="F415" s="244"/>
    </row>
    <row r="416" spans="6:6" ht="25.35" customHeight="1">
      <c r="F416" s="244"/>
    </row>
    <row r="417" spans="6:6" ht="25.35" customHeight="1">
      <c r="F417" s="244"/>
    </row>
    <row r="418" spans="6:6" ht="25.35" customHeight="1">
      <c r="F418" s="244"/>
    </row>
    <row r="419" spans="6:6" ht="25.35" customHeight="1">
      <c r="F419" s="244"/>
    </row>
    <row r="420" spans="6:6" ht="25.35" customHeight="1">
      <c r="F420" s="244"/>
    </row>
    <row r="421" spans="6:6" ht="25.35" customHeight="1">
      <c r="F421" s="244"/>
    </row>
    <row r="422" spans="6:6" ht="25.35" customHeight="1">
      <c r="F422" s="244"/>
    </row>
    <row r="423" spans="6:6" ht="25.35" customHeight="1">
      <c r="F423" s="244"/>
    </row>
    <row r="424" spans="6:6" ht="25.35" customHeight="1">
      <c r="F424" s="244"/>
    </row>
    <row r="425" spans="6:6" ht="25.35" customHeight="1">
      <c r="F425" s="244"/>
    </row>
    <row r="426" spans="6:6" ht="25.35" customHeight="1">
      <c r="F426" s="244"/>
    </row>
    <row r="427" spans="6:6" ht="25.35" customHeight="1">
      <c r="F427" s="244"/>
    </row>
    <row r="428" spans="6:6" ht="25.35" customHeight="1">
      <c r="F428" s="244"/>
    </row>
    <row r="429" spans="6:6" ht="25.35" customHeight="1">
      <c r="F429" s="244"/>
    </row>
    <row r="430" spans="6:6" ht="25.35" customHeight="1">
      <c r="F430" s="244"/>
    </row>
    <row r="431" spans="6:6" ht="25.35" customHeight="1">
      <c r="F431" s="244"/>
    </row>
    <row r="432" spans="6:6" ht="25.35" customHeight="1">
      <c r="F432" s="244"/>
    </row>
    <row r="433" spans="6:6" ht="25.35" customHeight="1">
      <c r="F433" s="244"/>
    </row>
    <row r="434" spans="6:6" ht="25.35" customHeight="1">
      <c r="F434" s="244"/>
    </row>
    <row r="435" spans="6:6" ht="25.35" customHeight="1">
      <c r="F435" s="244"/>
    </row>
    <row r="436" spans="6:6">
      <c r="F436" s="244"/>
    </row>
    <row r="437" spans="6:6">
      <c r="F437" s="244"/>
    </row>
    <row r="438" spans="6:6">
      <c r="F438" s="244"/>
    </row>
    <row r="439" spans="6:6">
      <c r="F439" s="244"/>
    </row>
    <row r="440" spans="6:6">
      <c r="F440" s="244"/>
    </row>
    <row r="441" spans="6:6">
      <c r="F441" s="244"/>
    </row>
    <row r="442" spans="6:6">
      <c r="F442" s="244"/>
    </row>
    <row r="443" spans="6:6">
      <c r="F443" s="244"/>
    </row>
    <row r="444" spans="6:6">
      <c r="F444" s="244"/>
    </row>
    <row r="445" spans="6:6">
      <c r="F445" s="244"/>
    </row>
    <row r="446" spans="6:6">
      <c r="F446" s="244"/>
    </row>
    <row r="447" spans="6:6">
      <c r="F447" s="244"/>
    </row>
    <row r="448" spans="6:6">
      <c r="F448" s="244"/>
    </row>
    <row r="449" spans="6:6">
      <c r="F449" s="244"/>
    </row>
    <row r="450" spans="6:6">
      <c r="F450" s="244"/>
    </row>
    <row r="451" spans="6:6">
      <c r="F451" s="244"/>
    </row>
    <row r="452" spans="6:6">
      <c r="F452" s="244"/>
    </row>
    <row r="453" spans="6:6">
      <c r="F453" s="244"/>
    </row>
    <row r="454" spans="6:6">
      <c r="F454" s="244"/>
    </row>
    <row r="455" spans="6:6">
      <c r="F455" s="244"/>
    </row>
    <row r="456" spans="6:6">
      <c r="F456" s="244"/>
    </row>
    <row r="457" spans="6:6">
      <c r="F457" s="244"/>
    </row>
    <row r="458" spans="6:6">
      <c r="F458" s="244"/>
    </row>
    <row r="459" spans="6:6">
      <c r="F459" s="244"/>
    </row>
    <row r="460" spans="6:6">
      <c r="F460" s="244"/>
    </row>
    <row r="461" spans="6:6">
      <c r="F461" s="244"/>
    </row>
    <row r="462" spans="6:6">
      <c r="F462" s="244"/>
    </row>
    <row r="463" spans="6:6">
      <c r="F463" s="244"/>
    </row>
    <row r="464" spans="6:6">
      <c r="F464" s="244"/>
    </row>
    <row r="465" spans="6:6">
      <c r="F465" s="244"/>
    </row>
    <row r="466" spans="6:6">
      <c r="F466" s="244"/>
    </row>
    <row r="467" spans="6:6">
      <c r="F467" s="244"/>
    </row>
    <row r="468" spans="6:6">
      <c r="F468" s="244"/>
    </row>
    <row r="469" spans="6:6">
      <c r="F469" s="244"/>
    </row>
    <row r="470" spans="6:6">
      <c r="F470" s="244"/>
    </row>
    <row r="471" spans="6:6">
      <c r="F471" s="244"/>
    </row>
    <row r="472" spans="6:6">
      <c r="F472" s="244"/>
    </row>
    <row r="473" spans="6:6">
      <c r="F473" s="244"/>
    </row>
    <row r="474" spans="6:6">
      <c r="F474" s="244"/>
    </row>
    <row r="475" spans="6:6">
      <c r="F475" s="244"/>
    </row>
    <row r="476" spans="6:6">
      <c r="F476" s="244"/>
    </row>
    <row r="477" spans="6:6">
      <c r="F477" s="244"/>
    </row>
    <row r="478" spans="6:6">
      <c r="F478" s="244"/>
    </row>
    <row r="479" spans="6:6">
      <c r="F479" s="244"/>
    </row>
    <row r="480" spans="6:6">
      <c r="F480" s="244"/>
    </row>
    <row r="481" spans="6:6">
      <c r="F481" s="244"/>
    </row>
    <row r="482" spans="6:6">
      <c r="F482" s="244"/>
    </row>
    <row r="483" spans="6:6">
      <c r="F483" s="244"/>
    </row>
    <row r="484" spans="6:6">
      <c r="F484" s="244"/>
    </row>
    <row r="485" spans="6:6">
      <c r="F485" s="244"/>
    </row>
    <row r="486" spans="6:6">
      <c r="F486" s="244"/>
    </row>
    <row r="487" spans="6:6">
      <c r="F487" s="244"/>
    </row>
    <row r="488" spans="6:6">
      <c r="F488" s="244"/>
    </row>
    <row r="489" spans="6:6">
      <c r="F489" s="244"/>
    </row>
    <row r="490" spans="6:6">
      <c r="F490" s="244"/>
    </row>
    <row r="491" spans="6:6">
      <c r="F491" s="244"/>
    </row>
    <row r="492" spans="6:6">
      <c r="F492" s="244"/>
    </row>
    <row r="493" spans="6:6">
      <c r="F493" s="244"/>
    </row>
    <row r="494" spans="6:6">
      <c r="F494" s="244"/>
    </row>
    <row r="495" spans="6:6">
      <c r="F495" s="244"/>
    </row>
    <row r="496" spans="6:6">
      <c r="F496" s="244"/>
    </row>
    <row r="497" spans="6:6">
      <c r="F497" s="244"/>
    </row>
    <row r="498" spans="6:6">
      <c r="F498" s="244"/>
    </row>
    <row r="499" spans="6:6">
      <c r="F499" s="244"/>
    </row>
    <row r="500" spans="6:6">
      <c r="F500" s="244"/>
    </row>
    <row r="501" spans="6:6">
      <c r="F501" s="244"/>
    </row>
    <row r="502" spans="6:6">
      <c r="F502" s="244"/>
    </row>
    <row r="503" spans="6:6">
      <c r="F503" s="244"/>
    </row>
    <row r="504" spans="6:6">
      <c r="F504" s="244"/>
    </row>
    <row r="505" spans="6:6">
      <c r="F505" s="244"/>
    </row>
    <row r="506" spans="6:6">
      <c r="F506" s="244"/>
    </row>
    <row r="507" spans="6:6">
      <c r="F507" s="244"/>
    </row>
    <row r="508" spans="6:6">
      <c r="F508" s="244"/>
    </row>
    <row r="509" spans="6:6">
      <c r="F509" s="244"/>
    </row>
    <row r="510" spans="6:6">
      <c r="F510" s="244"/>
    </row>
    <row r="511" spans="6:6">
      <c r="F511" s="244"/>
    </row>
    <row r="512" spans="6:6">
      <c r="F512" s="244"/>
    </row>
    <row r="513" spans="6:6">
      <c r="F513" s="244"/>
    </row>
    <row r="514" spans="6:6">
      <c r="F514" s="244"/>
    </row>
    <row r="515" spans="6:6">
      <c r="F515" s="244"/>
    </row>
    <row r="516" spans="6:6">
      <c r="F516" s="244"/>
    </row>
    <row r="517" spans="6:6">
      <c r="F517" s="244"/>
    </row>
    <row r="518" spans="6:6">
      <c r="F518" s="244"/>
    </row>
    <row r="519" spans="6:6">
      <c r="F519" s="244"/>
    </row>
    <row r="520" spans="6:6">
      <c r="F520" s="244"/>
    </row>
    <row r="521" spans="6:6">
      <c r="F521" s="244"/>
    </row>
    <row r="522" spans="6:6">
      <c r="F522" s="244"/>
    </row>
    <row r="523" spans="6:6">
      <c r="F523" s="244"/>
    </row>
    <row r="524" spans="6:6">
      <c r="F524" s="244"/>
    </row>
    <row r="525" spans="6:6">
      <c r="F525" s="244"/>
    </row>
    <row r="526" spans="6:6">
      <c r="F526" s="244"/>
    </row>
    <row r="527" spans="6:6">
      <c r="F527" s="244"/>
    </row>
    <row r="528" spans="6:6">
      <c r="F528" s="244"/>
    </row>
    <row r="529" spans="6:6">
      <c r="F529" s="244"/>
    </row>
    <row r="530" spans="6:6">
      <c r="F530" s="244"/>
    </row>
    <row r="531" spans="6:6">
      <c r="F531" s="244"/>
    </row>
    <row r="532" spans="6:6">
      <c r="F532" s="244"/>
    </row>
    <row r="533" spans="6:6">
      <c r="F533" s="244"/>
    </row>
    <row r="534" spans="6:6">
      <c r="F534" s="244"/>
    </row>
    <row r="535" spans="6:6">
      <c r="F535" s="244"/>
    </row>
    <row r="536" spans="6:6">
      <c r="F536" s="244"/>
    </row>
    <row r="537" spans="6:6">
      <c r="F537" s="244"/>
    </row>
    <row r="538" spans="6:6">
      <c r="F538" s="244"/>
    </row>
    <row r="539" spans="6:6">
      <c r="F539" s="244"/>
    </row>
    <row r="540" spans="6:6">
      <c r="F540" s="244"/>
    </row>
    <row r="541" spans="6:6">
      <c r="F541" s="244"/>
    </row>
    <row r="542" spans="6:6">
      <c r="F542" s="244"/>
    </row>
    <row r="543" spans="6:6">
      <c r="F543" s="244"/>
    </row>
    <row r="544" spans="6:6">
      <c r="F544" s="244"/>
    </row>
    <row r="545" spans="6:6">
      <c r="F545" s="244"/>
    </row>
    <row r="546" spans="6:6">
      <c r="F546" s="244"/>
    </row>
    <row r="547" spans="6:6">
      <c r="F547" s="244"/>
    </row>
    <row r="548" spans="6:6">
      <c r="F548" s="244"/>
    </row>
    <row r="549" spans="6:6">
      <c r="F549" s="244"/>
    </row>
    <row r="550" spans="6:6">
      <c r="F550" s="244"/>
    </row>
    <row r="551" spans="6:6">
      <c r="F551" s="244"/>
    </row>
    <row r="552" spans="6:6">
      <c r="F552" s="244"/>
    </row>
    <row r="553" spans="6:6">
      <c r="F553" s="244"/>
    </row>
    <row r="554" spans="6:6">
      <c r="F554" s="244"/>
    </row>
    <row r="555" spans="6:6">
      <c r="F555" s="244"/>
    </row>
    <row r="556" spans="6:6">
      <c r="F556" s="244"/>
    </row>
    <row r="557" spans="6:6">
      <c r="F557" s="244"/>
    </row>
    <row r="558" spans="6:6">
      <c r="F558" s="244"/>
    </row>
    <row r="559" spans="6:6">
      <c r="F559" s="244"/>
    </row>
    <row r="560" spans="6:6">
      <c r="F560" s="244"/>
    </row>
    <row r="561" spans="6:6">
      <c r="F561" s="244"/>
    </row>
    <row r="562" spans="6:6">
      <c r="F562" s="244"/>
    </row>
    <row r="563" spans="6:6">
      <c r="F563" s="244"/>
    </row>
    <row r="564" spans="6:6">
      <c r="F564" s="244"/>
    </row>
    <row r="565" spans="6:6">
      <c r="F565" s="244"/>
    </row>
    <row r="566" spans="6:6">
      <c r="F566" s="244"/>
    </row>
    <row r="567" spans="6:6">
      <c r="F567" s="244"/>
    </row>
    <row r="568" spans="6:6">
      <c r="F568" s="244"/>
    </row>
    <row r="569" spans="6:6">
      <c r="F569" s="244"/>
    </row>
    <row r="570" spans="6:6">
      <c r="F570" s="244"/>
    </row>
    <row r="571" spans="6:6">
      <c r="F571" s="244"/>
    </row>
    <row r="572" spans="6:6">
      <c r="F572" s="244"/>
    </row>
    <row r="573" spans="6:6">
      <c r="F573" s="244"/>
    </row>
    <row r="574" spans="6:6">
      <c r="F574" s="244"/>
    </row>
    <row r="575" spans="6:6">
      <c r="F575" s="244"/>
    </row>
    <row r="576" spans="6:6">
      <c r="F576" s="244"/>
    </row>
    <row r="577" spans="6:6">
      <c r="F577" s="244"/>
    </row>
    <row r="578" spans="6:6">
      <c r="F578" s="244"/>
    </row>
    <row r="579" spans="6:6">
      <c r="F579" s="244"/>
    </row>
    <row r="580" spans="6:6">
      <c r="F580" s="244"/>
    </row>
    <row r="581" spans="6:6">
      <c r="F581" s="244"/>
    </row>
    <row r="582" spans="6:6">
      <c r="F582" s="244"/>
    </row>
    <row r="583" spans="6:6">
      <c r="F583" s="244"/>
    </row>
    <row r="584" spans="6:6">
      <c r="F584" s="244"/>
    </row>
    <row r="585" spans="6:6">
      <c r="F585" s="244"/>
    </row>
    <row r="586" spans="6:6">
      <c r="F586" s="244"/>
    </row>
    <row r="587" spans="6:6">
      <c r="F587" s="244"/>
    </row>
    <row r="588" spans="6:6">
      <c r="F588" s="244"/>
    </row>
    <row r="589" spans="6:6">
      <c r="F589" s="244"/>
    </row>
    <row r="590" spans="6:6">
      <c r="F590" s="244"/>
    </row>
    <row r="591" spans="6:6">
      <c r="F591" s="244"/>
    </row>
    <row r="592" spans="6:6">
      <c r="F592" s="244"/>
    </row>
    <row r="593" spans="6:6">
      <c r="F593" s="244"/>
    </row>
    <row r="594" spans="6:6">
      <c r="F594" s="244"/>
    </row>
    <row r="595" spans="6:6">
      <c r="F595" s="244"/>
    </row>
    <row r="596" spans="6:6">
      <c r="F596" s="244"/>
    </row>
    <row r="597" spans="6:6">
      <c r="F597" s="244"/>
    </row>
    <row r="598" spans="6:6">
      <c r="F598" s="244"/>
    </row>
    <row r="599" spans="6:6">
      <c r="F599" s="244"/>
    </row>
    <row r="600" spans="6:6">
      <c r="F600" s="244"/>
    </row>
    <row r="601" spans="6:6">
      <c r="F601" s="244"/>
    </row>
    <row r="602" spans="6:6">
      <c r="F602" s="244"/>
    </row>
    <row r="603" spans="6:6">
      <c r="F603" s="244"/>
    </row>
    <row r="604" spans="6:6">
      <c r="F604" s="244"/>
    </row>
    <row r="605" spans="6:6">
      <c r="F605" s="244"/>
    </row>
    <row r="606" spans="6:6">
      <c r="F606" s="244"/>
    </row>
    <row r="607" spans="6:6">
      <c r="F607" s="244"/>
    </row>
    <row r="608" spans="6:6">
      <c r="F608" s="244"/>
    </row>
    <row r="609" spans="6:6">
      <c r="F609" s="244"/>
    </row>
    <row r="610" spans="6:6">
      <c r="F610" s="244"/>
    </row>
    <row r="611" spans="6:6">
      <c r="F611" s="244"/>
    </row>
    <row r="612" spans="6:6">
      <c r="F612" s="244"/>
    </row>
    <row r="613" spans="6:6">
      <c r="F613" s="244"/>
    </row>
    <row r="614" spans="6:6">
      <c r="F614" s="244"/>
    </row>
    <row r="615" spans="6:6">
      <c r="F615" s="244"/>
    </row>
    <row r="616" spans="6:6">
      <c r="F616" s="244"/>
    </row>
    <row r="617" spans="6:6">
      <c r="F617" s="244"/>
    </row>
    <row r="618" spans="6:6">
      <c r="F618" s="244"/>
    </row>
    <row r="619" spans="6:6">
      <c r="F619" s="244"/>
    </row>
    <row r="620" spans="6:6">
      <c r="F620" s="244"/>
    </row>
    <row r="621" spans="6:6">
      <c r="F621" s="244"/>
    </row>
    <row r="622" spans="6:6">
      <c r="F622" s="244"/>
    </row>
    <row r="623" spans="6:6">
      <c r="F623" s="244"/>
    </row>
    <row r="624" spans="6:6">
      <c r="F624" s="244"/>
    </row>
    <row r="625" spans="6:6">
      <c r="F625" s="244"/>
    </row>
    <row r="626" spans="6:6">
      <c r="F626" s="244"/>
    </row>
    <row r="627" spans="6:6">
      <c r="F627" s="244"/>
    </row>
    <row r="628" spans="6:6">
      <c r="F628" s="244"/>
    </row>
    <row r="629" spans="6:6">
      <c r="F629" s="244"/>
    </row>
    <row r="630" spans="6:6">
      <c r="F630" s="244"/>
    </row>
    <row r="631" spans="6:6">
      <c r="F631" s="244"/>
    </row>
    <row r="632" spans="6:6">
      <c r="F632" s="244"/>
    </row>
    <row r="633" spans="6:6">
      <c r="F633" s="244"/>
    </row>
    <row r="634" spans="6:6">
      <c r="F634" s="244"/>
    </row>
    <row r="635" spans="6:6">
      <c r="F635" s="244"/>
    </row>
    <row r="636" spans="6:6">
      <c r="F636" s="244"/>
    </row>
    <row r="637" spans="6:6">
      <c r="F637" s="244"/>
    </row>
    <row r="638" spans="6:6">
      <c r="F638" s="244"/>
    </row>
    <row r="639" spans="6:6">
      <c r="F639" s="244"/>
    </row>
    <row r="640" spans="6:6">
      <c r="F640" s="244"/>
    </row>
    <row r="641" spans="6:6">
      <c r="F641" s="244"/>
    </row>
    <row r="642" spans="6:6">
      <c r="F642" s="244"/>
    </row>
    <row r="643" spans="6:6">
      <c r="F643" s="244"/>
    </row>
    <row r="644" spans="6:6">
      <c r="F644" s="244"/>
    </row>
    <row r="645" spans="6:6">
      <c r="F645" s="244"/>
    </row>
    <row r="646" spans="6:6">
      <c r="F646" s="244"/>
    </row>
    <row r="647" spans="6:6">
      <c r="F647" s="244"/>
    </row>
    <row r="648" spans="6:6">
      <c r="F648" s="244"/>
    </row>
    <row r="649" spans="6:6">
      <c r="F649" s="244"/>
    </row>
    <row r="650" spans="6:6">
      <c r="F650" s="244"/>
    </row>
    <row r="651" spans="6:6">
      <c r="F651" s="244"/>
    </row>
    <row r="652" spans="6:6">
      <c r="F652" s="244"/>
    </row>
    <row r="653" spans="6:6">
      <c r="F653" s="244"/>
    </row>
    <row r="654" spans="6:6">
      <c r="F654" s="244"/>
    </row>
    <row r="655" spans="6:6">
      <c r="F655" s="244"/>
    </row>
    <row r="656" spans="6:6">
      <c r="F656" s="244"/>
    </row>
    <row r="657" spans="6:6">
      <c r="F657" s="244"/>
    </row>
    <row r="658" spans="6:6">
      <c r="F658" s="244"/>
    </row>
    <row r="659" spans="6:6">
      <c r="F659" s="244"/>
    </row>
    <row r="660" spans="6:6">
      <c r="F660" s="244"/>
    </row>
    <row r="661" spans="6:6">
      <c r="F661" s="244"/>
    </row>
    <row r="662" spans="6:6">
      <c r="F662" s="244"/>
    </row>
    <row r="663" spans="6:6">
      <c r="F663" s="244"/>
    </row>
    <row r="664" spans="6:6">
      <c r="F664" s="244"/>
    </row>
    <row r="665" spans="6:6">
      <c r="F665" s="244"/>
    </row>
    <row r="666" spans="6:6">
      <c r="F666" s="244"/>
    </row>
    <row r="667" spans="6:6">
      <c r="F667" s="244"/>
    </row>
    <row r="668" spans="6:6">
      <c r="F668" s="244"/>
    </row>
    <row r="669" spans="6:6">
      <c r="F669" s="244"/>
    </row>
    <row r="670" spans="6:6">
      <c r="F670" s="244"/>
    </row>
    <row r="671" spans="6:6">
      <c r="F671" s="244"/>
    </row>
    <row r="672" spans="6:6">
      <c r="F672" s="244"/>
    </row>
    <row r="673" spans="6:6">
      <c r="F673" s="244"/>
    </row>
    <row r="674" spans="6:6">
      <c r="F674" s="244"/>
    </row>
    <row r="675" spans="6:6">
      <c r="F675" s="244"/>
    </row>
    <row r="676" spans="6:6">
      <c r="F676" s="244"/>
    </row>
    <row r="677" spans="6:6">
      <c r="F677" s="244"/>
    </row>
    <row r="678" spans="6:6">
      <c r="F678" s="244"/>
    </row>
    <row r="679" spans="6:6">
      <c r="F679" s="244"/>
    </row>
    <row r="680" spans="6:6">
      <c r="F680" s="244"/>
    </row>
    <row r="681" spans="6:6">
      <c r="F681" s="244"/>
    </row>
    <row r="682" spans="6:6">
      <c r="F682" s="244"/>
    </row>
    <row r="683" spans="6:6">
      <c r="F683" s="244"/>
    </row>
    <row r="684" spans="6:6">
      <c r="F684" s="244"/>
    </row>
    <row r="685" spans="6:6">
      <c r="F685" s="244"/>
    </row>
    <row r="686" spans="6:6">
      <c r="F686" s="244"/>
    </row>
    <row r="687" spans="6:6">
      <c r="F687" s="244"/>
    </row>
    <row r="688" spans="6:6">
      <c r="F688" s="244"/>
    </row>
    <row r="689" spans="6:6">
      <c r="F689" s="244"/>
    </row>
    <row r="690" spans="6:6">
      <c r="F690" s="244"/>
    </row>
    <row r="691" spans="6:6">
      <c r="F691" s="244"/>
    </row>
    <row r="692" spans="6:6">
      <c r="F692" s="244"/>
    </row>
    <row r="693" spans="6:6">
      <c r="F693" s="244"/>
    </row>
    <row r="694" spans="6:6">
      <c r="F694" s="244"/>
    </row>
    <row r="695" spans="6:6">
      <c r="F695" s="244"/>
    </row>
    <row r="696" spans="6:6">
      <c r="F696" s="244"/>
    </row>
    <row r="697" spans="6:6">
      <c r="F697" s="244"/>
    </row>
    <row r="698" spans="6:6">
      <c r="F698" s="244"/>
    </row>
    <row r="699" spans="6:6">
      <c r="F699" s="244"/>
    </row>
    <row r="700" spans="6:6">
      <c r="F700" s="244"/>
    </row>
    <row r="701" spans="6:6">
      <c r="F701" s="244"/>
    </row>
    <row r="702" spans="6:6">
      <c r="F702" s="244"/>
    </row>
    <row r="703" spans="6:6">
      <c r="F703" s="244"/>
    </row>
    <row r="704" spans="6:6">
      <c r="F704" s="244"/>
    </row>
    <row r="705" spans="6:6">
      <c r="F705" s="244"/>
    </row>
    <row r="706" spans="6:6">
      <c r="F706" s="244"/>
    </row>
    <row r="707" spans="6:6">
      <c r="F707" s="244"/>
    </row>
    <row r="708" spans="6:6">
      <c r="F708" s="244"/>
    </row>
    <row r="709" spans="6:6">
      <c r="F709" s="244"/>
    </row>
    <row r="710" spans="6:6">
      <c r="F710" s="244"/>
    </row>
    <row r="711" spans="6:6">
      <c r="F711" s="244"/>
    </row>
    <row r="712" spans="6:6">
      <c r="F712" s="244"/>
    </row>
    <row r="713" spans="6:6">
      <c r="F713" s="244"/>
    </row>
    <row r="714" spans="6:6">
      <c r="F714" s="244"/>
    </row>
    <row r="715" spans="6:6">
      <c r="F715" s="244"/>
    </row>
    <row r="716" spans="6:6">
      <c r="F716" s="244"/>
    </row>
    <row r="717" spans="6:6">
      <c r="F717" s="244"/>
    </row>
    <row r="718" spans="6:6">
      <c r="F718" s="244"/>
    </row>
    <row r="719" spans="6:6">
      <c r="F719" s="244"/>
    </row>
    <row r="720" spans="6:6">
      <c r="F720" s="244"/>
    </row>
    <row r="721" spans="6:6">
      <c r="F721" s="244"/>
    </row>
    <row r="722" spans="6:6">
      <c r="F722" s="244"/>
    </row>
    <row r="723" spans="6:6">
      <c r="F723" s="244"/>
    </row>
    <row r="724" spans="6:6">
      <c r="F724" s="244"/>
    </row>
    <row r="725" spans="6:6">
      <c r="F725" s="244"/>
    </row>
    <row r="726" spans="6:6">
      <c r="F726" s="244"/>
    </row>
    <row r="727" spans="6:6">
      <c r="F727" s="244"/>
    </row>
    <row r="728" spans="6:6">
      <c r="F728" s="244"/>
    </row>
    <row r="729" spans="6:6">
      <c r="F729" s="244"/>
    </row>
    <row r="730" spans="6:6">
      <c r="F730" s="244"/>
    </row>
    <row r="731" spans="6:6">
      <c r="F731" s="244"/>
    </row>
    <row r="732" spans="6:6">
      <c r="F732" s="244"/>
    </row>
    <row r="733" spans="6:6">
      <c r="F733" s="244"/>
    </row>
    <row r="734" spans="6:6">
      <c r="F734" s="244"/>
    </row>
    <row r="735" spans="6:6">
      <c r="F735" s="244"/>
    </row>
    <row r="736" spans="6:6">
      <c r="F736" s="244"/>
    </row>
    <row r="737" spans="6:6">
      <c r="F737" s="244"/>
    </row>
    <row r="738" spans="6:6">
      <c r="F738" s="244"/>
    </row>
    <row r="739" spans="6:6">
      <c r="F739" s="244"/>
    </row>
    <row r="740" spans="6:6">
      <c r="F740" s="244"/>
    </row>
    <row r="741" spans="6:6">
      <c r="F741" s="244"/>
    </row>
    <row r="742" spans="6:6">
      <c r="F742" s="244"/>
    </row>
    <row r="743" spans="6:6">
      <c r="F743" s="244"/>
    </row>
    <row r="744" spans="6:6">
      <c r="F744" s="244"/>
    </row>
    <row r="745" spans="6:6">
      <c r="F745" s="244"/>
    </row>
    <row r="746" spans="6:6">
      <c r="F746" s="244"/>
    </row>
    <row r="747" spans="6:6">
      <c r="F747" s="244"/>
    </row>
    <row r="748" spans="6:6">
      <c r="F748" s="244"/>
    </row>
    <row r="749" spans="6:6">
      <c r="F749" s="244"/>
    </row>
    <row r="750" spans="6:6">
      <c r="F750" s="244"/>
    </row>
    <row r="751" spans="6:6">
      <c r="F751" s="244"/>
    </row>
    <row r="752" spans="6:6">
      <c r="F752" s="244"/>
    </row>
    <row r="753" spans="6:6">
      <c r="F753" s="244"/>
    </row>
    <row r="754" spans="6:6">
      <c r="F754" s="244"/>
    </row>
    <row r="755" spans="6:6">
      <c r="F755" s="244"/>
    </row>
    <row r="756" spans="6:6">
      <c r="F756" s="244"/>
    </row>
    <row r="757" spans="6:6">
      <c r="F757" s="244"/>
    </row>
    <row r="758" spans="6:6">
      <c r="F758" s="244"/>
    </row>
    <row r="759" spans="6:6">
      <c r="F759" s="244"/>
    </row>
    <row r="760" spans="6:6">
      <c r="F760" s="244"/>
    </row>
    <row r="761" spans="6:6">
      <c r="F761" s="244"/>
    </row>
    <row r="762" spans="6:6">
      <c r="F762" s="244"/>
    </row>
    <row r="763" spans="6:6">
      <c r="F763" s="244"/>
    </row>
    <row r="764" spans="6:6">
      <c r="F764" s="244"/>
    </row>
    <row r="765" spans="6:6">
      <c r="F765" s="244"/>
    </row>
    <row r="766" spans="6:6">
      <c r="F766" s="244"/>
    </row>
    <row r="767" spans="6:6">
      <c r="F767" s="244"/>
    </row>
    <row r="768" spans="6:6">
      <c r="F768" s="244"/>
    </row>
    <row r="769" spans="6:6">
      <c r="F769" s="244"/>
    </row>
    <row r="770" spans="6:6">
      <c r="F770" s="244"/>
    </row>
    <row r="771" spans="6:6">
      <c r="F771" s="244"/>
    </row>
    <row r="772" spans="6:6">
      <c r="F772" s="244"/>
    </row>
    <row r="773" spans="6:6">
      <c r="F773" s="244"/>
    </row>
    <row r="774" spans="6:6">
      <c r="F774" s="244"/>
    </row>
    <row r="775" spans="6:6">
      <c r="F775" s="244"/>
    </row>
    <row r="776" spans="6:6">
      <c r="F776" s="244"/>
    </row>
    <row r="777" spans="6:6">
      <c r="F777" s="244"/>
    </row>
    <row r="778" spans="6:6">
      <c r="F778" s="244"/>
    </row>
    <row r="779" spans="6:6">
      <c r="F779" s="244"/>
    </row>
    <row r="780" spans="6:6">
      <c r="F780" s="244"/>
    </row>
    <row r="781" spans="6:6">
      <c r="F781" s="244"/>
    </row>
    <row r="782" spans="6:6">
      <c r="F782" s="244"/>
    </row>
    <row r="783" spans="6:6">
      <c r="F783" s="244"/>
    </row>
    <row r="784" spans="6:6">
      <c r="F784" s="244"/>
    </row>
    <row r="785" spans="6:6">
      <c r="F785" s="244"/>
    </row>
    <row r="786" spans="6:6">
      <c r="F786" s="244"/>
    </row>
    <row r="787" spans="6:6">
      <c r="F787" s="244"/>
    </row>
    <row r="788" spans="6:6">
      <c r="F788" s="244"/>
    </row>
    <row r="789" spans="6:6">
      <c r="F789" s="244"/>
    </row>
    <row r="790" spans="6:6">
      <c r="F790" s="244"/>
    </row>
    <row r="791" spans="6:6">
      <c r="F791" s="244"/>
    </row>
    <row r="792" spans="6:6">
      <c r="F792" s="244"/>
    </row>
    <row r="793" spans="6:6">
      <c r="F793" s="244"/>
    </row>
    <row r="794" spans="6:6">
      <c r="F794" s="244"/>
    </row>
    <row r="795" spans="6:6">
      <c r="F795" s="244"/>
    </row>
    <row r="796" spans="6:6">
      <c r="F796" s="244"/>
    </row>
    <row r="797" spans="6:6">
      <c r="F797" s="244"/>
    </row>
    <row r="798" spans="6:6">
      <c r="F798" s="244"/>
    </row>
    <row r="799" spans="6:6">
      <c r="F799" s="244"/>
    </row>
    <row r="800" spans="6:6">
      <c r="F800" s="244"/>
    </row>
    <row r="801" spans="6:6">
      <c r="F801" s="244"/>
    </row>
    <row r="802" spans="6:6">
      <c r="F802" s="244"/>
    </row>
    <row r="803" spans="6:6">
      <c r="F803" s="244"/>
    </row>
    <row r="804" spans="6:6">
      <c r="F804" s="244"/>
    </row>
    <row r="805" spans="6:6">
      <c r="F805" s="244"/>
    </row>
    <row r="806" spans="6:6">
      <c r="F806" s="244"/>
    </row>
    <row r="807" spans="6:6">
      <c r="F807" s="244"/>
    </row>
    <row r="808" spans="6:6">
      <c r="F808" s="244"/>
    </row>
    <row r="809" spans="6:6">
      <c r="F809" s="244"/>
    </row>
    <row r="810" spans="6:6">
      <c r="F810" s="244"/>
    </row>
    <row r="811" spans="6:6">
      <c r="F811" s="244"/>
    </row>
    <row r="812" spans="6:6">
      <c r="F812" s="244"/>
    </row>
    <row r="813" spans="6:6">
      <c r="F813" s="244"/>
    </row>
    <row r="814" spans="6:6">
      <c r="F814" s="244"/>
    </row>
    <row r="815" spans="6:6">
      <c r="F815" s="244"/>
    </row>
    <row r="816" spans="6:6">
      <c r="F816" s="244"/>
    </row>
    <row r="817" spans="6:6">
      <c r="F817" s="244"/>
    </row>
    <row r="818" spans="6:6">
      <c r="F818" s="244"/>
    </row>
    <row r="819" spans="6:6">
      <c r="F819" s="244"/>
    </row>
    <row r="820" spans="6:6">
      <c r="F820" s="244"/>
    </row>
    <row r="821" spans="6:6">
      <c r="F821" s="244"/>
    </row>
    <row r="822" spans="6:6">
      <c r="F822" s="244"/>
    </row>
    <row r="823" spans="6:6">
      <c r="F823" s="244"/>
    </row>
    <row r="824" spans="6:6">
      <c r="F824" s="244"/>
    </row>
    <row r="825" spans="6:6">
      <c r="F825" s="244"/>
    </row>
    <row r="826" spans="6:6">
      <c r="F826" s="244"/>
    </row>
    <row r="827" spans="6:6">
      <c r="F827" s="244"/>
    </row>
    <row r="828" spans="6:6">
      <c r="F828" s="244"/>
    </row>
    <row r="829" spans="6:6">
      <c r="F829" s="244"/>
    </row>
    <row r="830" spans="6:6">
      <c r="F830" s="244"/>
    </row>
    <row r="831" spans="6:6">
      <c r="F831" s="244"/>
    </row>
    <row r="832" spans="6:6">
      <c r="F832" s="244"/>
    </row>
    <row r="833" spans="6:6">
      <c r="F833" s="244"/>
    </row>
    <row r="834" spans="6:6">
      <c r="F834" s="244"/>
    </row>
    <row r="835" spans="6:6">
      <c r="F835" s="244"/>
    </row>
    <row r="836" spans="6:6">
      <c r="F836" s="244"/>
    </row>
    <row r="837" spans="6:6">
      <c r="F837" s="244"/>
    </row>
    <row r="838" spans="6:6">
      <c r="F838" s="244"/>
    </row>
    <row r="839" spans="6:6">
      <c r="F839" s="244"/>
    </row>
    <row r="840" spans="6:6">
      <c r="F840" s="244"/>
    </row>
    <row r="841" spans="6:6">
      <c r="F841" s="244"/>
    </row>
    <row r="842" spans="6:6">
      <c r="F842" s="244"/>
    </row>
    <row r="843" spans="6:6">
      <c r="F843" s="244"/>
    </row>
    <row r="844" spans="6:6">
      <c r="F844" s="244"/>
    </row>
    <row r="845" spans="6:6">
      <c r="F845" s="244"/>
    </row>
    <row r="846" spans="6:6">
      <c r="F846" s="244"/>
    </row>
    <row r="847" spans="6:6">
      <c r="F847" s="244"/>
    </row>
    <row r="848" spans="6:6">
      <c r="F848" s="244"/>
    </row>
    <row r="849" spans="6:6">
      <c r="F849" s="244"/>
    </row>
    <row r="850" spans="6:6">
      <c r="F850" s="244"/>
    </row>
    <row r="851" spans="6:6">
      <c r="F851" s="244"/>
    </row>
    <row r="852" spans="6:6">
      <c r="F852" s="244"/>
    </row>
    <row r="853" spans="6:6">
      <c r="F853" s="244"/>
    </row>
    <row r="854" spans="6:6">
      <c r="F854" s="244"/>
    </row>
    <row r="855" spans="6:6">
      <c r="F855" s="244"/>
    </row>
    <row r="856" spans="6:6">
      <c r="F856" s="244"/>
    </row>
    <row r="857" spans="6:6">
      <c r="F857" s="244"/>
    </row>
    <row r="858" spans="6:6">
      <c r="F858" s="244"/>
    </row>
    <row r="859" spans="6:6">
      <c r="F859" s="244"/>
    </row>
    <row r="860" spans="6:6">
      <c r="F860" s="244"/>
    </row>
    <row r="861" spans="6:6">
      <c r="F861" s="244"/>
    </row>
    <row r="862" spans="6:6">
      <c r="F862" s="244"/>
    </row>
    <row r="863" spans="6:6">
      <c r="F863" s="244"/>
    </row>
    <row r="864" spans="6:6">
      <c r="F864" s="244"/>
    </row>
    <row r="865" spans="6:6">
      <c r="F865" s="244"/>
    </row>
    <row r="866" spans="6:6">
      <c r="F866" s="244"/>
    </row>
    <row r="867" spans="6:6">
      <c r="F867" s="244"/>
    </row>
    <row r="868" spans="6:6">
      <c r="F868" s="244"/>
    </row>
    <row r="869" spans="6:6">
      <c r="F869" s="244"/>
    </row>
    <row r="870" spans="6:6">
      <c r="F870" s="244"/>
    </row>
    <row r="871" spans="6:6">
      <c r="F871" s="244"/>
    </row>
    <row r="872" spans="6:6">
      <c r="F872" s="244"/>
    </row>
    <row r="873" spans="6:6">
      <c r="F873" s="244"/>
    </row>
    <row r="874" spans="6:6">
      <c r="F874" s="244"/>
    </row>
    <row r="875" spans="6:6">
      <c r="F875" s="244"/>
    </row>
    <row r="876" spans="6:6">
      <c r="F876" s="244"/>
    </row>
    <row r="877" spans="6:6">
      <c r="F877" s="244"/>
    </row>
    <row r="878" spans="6:6">
      <c r="F878" s="244"/>
    </row>
    <row r="879" spans="6:6">
      <c r="F879" s="244"/>
    </row>
    <row r="880" spans="6:6">
      <c r="F880" s="244"/>
    </row>
    <row r="881" spans="6:6">
      <c r="F881" s="244"/>
    </row>
    <row r="882" spans="6:6">
      <c r="F882" s="244"/>
    </row>
    <row r="883" spans="6:6">
      <c r="F883" s="244"/>
    </row>
    <row r="884" spans="6:6">
      <c r="F884" s="244"/>
    </row>
    <row r="885" spans="6:6">
      <c r="F885" s="244"/>
    </row>
    <row r="886" spans="6:6">
      <c r="F886" s="244"/>
    </row>
    <row r="887" spans="6:6">
      <c r="F887" s="244"/>
    </row>
    <row r="888" spans="6:6">
      <c r="F888" s="244"/>
    </row>
    <row r="889" spans="6:6">
      <c r="F889" s="244"/>
    </row>
    <row r="890" spans="6:6">
      <c r="F890" s="244"/>
    </row>
    <row r="891" spans="6:6">
      <c r="F891" s="244"/>
    </row>
    <row r="892" spans="6:6">
      <c r="F892" s="244"/>
    </row>
    <row r="893" spans="6:6">
      <c r="F893" s="244"/>
    </row>
    <row r="894" spans="6:6">
      <c r="F894" s="244"/>
    </row>
    <row r="895" spans="6:6">
      <c r="F895" s="244"/>
    </row>
    <row r="896" spans="6:6">
      <c r="F896" s="244"/>
    </row>
    <row r="897" spans="6:6">
      <c r="F897" s="244"/>
    </row>
    <row r="898" spans="6:6">
      <c r="F898" s="244"/>
    </row>
    <row r="899" spans="6:6">
      <c r="F899" s="244"/>
    </row>
    <row r="900" spans="6:6">
      <c r="F900" s="244"/>
    </row>
    <row r="901" spans="6:6">
      <c r="F901" s="244"/>
    </row>
    <row r="902" spans="6:6">
      <c r="F902" s="244"/>
    </row>
    <row r="903" spans="6:6">
      <c r="F903" s="244"/>
    </row>
    <row r="904" spans="6:6">
      <c r="F904" s="244"/>
    </row>
    <row r="905" spans="6:6">
      <c r="F905" s="244"/>
    </row>
    <row r="906" spans="6:6">
      <c r="F906" s="244"/>
    </row>
    <row r="907" spans="6:6">
      <c r="F907" s="244"/>
    </row>
    <row r="908" spans="6:6">
      <c r="F908" s="244"/>
    </row>
    <row r="909" spans="6:6">
      <c r="F909" s="244"/>
    </row>
    <row r="910" spans="6:6">
      <c r="F910" s="244"/>
    </row>
    <row r="911" spans="6:6">
      <c r="F911" s="244"/>
    </row>
    <row r="912" spans="6:6">
      <c r="F912" s="244"/>
    </row>
    <row r="913" spans="6:6">
      <c r="F913" s="244"/>
    </row>
    <row r="914" spans="6:6">
      <c r="F914" s="244"/>
    </row>
    <row r="915" spans="6:6">
      <c r="F915" s="244"/>
    </row>
    <row r="916" spans="6:6">
      <c r="F916" s="244"/>
    </row>
    <row r="917" spans="6:6">
      <c r="F917" s="244"/>
    </row>
    <row r="918" spans="6:6">
      <c r="F918" s="244"/>
    </row>
    <row r="919" spans="6:6">
      <c r="F919" s="244"/>
    </row>
    <row r="920" spans="6:6">
      <c r="F920" s="244"/>
    </row>
    <row r="921" spans="6:6">
      <c r="F921" s="244"/>
    </row>
    <row r="922" spans="6:6">
      <c r="F922" s="244"/>
    </row>
    <row r="923" spans="6:6">
      <c r="F923" s="244"/>
    </row>
    <row r="924" spans="6:6">
      <c r="F924" s="244"/>
    </row>
    <row r="925" spans="6:6">
      <c r="F925" s="244"/>
    </row>
    <row r="926" spans="6:6">
      <c r="F926" s="244"/>
    </row>
    <row r="927" spans="6:6">
      <c r="F927" s="244"/>
    </row>
    <row r="928" spans="6:6">
      <c r="F928" s="244"/>
    </row>
    <row r="929" spans="6:6">
      <c r="F929" s="244"/>
    </row>
    <row r="930" spans="6:6">
      <c r="F930" s="244"/>
    </row>
    <row r="931" spans="6:6">
      <c r="F931" s="244"/>
    </row>
    <row r="932" spans="6:6">
      <c r="F932" s="244"/>
    </row>
    <row r="933" spans="6:6">
      <c r="F933" s="244"/>
    </row>
    <row r="934" spans="6:6">
      <c r="F934" s="244"/>
    </row>
    <row r="935" spans="6:6">
      <c r="F935" s="244"/>
    </row>
    <row r="936" spans="6:6">
      <c r="F936" s="244"/>
    </row>
    <row r="937" spans="6:6">
      <c r="F937" s="244"/>
    </row>
    <row r="938" spans="6:6">
      <c r="F938" s="244"/>
    </row>
    <row r="939" spans="6:6">
      <c r="F939" s="244"/>
    </row>
    <row r="940" spans="6:6">
      <c r="F940" s="244"/>
    </row>
    <row r="941" spans="6:6">
      <c r="F941" s="244"/>
    </row>
    <row r="942" spans="6:6">
      <c r="F942" s="244"/>
    </row>
    <row r="943" spans="6:6">
      <c r="F943" s="244"/>
    </row>
    <row r="944" spans="6:6">
      <c r="F944" s="244"/>
    </row>
    <row r="945" spans="6:6">
      <c r="F945" s="244"/>
    </row>
    <row r="946" spans="6:6">
      <c r="F946" s="244"/>
    </row>
    <row r="947" spans="6:6">
      <c r="F947" s="244"/>
    </row>
    <row r="948" spans="6:6">
      <c r="F948" s="244"/>
    </row>
    <row r="949" spans="6:6">
      <c r="F949" s="244"/>
    </row>
    <row r="950" spans="6:6">
      <c r="F950" s="244"/>
    </row>
    <row r="951" spans="6:6">
      <c r="F951" s="244"/>
    </row>
    <row r="952" spans="6:6">
      <c r="F952" s="244"/>
    </row>
    <row r="953" spans="6:6">
      <c r="F953" s="244"/>
    </row>
    <row r="954" spans="6:6">
      <c r="F954" s="244"/>
    </row>
    <row r="955" spans="6:6">
      <c r="F955" s="244"/>
    </row>
    <row r="956" spans="6:6">
      <c r="F956" s="244"/>
    </row>
    <row r="957" spans="6:6">
      <c r="F957" s="244"/>
    </row>
    <row r="958" spans="6:6">
      <c r="F958" s="244"/>
    </row>
    <row r="959" spans="6:6">
      <c r="F959" s="244"/>
    </row>
    <row r="960" spans="6:6">
      <c r="F960" s="244"/>
    </row>
    <row r="961" spans="6:6">
      <c r="F961" s="244"/>
    </row>
    <row r="962" spans="6:6">
      <c r="F962" s="244"/>
    </row>
    <row r="963" spans="6:6">
      <c r="F963" s="244"/>
    </row>
    <row r="964" spans="6:6">
      <c r="F964" s="244"/>
    </row>
    <row r="965" spans="6:6">
      <c r="F965" s="244"/>
    </row>
    <row r="966" spans="6:6">
      <c r="F966" s="244"/>
    </row>
    <row r="967" spans="6:6">
      <c r="F967" s="244"/>
    </row>
    <row r="968" spans="6:6">
      <c r="F968" s="244"/>
    </row>
    <row r="969" spans="6:6">
      <c r="F969" s="244"/>
    </row>
    <row r="970" spans="6:6">
      <c r="F970" s="244"/>
    </row>
    <row r="971" spans="6:6">
      <c r="F971" s="244"/>
    </row>
    <row r="972" spans="6:6">
      <c r="F972" s="244"/>
    </row>
    <row r="973" spans="6:6">
      <c r="F973" s="244"/>
    </row>
    <row r="974" spans="6:6">
      <c r="F974" s="244"/>
    </row>
    <row r="975" spans="6:6">
      <c r="F975" s="244"/>
    </row>
    <row r="976" spans="6:6">
      <c r="F976" s="244"/>
    </row>
    <row r="977" spans="6:6">
      <c r="F977" s="244"/>
    </row>
    <row r="978" spans="6:6">
      <c r="F978" s="244"/>
    </row>
    <row r="979" spans="6:6">
      <c r="F979" s="244"/>
    </row>
    <row r="980" spans="6:6">
      <c r="F980" s="244"/>
    </row>
    <row r="981" spans="6:6">
      <c r="F981" s="244"/>
    </row>
    <row r="982" spans="6:6">
      <c r="F982" s="244"/>
    </row>
    <row r="983" spans="6:6">
      <c r="F983" s="244"/>
    </row>
    <row r="984" spans="6:6">
      <c r="F984" s="244"/>
    </row>
    <row r="985" spans="6:6">
      <c r="F985" s="244"/>
    </row>
    <row r="986" spans="6:6">
      <c r="F986" s="244"/>
    </row>
    <row r="987" spans="6:6">
      <c r="F987" s="244"/>
    </row>
    <row r="988" spans="6:6">
      <c r="F988" s="244"/>
    </row>
    <row r="989" spans="6:6">
      <c r="F989" s="244"/>
    </row>
    <row r="990" spans="6:6">
      <c r="F990" s="244"/>
    </row>
    <row r="991" spans="6:6">
      <c r="F991" s="244"/>
    </row>
    <row r="992" spans="6:6">
      <c r="F992" s="244"/>
    </row>
    <row r="993" spans="6:6">
      <c r="F993" s="244"/>
    </row>
    <row r="994" spans="6:6">
      <c r="F994" s="244"/>
    </row>
    <row r="995" spans="6:6">
      <c r="F995" s="244"/>
    </row>
    <row r="996" spans="6:6">
      <c r="F996" s="244"/>
    </row>
    <row r="997" spans="6:6">
      <c r="F997" s="244"/>
    </row>
    <row r="998" spans="6:6">
      <c r="F998" s="244"/>
    </row>
    <row r="999" spans="6:6">
      <c r="F999" s="244"/>
    </row>
    <row r="1000" spans="6:6">
      <c r="F1000" s="244"/>
    </row>
    <row r="1001" spans="6:6">
      <c r="F1001" s="244"/>
    </row>
    <row r="1002" spans="6:6">
      <c r="F1002" s="244"/>
    </row>
    <row r="1003" spans="6:6">
      <c r="F1003" s="244"/>
    </row>
    <row r="1004" spans="6:6">
      <c r="F1004" s="244"/>
    </row>
    <row r="1005" spans="6:6">
      <c r="F1005" s="244"/>
    </row>
    <row r="1006" spans="6:6">
      <c r="F1006" s="244"/>
    </row>
    <row r="1007" spans="6:6">
      <c r="F1007" s="244"/>
    </row>
    <row r="1008" spans="6:6">
      <c r="F1008" s="244"/>
    </row>
    <row r="1009" spans="6:6">
      <c r="F1009" s="244"/>
    </row>
    <row r="1010" spans="6:6">
      <c r="F1010" s="244"/>
    </row>
    <row r="1011" spans="6:6">
      <c r="F1011" s="244"/>
    </row>
    <row r="1012" spans="6:6">
      <c r="F1012" s="244"/>
    </row>
    <row r="1013" spans="6:6">
      <c r="F1013" s="244"/>
    </row>
    <row r="1014" spans="6:6">
      <c r="F1014" s="244"/>
    </row>
    <row r="1015" spans="6:6">
      <c r="F1015" s="244"/>
    </row>
    <row r="1016" spans="6:6">
      <c r="F1016" s="244"/>
    </row>
    <row r="1017" spans="6:6">
      <c r="F1017" s="244"/>
    </row>
    <row r="1018" spans="6:6">
      <c r="F1018" s="244"/>
    </row>
    <row r="1019" spans="6:6">
      <c r="F1019" s="244"/>
    </row>
    <row r="1020" spans="6:6">
      <c r="F1020" s="244"/>
    </row>
    <row r="1021" spans="6:6">
      <c r="F1021" s="244"/>
    </row>
    <row r="1022" spans="6:6">
      <c r="F1022" s="244"/>
    </row>
    <row r="1023" spans="6:6">
      <c r="F1023" s="244"/>
    </row>
    <row r="1024" spans="6:6">
      <c r="F1024" s="244"/>
    </row>
    <row r="1025" spans="6:6">
      <c r="F1025" s="244"/>
    </row>
    <row r="1026" spans="6:6">
      <c r="F1026" s="244"/>
    </row>
    <row r="1027" spans="6:6">
      <c r="F1027" s="244"/>
    </row>
    <row r="1028" spans="6:6">
      <c r="F1028" s="244"/>
    </row>
    <row r="1029" spans="6:6">
      <c r="F1029" s="244"/>
    </row>
    <row r="1030" spans="6:6">
      <c r="F1030" s="244"/>
    </row>
    <row r="1031" spans="6:6">
      <c r="F1031" s="244"/>
    </row>
    <row r="1032" spans="6:6">
      <c r="F1032" s="244"/>
    </row>
    <row r="1033" spans="6:6">
      <c r="F1033" s="244"/>
    </row>
    <row r="1034" spans="6:6">
      <c r="F1034" s="244"/>
    </row>
    <row r="1035" spans="6:6">
      <c r="F1035" s="244"/>
    </row>
    <row r="1036" spans="6:6">
      <c r="F1036" s="244"/>
    </row>
    <row r="1037" spans="6:6">
      <c r="F1037" s="244"/>
    </row>
    <row r="1038" spans="6:6">
      <c r="F1038" s="244"/>
    </row>
    <row r="1039" spans="6:6">
      <c r="F1039" s="244"/>
    </row>
    <row r="1040" spans="6:6">
      <c r="F1040" s="244"/>
    </row>
    <row r="1041" spans="6:6">
      <c r="F1041" s="244"/>
    </row>
    <row r="1042" spans="6:6">
      <c r="F1042" s="244"/>
    </row>
    <row r="1043" spans="6:6">
      <c r="F1043" s="244"/>
    </row>
    <row r="1044" spans="6:6">
      <c r="F1044" s="244"/>
    </row>
    <row r="1045" spans="6:6">
      <c r="F1045" s="244"/>
    </row>
    <row r="1046" spans="6:6">
      <c r="F1046" s="244"/>
    </row>
    <row r="1047" spans="6:6">
      <c r="F1047" s="244"/>
    </row>
    <row r="1048" spans="6:6">
      <c r="F1048" s="244"/>
    </row>
    <row r="1049" spans="6:6">
      <c r="F1049" s="244"/>
    </row>
    <row r="1050" spans="6:6">
      <c r="F1050" s="244"/>
    </row>
    <row r="1051" spans="6:6">
      <c r="F1051" s="244"/>
    </row>
    <row r="1052" spans="6:6">
      <c r="F1052" s="244"/>
    </row>
    <row r="1053" spans="6:6">
      <c r="F1053" s="244"/>
    </row>
    <row r="1054" spans="6:6">
      <c r="F1054" s="244"/>
    </row>
    <row r="1055" spans="6:6">
      <c r="F1055" s="244"/>
    </row>
    <row r="1056" spans="6:6">
      <c r="F1056" s="244"/>
    </row>
    <row r="1057" spans="6:6">
      <c r="F1057" s="244"/>
    </row>
    <row r="1058" spans="6:6">
      <c r="F1058" s="244"/>
    </row>
    <row r="1059" spans="6:6">
      <c r="F1059" s="244"/>
    </row>
    <row r="1060" spans="6:6">
      <c r="F1060" s="244"/>
    </row>
    <row r="1061" spans="6:6">
      <c r="F1061" s="244"/>
    </row>
    <row r="1062" spans="6:6">
      <c r="F1062" s="244"/>
    </row>
    <row r="1063" spans="6:6">
      <c r="F1063" s="244"/>
    </row>
    <row r="1064" spans="6:6">
      <c r="F1064" s="244"/>
    </row>
    <row r="1065" spans="6:6">
      <c r="F1065" s="244"/>
    </row>
    <row r="1066" spans="6:6">
      <c r="F1066" s="244"/>
    </row>
    <row r="1067" spans="6:6">
      <c r="F1067" s="244"/>
    </row>
    <row r="1068" spans="6:6">
      <c r="F1068" s="244"/>
    </row>
    <row r="1069" spans="6:6">
      <c r="F1069" s="244"/>
    </row>
    <row r="1070" spans="6:6">
      <c r="F1070" s="244"/>
    </row>
    <row r="1071" spans="6:6">
      <c r="F1071" s="244"/>
    </row>
    <row r="1072" spans="6:6">
      <c r="F1072" s="244"/>
    </row>
    <row r="1073" spans="6:6">
      <c r="F1073" s="244"/>
    </row>
    <row r="1074" spans="6:6">
      <c r="F1074" s="244"/>
    </row>
    <row r="1075" spans="6:6">
      <c r="F1075" s="244"/>
    </row>
    <row r="1076" spans="6:6">
      <c r="F1076" s="244"/>
    </row>
    <row r="1077" spans="6:6">
      <c r="F1077" s="244"/>
    </row>
    <row r="1078" spans="6:6">
      <c r="F1078" s="244"/>
    </row>
    <row r="1079" spans="6:6">
      <c r="F1079" s="244"/>
    </row>
    <row r="1080" spans="6:6">
      <c r="F1080" s="244"/>
    </row>
    <row r="1081" spans="6:6">
      <c r="F1081" s="244"/>
    </row>
    <row r="1082" spans="6:6">
      <c r="F1082" s="244"/>
    </row>
    <row r="1083" spans="6:6">
      <c r="F1083" s="244"/>
    </row>
    <row r="1084" spans="6:6">
      <c r="F1084" s="244"/>
    </row>
    <row r="1085" spans="6:6">
      <c r="F1085" s="244"/>
    </row>
    <row r="1086" spans="6:6">
      <c r="F1086" s="244"/>
    </row>
    <row r="1087" spans="6:6">
      <c r="F1087" s="244"/>
    </row>
    <row r="1088" spans="6:6">
      <c r="F1088" s="244"/>
    </row>
    <row r="1089" spans="6:6">
      <c r="F1089" s="244"/>
    </row>
    <row r="1090" spans="6:6">
      <c r="F1090" s="244"/>
    </row>
    <row r="1091" spans="6:6">
      <c r="F1091" s="244"/>
    </row>
    <row r="1092" spans="6:6">
      <c r="F1092" s="244"/>
    </row>
    <row r="1093" spans="6:6">
      <c r="F1093" s="244"/>
    </row>
    <row r="1094" spans="6:6">
      <c r="F1094" s="244"/>
    </row>
    <row r="1095" spans="6:6">
      <c r="F1095" s="244"/>
    </row>
    <row r="1096" spans="6:6">
      <c r="F1096" s="244"/>
    </row>
    <row r="1097" spans="6:6">
      <c r="F1097" s="244"/>
    </row>
    <row r="1098" spans="6:6">
      <c r="F1098" s="244"/>
    </row>
    <row r="1099" spans="6:6">
      <c r="F1099" s="244"/>
    </row>
    <row r="1100" spans="6:6">
      <c r="F1100" s="244"/>
    </row>
    <row r="1101" spans="6:6">
      <c r="F1101" s="244"/>
    </row>
    <row r="1102" spans="6:6">
      <c r="F1102" s="244"/>
    </row>
    <row r="1103" spans="6:6">
      <c r="F1103" s="244"/>
    </row>
    <row r="1104" spans="6:6">
      <c r="F1104" s="244"/>
    </row>
    <row r="1105" spans="6:6">
      <c r="F1105" s="244"/>
    </row>
    <row r="1106" spans="6:6">
      <c r="F1106" s="244"/>
    </row>
    <row r="1107" spans="6:6">
      <c r="F1107" s="244"/>
    </row>
    <row r="1108" spans="6:6">
      <c r="F1108" s="244"/>
    </row>
    <row r="1109" spans="6:6">
      <c r="F1109" s="244"/>
    </row>
    <row r="1110" spans="6:6">
      <c r="F1110" s="244"/>
    </row>
    <row r="1111" spans="6:6">
      <c r="F1111" s="244"/>
    </row>
    <row r="1112" spans="6:6">
      <c r="F1112" s="244"/>
    </row>
    <row r="1113" spans="6:6">
      <c r="F1113" s="244"/>
    </row>
    <row r="1114" spans="6:6">
      <c r="F1114" s="244"/>
    </row>
    <row r="1115" spans="6:6">
      <c r="F1115" s="244"/>
    </row>
    <row r="1116" spans="6:6">
      <c r="F1116" s="244"/>
    </row>
    <row r="1117" spans="6:6">
      <c r="F1117" s="244"/>
    </row>
    <row r="1118" spans="6:6">
      <c r="F1118" s="244"/>
    </row>
    <row r="1119" spans="6:6">
      <c r="F1119" s="244"/>
    </row>
    <row r="1120" spans="6:6">
      <c r="F1120" s="244"/>
    </row>
    <row r="1121" spans="6:6">
      <c r="F1121" s="244"/>
    </row>
    <row r="1122" spans="6:6">
      <c r="F1122" s="244"/>
    </row>
    <row r="1123" spans="6:6">
      <c r="F1123" s="244"/>
    </row>
    <row r="1124" spans="6:6">
      <c r="F1124" s="244"/>
    </row>
    <row r="1125" spans="6:6">
      <c r="F1125" s="244"/>
    </row>
    <row r="1126" spans="6:6">
      <c r="F1126" s="244"/>
    </row>
    <row r="1127" spans="6:6">
      <c r="F1127" s="244"/>
    </row>
    <row r="1128" spans="6:6">
      <c r="F1128" s="244"/>
    </row>
    <row r="1129" spans="6:6">
      <c r="F1129" s="244"/>
    </row>
    <row r="1130" spans="6:6">
      <c r="F1130" s="244"/>
    </row>
    <row r="1131" spans="6:6">
      <c r="F1131" s="244"/>
    </row>
    <row r="1132" spans="6:6">
      <c r="F1132" s="244"/>
    </row>
    <row r="1133" spans="6:6">
      <c r="F1133" s="244"/>
    </row>
    <row r="1134" spans="6:6">
      <c r="F1134" s="244"/>
    </row>
    <row r="1135" spans="6:6">
      <c r="F1135" s="244"/>
    </row>
    <row r="1136" spans="6:6">
      <c r="F1136" s="244"/>
    </row>
    <row r="1137" spans="6:6">
      <c r="F1137" s="244"/>
    </row>
    <row r="1138" spans="6:6">
      <c r="F1138" s="244"/>
    </row>
    <row r="1139" spans="6:6">
      <c r="F1139" s="244"/>
    </row>
    <row r="1140" spans="6:6">
      <c r="F1140" s="244"/>
    </row>
    <row r="1141" spans="6:6">
      <c r="F1141" s="244"/>
    </row>
    <row r="1142" spans="6:6">
      <c r="F1142" s="244"/>
    </row>
    <row r="1143" spans="6:6">
      <c r="F1143" s="244"/>
    </row>
    <row r="1144" spans="6:6">
      <c r="F1144" s="244"/>
    </row>
    <row r="1145" spans="6:6">
      <c r="F1145" s="244"/>
    </row>
    <row r="1146" spans="6:6">
      <c r="F1146" s="244"/>
    </row>
    <row r="1147" spans="6:6">
      <c r="F1147" s="244"/>
    </row>
    <row r="1148" spans="6:6">
      <c r="F1148" s="244"/>
    </row>
    <row r="1149" spans="6:6">
      <c r="F1149" s="244"/>
    </row>
    <row r="1150" spans="6:6">
      <c r="F1150" s="244"/>
    </row>
    <row r="1151" spans="6:6">
      <c r="F1151" s="244"/>
    </row>
    <row r="1152" spans="6:6">
      <c r="F1152" s="244"/>
    </row>
    <row r="1153" spans="6:6">
      <c r="F1153" s="244"/>
    </row>
    <row r="1154" spans="6:6">
      <c r="F1154" s="244"/>
    </row>
    <row r="1155" spans="6:6">
      <c r="F1155" s="244"/>
    </row>
    <row r="1156" spans="6:6">
      <c r="F1156" s="244"/>
    </row>
    <row r="1157" spans="6:6">
      <c r="F1157" s="244"/>
    </row>
    <row r="1158" spans="6:6">
      <c r="F1158" s="244"/>
    </row>
    <row r="1159" spans="6:6">
      <c r="F1159" s="244"/>
    </row>
    <row r="1160" spans="6:6">
      <c r="F1160" s="244"/>
    </row>
    <row r="1161" spans="6:6">
      <c r="F1161" s="244"/>
    </row>
    <row r="1162" spans="6:6">
      <c r="F1162" s="244"/>
    </row>
    <row r="1163" spans="6:6">
      <c r="F1163" s="244"/>
    </row>
    <row r="1164" spans="6:6">
      <c r="F1164" s="244"/>
    </row>
    <row r="1165" spans="6:6">
      <c r="F1165" s="244"/>
    </row>
    <row r="1166" spans="6:6">
      <c r="F1166" s="244"/>
    </row>
    <row r="1167" spans="6:6">
      <c r="F1167" s="244"/>
    </row>
    <row r="1168" spans="6:6">
      <c r="F1168" s="244"/>
    </row>
    <row r="1169" spans="6:6">
      <c r="F1169" s="244"/>
    </row>
    <row r="1170" spans="6:6">
      <c r="F1170" s="244"/>
    </row>
    <row r="1171" spans="6:6">
      <c r="F1171" s="244"/>
    </row>
    <row r="1172" spans="6:6">
      <c r="F1172" s="244"/>
    </row>
    <row r="1173" spans="6:6">
      <c r="F1173" s="244"/>
    </row>
    <row r="1174" spans="6:6">
      <c r="F1174" s="244"/>
    </row>
    <row r="1175" spans="6:6">
      <c r="F1175" s="244"/>
    </row>
    <row r="1176" spans="6:6">
      <c r="F1176" s="244"/>
    </row>
    <row r="1177" spans="6:6">
      <c r="F1177" s="244"/>
    </row>
    <row r="1178" spans="6:6">
      <c r="F1178" s="244"/>
    </row>
    <row r="1179" spans="6:6">
      <c r="F1179" s="244"/>
    </row>
    <row r="1180" spans="6:6">
      <c r="F1180" s="244"/>
    </row>
    <row r="1181" spans="6:6">
      <c r="F1181" s="244"/>
    </row>
    <row r="1182" spans="6:6">
      <c r="F1182" s="244"/>
    </row>
    <row r="1183" spans="6:6">
      <c r="F1183" s="244"/>
    </row>
  </sheetData>
  <sheetProtection algorithmName="SHA-512" hashValue="4nnXTUmH0sj2/uS8z2npjJDm4v1q8r2rjHbJ16Xe9OnuH4XeocQGqAA7Ys934kiDBrc77nM7OEograKokqhV6g==" saltValue="Q9wzmr+2HiAh8QyZcdFcVg==" spinCount="100000" sheet="1" objects="1" scenarios="1"/>
  <protectedRanges>
    <protectedRange sqref="A7:D7 C95:D95 A60:D60"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7" max="5" man="1"/>
    <brk id="112" max="5" man="1"/>
  </rowBreaks>
  <ignoredErrors>
    <ignoredError sqref="C106:C112 C97:C101 C70:C71 C10:C45 C62:C68 C72:C86 C89:C91 C46:C57" numberStoredAsText="1"/>
    <ignoredError sqref="F117:F127 F106:F109 F70:F71 F53:F55 F10:F45 F97:F101 F63:F68 F72:F87 F88 F89:F91 F46:F5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heetViews>
  <sheetFormatPr defaultColWidth="9.140625" defaultRowHeight="15.75"/>
  <cols>
    <col min="1" max="1" width="5.28515625" style="265" customWidth="1"/>
    <col min="2" max="2" width="84.42578125" style="265" customWidth="1"/>
    <col min="3" max="3" width="14.85546875" style="265" customWidth="1"/>
    <col min="4" max="4" width="14" style="265" customWidth="1"/>
    <col min="5" max="5" width="15.42578125" style="265" customWidth="1"/>
    <col min="6" max="6" width="9.140625" style="265"/>
    <col min="7" max="7" width="10.85546875" style="265" customWidth="1"/>
    <col min="8" max="16384" width="9.140625" style="265"/>
  </cols>
  <sheetData>
    <row r="1" spans="2:7" ht="26.25">
      <c r="B1" s="879" t="s">
        <v>11</v>
      </c>
      <c r="C1" s="879"/>
      <c r="D1" s="879"/>
      <c r="E1" s="879"/>
      <c r="F1" s="264"/>
      <c r="G1" s="264"/>
    </row>
    <row r="2" spans="2:7" ht="26.25">
      <c r="B2" s="879" t="s">
        <v>764</v>
      </c>
      <c r="C2" s="879"/>
      <c r="D2" s="879"/>
      <c r="E2" s="879"/>
      <c r="F2" s="264"/>
      <c r="G2" s="264"/>
    </row>
    <row r="3" spans="2:7" ht="21">
      <c r="B3" s="869"/>
      <c r="C3" s="869"/>
      <c r="D3" s="869"/>
      <c r="E3" s="869"/>
      <c r="F3" s="264"/>
      <c r="G3" s="264"/>
    </row>
    <row r="4" spans="2:7" ht="21.75" thickBot="1">
      <c r="B4" s="980"/>
      <c r="C4" s="980"/>
      <c r="D4" s="980"/>
      <c r="E4" s="980"/>
      <c r="F4" s="264"/>
      <c r="G4" s="264"/>
    </row>
    <row r="5" spans="2:7" ht="48" customHeight="1">
      <c r="B5" s="862" t="s">
        <v>617</v>
      </c>
      <c r="C5" s="960" t="s">
        <v>618</v>
      </c>
      <c r="D5" s="961"/>
      <c r="E5" s="962"/>
    </row>
    <row r="6" spans="2:7">
      <c r="B6" s="863"/>
      <c r="C6" s="850" t="s">
        <v>619</v>
      </c>
      <c r="D6" s="737" t="s">
        <v>620</v>
      </c>
      <c r="E6" s="738" t="s">
        <v>621</v>
      </c>
    </row>
    <row r="7" spans="2:7" ht="29.25" customHeight="1">
      <c r="B7" s="864"/>
      <c r="C7" s="851"/>
      <c r="D7" s="739">
        <v>-0.1</v>
      </c>
      <c r="E7" s="740">
        <v>0.15</v>
      </c>
    </row>
    <row r="8" spans="2:7" ht="15" customHeight="1">
      <c r="B8" s="741" t="s">
        <v>193</v>
      </c>
      <c r="C8" s="742">
        <v>71.975999999999999</v>
      </c>
      <c r="D8" s="742">
        <v>64.78</v>
      </c>
      <c r="E8" s="743">
        <v>82.78</v>
      </c>
    </row>
    <row r="9" spans="2:7" ht="15" customHeight="1">
      <c r="B9" s="744" t="s">
        <v>622</v>
      </c>
      <c r="C9" s="745">
        <v>3.6</v>
      </c>
      <c r="D9" s="745">
        <v>3.24</v>
      </c>
      <c r="E9" s="746">
        <v>4.1399999999999997</v>
      </c>
    </row>
    <row r="10" spans="2:7" ht="15" customHeight="1">
      <c r="B10" s="744" t="s">
        <v>623</v>
      </c>
      <c r="C10" s="745">
        <v>3.6</v>
      </c>
      <c r="D10" s="745">
        <v>3.24</v>
      </c>
      <c r="E10" s="746">
        <v>4.1399999999999997</v>
      </c>
    </row>
    <row r="11" spans="2:7" ht="15" customHeight="1">
      <c r="B11" s="747" t="s">
        <v>624</v>
      </c>
      <c r="C11" s="745">
        <v>7.2</v>
      </c>
      <c r="D11" s="745">
        <v>6.48</v>
      </c>
      <c r="E11" s="746">
        <v>8.2799999999999994</v>
      </c>
      <c r="F11" s="172"/>
    </row>
    <row r="12" spans="2:7" ht="15" customHeight="1">
      <c r="B12" s="748" t="s">
        <v>625</v>
      </c>
      <c r="C12" s="749"/>
      <c r="D12" s="749"/>
      <c r="E12" s="750"/>
    </row>
    <row r="13" spans="2:7" ht="42.6" customHeight="1">
      <c r="B13" s="865" t="s">
        <v>626</v>
      </c>
      <c r="C13" s="957" t="s">
        <v>618</v>
      </c>
      <c r="D13" s="958"/>
      <c r="E13" s="959"/>
    </row>
    <row r="14" spans="2:7">
      <c r="B14" s="863"/>
      <c r="C14" s="850" t="s">
        <v>619</v>
      </c>
      <c r="D14" s="751" t="s">
        <v>620</v>
      </c>
      <c r="E14" s="752" t="s">
        <v>621</v>
      </c>
    </row>
    <row r="15" spans="2:7">
      <c r="B15" s="864"/>
      <c r="C15" s="851"/>
      <c r="D15" s="739">
        <f>D7</f>
        <v>-0.1</v>
      </c>
      <c r="E15" s="740">
        <f>E7</f>
        <v>0.15</v>
      </c>
    </row>
    <row r="16" spans="2:7" ht="15" customHeight="1">
      <c r="B16" s="753" t="s">
        <v>193</v>
      </c>
      <c r="C16" s="745">
        <v>71.975999999999999</v>
      </c>
      <c r="D16" s="745">
        <v>64.78</v>
      </c>
      <c r="E16" s="746">
        <v>82.78</v>
      </c>
    </row>
    <row r="17" spans="2:5" ht="15" customHeight="1">
      <c r="B17" s="753" t="s">
        <v>627</v>
      </c>
      <c r="C17" s="745">
        <v>215.93799999999999</v>
      </c>
      <c r="D17" s="745">
        <v>194.35</v>
      </c>
      <c r="E17" s="746">
        <v>248.33</v>
      </c>
    </row>
    <row r="18" spans="2:5" ht="15" customHeight="1">
      <c r="B18" s="748" t="s">
        <v>628</v>
      </c>
      <c r="C18" s="745">
        <v>14.4</v>
      </c>
      <c r="D18" s="745">
        <v>12.96</v>
      </c>
      <c r="E18" s="746">
        <v>16.559999999999999</v>
      </c>
    </row>
    <row r="19" spans="2:5" ht="15" customHeight="1">
      <c r="B19" s="748" t="s">
        <v>629</v>
      </c>
      <c r="C19" s="745">
        <v>14.4</v>
      </c>
      <c r="D19" s="745">
        <v>12.96</v>
      </c>
      <c r="E19" s="746">
        <v>16.559999999999999</v>
      </c>
    </row>
    <row r="20" spans="2:5" ht="15" customHeight="1">
      <c r="B20" s="754" t="s">
        <v>630</v>
      </c>
      <c r="C20" s="745">
        <v>7.2</v>
      </c>
      <c r="D20" s="745">
        <v>6.48</v>
      </c>
      <c r="E20" s="746">
        <v>8.2799999999999994</v>
      </c>
    </row>
    <row r="21" spans="2:5" ht="15" customHeight="1" thickBot="1">
      <c r="B21" s="755" t="s">
        <v>631</v>
      </c>
      <c r="C21" s="756">
        <v>57.58</v>
      </c>
      <c r="D21" s="756">
        <v>51.83</v>
      </c>
      <c r="E21" s="757">
        <v>66.22</v>
      </c>
    </row>
    <row r="22" spans="2:5" ht="16.5" thickBot="1">
      <c r="B22" s="266"/>
    </row>
    <row r="23" spans="2:5" ht="34.35" customHeight="1">
      <c r="B23" s="866" t="s">
        <v>632</v>
      </c>
      <c r="C23" s="963" t="s">
        <v>618</v>
      </c>
      <c r="D23" s="964"/>
      <c r="E23" s="965"/>
    </row>
    <row r="24" spans="2:5">
      <c r="B24" s="867"/>
      <c r="C24" s="850" t="s">
        <v>619</v>
      </c>
      <c r="D24" s="737" t="s">
        <v>620</v>
      </c>
      <c r="E24" s="758" t="s">
        <v>621</v>
      </c>
    </row>
    <row r="25" spans="2:5">
      <c r="B25" s="868"/>
      <c r="C25" s="851"/>
      <c r="D25" s="739">
        <v>0</v>
      </c>
      <c r="E25" s="759">
        <v>0</v>
      </c>
    </row>
    <row r="26" spans="2:5" ht="15" customHeight="1">
      <c r="B26" s="760" t="s">
        <v>193</v>
      </c>
      <c r="C26" s="745">
        <v>91.79</v>
      </c>
      <c r="D26" s="745">
        <f>ROUND(C26*(1+D25),2)</f>
        <v>91.79</v>
      </c>
      <c r="E26" s="761">
        <f>ROUND(C26*(1+E25),2)</f>
        <v>91.79</v>
      </c>
    </row>
    <row r="27" spans="2:5" ht="15" customHeight="1">
      <c r="B27" s="762" t="s">
        <v>622</v>
      </c>
      <c r="C27" s="745">
        <v>4.59</v>
      </c>
      <c r="D27" s="745">
        <v>4.59</v>
      </c>
      <c r="E27" s="761">
        <v>4.59</v>
      </c>
    </row>
    <row r="28" spans="2:5" ht="15" customHeight="1">
      <c r="B28" s="762" t="s">
        <v>623</v>
      </c>
      <c r="C28" s="745">
        <v>4.59</v>
      </c>
      <c r="D28" s="745">
        <v>4.59</v>
      </c>
      <c r="E28" s="761">
        <v>4.59</v>
      </c>
    </row>
    <row r="29" spans="2:5" ht="15" customHeight="1">
      <c r="B29" s="763" t="s">
        <v>624</v>
      </c>
      <c r="C29" s="745">
        <v>9.18</v>
      </c>
      <c r="D29" s="745">
        <v>9.18</v>
      </c>
      <c r="E29" s="761">
        <v>9.18</v>
      </c>
    </row>
    <row r="30" spans="2:5" ht="15" customHeight="1">
      <c r="B30" s="762" t="s">
        <v>633</v>
      </c>
      <c r="C30" s="749"/>
      <c r="D30" s="749"/>
      <c r="E30" s="764"/>
    </row>
    <row r="31" spans="2:5" ht="41.45" customHeight="1">
      <c r="B31" s="857" t="s">
        <v>634</v>
      </c>
      <c r="C31" s="957" t="s">
        <v>618</v>
      </c>
      <c r="D31" s="958"/>
      <c r="E31" s="966"/>
    </row>
    <row r="32" spans="2:5">
      <c r="B32" s="858"/>
      <c r="C32" s="850" t="s">
        <v>619</v>
      </c>
      <c r="D32" s="737" t="s">
        <v>620</v>
      </c>
      <c r="E32" s="758" t="s">
        <v>621</v>
      </c>
    </row>
    <row r="33" spans="2:7">
      <c r="B33" s="859"/>
      <c r="C33" s="851"/>
      <c r="D33" s="739">
        <f>D25</f>
        <v>0</v>
      </c>
      <c r="E33" s="759">
        <f>E25</f>
        <v>0</v>
      </c>
    </row>
    <row r="34" spans="2:7" ht="15" customHeight="1">
      <c r="B34" s="760" t="s">
        <v>193</v>
      </c>
      <c r="C34" s="745">
        <v>91.79</v>
      </c>
      <c r="D34" s="745">
        <f>ROUND(C34*(1+D33),2)</f>
        <v>91.79</v>
      </c>
      <c r="E34" s="761">
        <f>ROUND(C34*(1+E33),2)</f>
        <v>91.79</v>
      </c>
    </row>
    <row r="35" spans="2:7" ht="15" customHeight="1">
      <c r="B35" s="760" t="s">
        <v>627</v>
      </c>
      <c r="C35" s="765" t="s">
        <v>635</v>
      </c>
      <c r="D35" s="765" t="s">
        <v>635</v>
      </c>
      <c r="E35" s="766" t="s">
        <v>635</v>
      </c>
    </row>
    <row r="36" spans="2:7" ht="15" customHeight="1">
      <c r="B36" s="762" t="s">
        <v>628</v>
      </c>
      <c r="C36" s="765" t="s">
        <v>635</v>
      </c>
      <c r="D36" s="765" t="s">
        <v>635</v>
      </c>
      <c r="E36" s="766" t="s">
        <v>635</v>
      </c>
    </row>
    <row r="37" spans="2:7" ht="15" customHeight="1">
      <c r="B37" s="762" t="s">
        <v>629</v>
      </c>
      <c r="C37" s="765" t="s">
        <v>635</v>
      </c>
      <c r="D37" s="765" t="s">
        <v>635</v>
      </c>
      <c r="E37" s="766" t="s">
        <v>635</v>
      </c>
    </row>
    <row r="38" spans="2:7" ht="15" customHeight="1">
      <c r="B38" s="763" t="s">
        <v>630</v>
      </c>
      <c r="C38" s="745">
        <f>C29</f>
        <v>9.18</v>
      </c>
      <c r="D38" s="745">
        <f>D29</f>
        <v>9.18</v>
      </c>
      <c r="E38" s="761">
        <f>E29</f>
        <v>9.18</v>
      </c>
    </row>
    <row r="39" spans="2:7" ht="15" customHeight="1" thickBot="1">
      <c r="B39" s="767" t="s">
        <v>631</v>
      </c>
      <c r="C39" s="768" t="s">
        <v>635</v>
      </c>
      <c r="D39" s="768" t="s">
        <v>635</v>
      </c>
      <c r="E39" s="769" t="s">
        <v>635</v>
      </c>
    </row>
    <row r="40" spans="2:7">
      <c r="B40" s="266"/>
      <c r="C40" s="267"/>
      <c r="D40" s="267"/>
      <c r="E40" s="267"/>
    </row>
    <row r="41" spans="2:7">
      <c r="B41" s="268" t="s">
        <v>636</v>
      </c>
      <c r="C41" s="269"/>
      <c r="D41" s="269"/>
      <c r="E41" s="269"/>
    </row>
    <row r="42" spans="2:7" ht="48" customHeight="1">
      <c r="B42" s="860" t="s">
        <v>637</v>
      </c>
      <c r="C42" s="860"/>
      <c r="D42" s="860"/>
      <c r="E42" s="860"/>
    </row>
    <row r="43" spans="2:7">
      <c r="B43" s="860"/>
      <c r="C43" s="860"/>
      <c r="D43" s="860"/>
      <c r="E43" s="860"/>
    </row>
    <row r="44" spans="2:7">
      <c r="B44" s="270"/>
      <c r="C44" s="270"/>
      <c r="D44" s="270"/>
      <c r="E44" s="270"/>
    </row>
    <row r="45" spans="2:7">
      <c r="B45" s="265" t="s">
        <v>638</v>
      </c>
      <c r="C45" s="270"/>
      <c r="D45" s="270"/>
      <c r="E45" s="270"/>
    </row>
    <row r="46" spans="2:7">
      <c r="B46" s="271" t="str">
        <f>"the maximum tuition rate.  Maximum credit tuition rate = "&amp;TEXT(E16,"$0.00")</f>
        <v>the maximum tuition rate.  Maximum credit tuition rate = $82.78</v>
      </c>
      <c r="C46" s="901"/>
    </row>
    <row r="47" spans="2:7">
      <c r="B47" s="271" t="s">
        <v>639</v>
      </c>
      <c r="G47" s="902"/>
    </row>
    <row r="49" spans="2:5" ht="15" customHeight="1">
      <c r="B49" s="860"/>
      <c r="C49" s="860"/>
      <c r="D49" s="860"/>
      <c r="E49" s="860"/>
    </row>
    <row r="50" spans="2:5">
      <c r="B50" s="860"/>
      <c r="C50" s="860"/>
      <c r="D50" s="860"/>
      <c r="E50" s="860"/>
    </row>
    <row r="51" spans="2:5">
      <c r="B51" s="860"/>
      <c r="C51" s="860"/>
      <c r="D51" s="860"/>
      <c r="E51" s="860"/>
    </row>
    <row r="52" spans="2:5" ht="21">
      <c r="B52" s="869" t="str">
        <f>B1</f>
        <v>THE FLORIDA COLLEGE SYSTEM</v>
      </c>
      <c r="C52" s="869"/>
      <c r="D52" s="869"/>
      <c r="E52" s="869"/>
    </row>
    <row r="53" spans="2:5" ht="21">
      <c r="B53" s="869" t="str">
        <f>B2&amp;" , cont."</f>
        <v>FALL 2025-26 TUITION INCREASED BY 0% , cont.</v>
      </c>
      <c r="C53" s="869"/>
      <c r="D53" s="869"/>
      <c r="E53" s="869"/>
    </row>
    <row r="54" spans="2:5" ht="21">
      <c r="B54" s="869"/>
      <c r="C54" s="869"/>
      <c r="D54" s="869"/>
      <c r="E54" s="869"/>
    </row>
    <row r="55" spans="2:5" ht="16.5" thickBot="1">
      <c r="B55" s="266"/>
      <c r="C55" s="267"/>
      <c r="D55" s="267"/>
      <c r="E55" s="267"/>
    </row>
    <row r="56" spans="2:5" ht="33" customHeight="1">
      <c r="B56" s="852" t="s">
        <v>640</v>
      </c>
      <c r="C56" s="963" t="s">
        <v>618</v>
      </c>
      <c r="D56" s="964"/>
      <c r="E56" s="965"/>
    </row>
    <row r="57" spans="2:5">
      <c r="B57" s="853"/>
      <c r="C57" s="850" t="s">
        <v>619</v>
      </c>
      <c r="D57" s="737" t="s">
        <v>620</v>
      </c>
      <c r="E57" s="758" t="s">
        <v>621</v>
      </c>
    </row>
    <row r="58" spans="2:5">
      <c r="B58" s="854"/>
      <c r="C58" s="851"/>
      <c r="D58" s="739">
        <v>-0.05</v>
      </c>
      <c r="E58" s="759">
        <v>0.05</v>
      </c>
    </row>
    <row r="59" spans="2:5" ht="15" customHeight="1">
      <c r="B59" s="760" t="s">
        <v>193</v>
      </c>
      <c r="C59" s="745">
        <v>69.900000000000006</v>
      </c>
      <c r="D59" s="745">
        <f>ROUND(C59*(1+D58),2)</f>
        <v>66.41</v>
      </c>
      <c r="E59" s="761">
        <f>ROUND(C59*(1+E58),2)</f>
        <v>73.400000000000006</v>
      </c>
    </row>
    <row r="60" spans="2:5" ht="15" customHeight="1">
      <c r="B60" s="762" t="s">
        <v>641</v>
      </c>
      <c r="C60" s="745">
        <v>6.99</v>
      </c>
      <c r="D60" s="770">
        <f>ROUND(D59*'DISCRETIONARY FEE PERCENTAGES'!$B$6,2)</f>
        <v>6.64</v>
      </c>
      <c r="E60" s="761">
        <f>ROUND(E59*'DISCRETIONARY FEE PERCENTAGES'!$B$6,2)</f>
        <v>7.34</v>
      </c>
    </row>
    <row r="61" spans="2:5" ht="15" customHeight="1">
      <c r="B61" s="762" t="s">
        <v>623</v>
      </c>
      <c r="C61" s="745">
        <v>3.5</v>
      </c>
      <c r="D61" s="770">
        <f>ROUND(D59*'DISCRETIONARY FEE PERCENTAGES'!$B$25,2)</f>
        <v>3.32</v>
      </c>
      <c r="E61" s="761">
        <f>ROUND(E59*'DISCRETIONARY FEE PERCENTAGES'!$B$25,2)</f>
        <v>3.67</v>
      </c>
    </row>
    <row r="62" spans="2:5" ht="15" customHeight="1">
      <c r="B62" s="762" t="s">
        <v>642</v>
      </c>
      <c r="C62" s="745">
        <v>3.5</v>
      </c>
      <c r="D62" s="770">
        <f>ROUND(D59*'DISCRETIONARY FEE PERCENTAGES'!$B$19,2)</f>
        <v>3.32</v>
      </c>
      <c r="E62" s="761">
        <f>ROUND(E59*'DISCRETIONARY FEE PERCENTAGES'!$B$19,2)</f>
        <v>3.67</v>
      </c>
    </row>
    <row r="63" spans="2:5" ht="33" customHeight="1">
      <c r="B63" s="855" t="s">
        <v>643</v>
      </c>
      <c r="C63" s="957" t="s">
        <v>618</v>
      </c>
      <c r="D63" s="958"/>
      <c r="E63" s="966"/>
    </row>
    <row r="64" spans="2:5">
      <c r="B64" s="853"/>
      <c r="C64" s="850" t="s">
        <v>619</v>
      </c>
      <c r="D64" s="737" t="s">
        <v>620</v>
      </c>
      <c r="E64" s="758" t="s">
        <v>621</v>
      </c>
    </row>
    <row r="65" spans="2:16">
      <c r="B65" s="854"/>
      <c r="C65" s="851"/>
      <c r="D65" s="739">
        <f>D58</f>
        <v>-0.05</v>
      </c>
      <c r="E65" s="759">
        <f>E58</f>
        <v>0.05</v>
      </c>
    </row>
    <row r="66" spans="2:16" ht="15" customHeight="1">
      <c r="B66" s="760" t="s">
        <v>193</v>
      </c>
      <c r="C66" s="745">
        <v>69.900000000000006</v>
      </c>
      <c r="D66" s="745">
        <f>ROUND(C66*(1+D65),2)</f>
        <v>66.41</v>
      </c>
      <c r="E66" s="761">
        <f>ROUND(C66*(1+E65),2)</f>
        <v>73.400000000000006</v>
      </c>
    </row>
    <row r="67" spans="2:16" ht="15" customHeight="1">
      <c r="B67" s="760" t="s">
        <v>627</v>
      </c>
      <c r="C67" s="745">
        <v>209.70000000000002</v>
      </c>
      <c r="D67" s="745">
        <f>ROUND(C67*(1+D65),2)</f>
        <v>199.22</v>
      </c>
      <c r="E67" s="761">
        <f>ROUND(C67*(1+E65),2)</f>
        <v>220.19</v>
      </c>
    </row>
    <row r="68" spans="2:16" ht="15" customHeight="1">
      <c r="B68" s="762" t="s">
        <v>644</v>
      </c>
      <c r="C68" s="745">
        <v>27.96</v>
      </c>
      <c r="D68" s="770">
        <f>ROUND((D66+D67)*'DISCRETIONARY FEE PERCENTAGES'!$B$10,2)</f>
        <v>26.56</v>
      </c>
      <c r="E68" s="761">
        <f>ROUND((E66+E67)*'DISCRETIONARY FEE PERCENTAGES'!$B$10,2)</f>
        <v>29.36</v>
      </c>
    </row>
    <row r="69" spans="2:16" ht="15" customHeight="1">
      <c r="B69" s="762" t="s">
        <v>629</v>
      </c>
      <c r="C69" s="745">
        <v>13.98</v>
      </c>
      <c r="D69" s="770">
        <f>ROUND((D66+D67)*'DISCRETIONARY FEE PERCENTAGES'!$B$28,2)</f>
        <v>13.28</v>
      </c>
      <c r="E69" s="761">
        <f>ROUND((E66+E67)*'DISCRETIONARY FEE PERCENTAGES'!$B$28,2)</f>
        <v>14.68</v>
      </c>
    </row>
    <row r="70" spans="2:16" ht="15" customHeight="1" thickBot="1">
      <c r="B70" s="767" t="s">
        <v>645</v>
      </c>
      <c r="C70" s="771">
        <v>13.98</v>
      </c>
      <c r="D70" s="772">
        <f>ROUND((D66+D67)*'DISCRETIONARY FEE PERCENTAGES'!$B$22,2)</f>
        <v>13.28</v>
      </c>
      <c r="E70" s="773">
        <f>ROUND((E66+E67)*'DISCRETIONARY FEE PERCENTAGES'!$B$22,2)</f>
        <v>14.68</v>
      </c>
    </row>
    <row r="71" spans="2:16" ht="16.5" thickBot="1">
      <c r="B71" s="266"/>
      <c r="C71" s="272"/>
      <c r="D71" s="272"/>
      <c r="E71" s="272"/>
    </row>
    <row r="72" spans="2:16" ht="32.25" customHeight="1">
      <c r="B72" s="847" t="s">
        <v>646</v>
      </c>
      <c r="C72" s="963" t="s">
        <v>647</v>
      </c>
      <c r="D72" s="964"/>
      <c r="E72" s="965"/>
    </row>
    <row r="73" spans="2:16">
      <c r="B73" s="848"/>
      <c r="C73" s="850" t="s">
        <v>619</v>
      </c>
      <c r="D73" s="737" t="s">
        <v>620</v>
      </c>
      <c r="E73" s="758" t="s">
        <v>621</v>
      </c>
    </row>
    <row r="74" spans="2:16">
      <c r="B74" s="849"/>
      <c r="C74" s="851"/>
      <c r="D74" s="739">
        <v>-0.05</v>
      </c>
      <c r="E74" s="759">
        <v>0.05</v>
      </c>
    </row>
    <row r="75" spans="2:16" ht="15" customHeight="1">
      <c r="B75" s="760" t="s">
        <v>648</v>
      </c>
      <c r="C75" s="745">
        <v>30</v>
      </c>
      <c r="D75" s="745">
        <f>ROUND(C75*(1+D74),2)</f>
        <v>28.5</v>
      </c>
      <c r="E75" s="761">
        <f>ROUND(C75*(1+E74),2)</f>
        <v>31.5</v>
      </c>
    </row>
    <row r="76" spans="2:16" ht="15" customHeight="1">
      <c r="B76" s="760"/>
      <c r="C76" s="745"/>
      <c r="D76" s="745"/>
      <c r="E76" s="761"/>
      <c r="F76" s="861"/>
      <c r="G76" s="861"/>
      <c r="H76" s="861"/>
      <c r="I76" s="861"/>
      <c r="J76" s="861"/>
      <c r="K76" s="861"/>
      <c r="L76" s="861"/>
      <c r="M76" s="861"/>
      <c r="N76" s="861"/>
      <c r="O76" s="861"/>
      <c r="P76" s="861"/>
    </row>
    <row r="77" spans="2:16" ht="15" customHeight="1">
      <c r="B77" s="760" t="s">
        <v>649</v>
      </c>
      <c r="C77" s="745">
        <v>45</v>
      </c>
      <c r="D77" s="745">
        <f>ROUND(C77*(1+D74),2)</f>
        <v>42.75</v>
      </c>
      <c r="E77" s="774">
        <f>ROUND(C77*(1+E74),2)</f>
        <v>47.25</v>
      </c>
    </row>
    <row r="78" spans="2:16" ht="15" customHeight="1">
      <c r="C78" s="272"/>
      <c r="D78" s="272"/>
      <c r="E78" s="272"/>
      <c r="F78" s="861"/>
      <c r="G78" s="861"/>
      <c r="H78" s="861"/>
      <c r="I78" s="861"/>
      <c r="J78" s="861"/>
      <c r="K78" s="861"/>
      <c r="L78" s="861"/>
      <c r="M78" s="861"/>
      <c r="N78" s="861"/>
      <c r="O78" s="861"/>
      <c r="P78" s="861"/>
    </row>
    <row r="79" spans="2:16" ht="15" customHeight="1">
      <c r="B79" s="268" t="s">
        <v>650</v>
      </c>
      <c r="C79" s="269"/>
      <c r="D79" s="269"/>
      <c r="E79" s="269"/>
    </row>
    <row r="80" spans="2:16" ht="15" customHeight="1">
      <c r="B80" s="268"/>
      <c r="C80" s="269"/>
      <c r="D80" s="269"/>
      <c r="E80" s="269"/>
    </row>
    <row r="81" spans="2:5" ht="48" customHeight="1">
      <c r="B81" s="856" t="s">
        <v>651</v>
      </c>
      <c r="C81" s="856"/>
      <c r="D81" s="856"/>
      <c r="E81" s="856"/>
    </row>
    <row r="83" spans="2:5" ht="15" customHeight="1"/>
    <row r="85" spans="2:5">
      <c r="C85" s="903"/>
      <c r="D85" s="903"/>
      <c r="E85" s="903"/>
    </row>
    <row r="86" spans="2:5">
      <c r="C86" s="270"/>
      <c r="D86" s="270"/>
      <c r="E86" s="270"/>
    </row>
    <row r="87" spans="2:5">
      <c r="C87" s="901"/>
    </row>
    <row r="88" spans="2:5">
      <c r="C88" s="901"/>
    </row>
    <row r="91" spans="2:5">
      <c r="B91" s="172"/>
      <c r="C91" s="172"/>
      <c r="D91" s="172"/>
      <c r="E91" s="172"/>
    </row>
    <row r="92" spans="2:5">
      <c r="B92" s="172"/>
      <c r="C92" s="172"/>
      <c r="D92" s="172"/>
      <c r="E92" s="172"/>
    </row>
  </sheetData>
  <sheetProtection algorithmName="SHA-512" hashValue="8UFwiXaPbVf/gXB8dDKIz5x0hDuv9PUp91bVKEebyxzsDOxn/WDBGMYbFD8RFfQL3Q2JQCxeHq4fa5KjVX5N1g==" saltValue="1WHCUDOraKTsdOrqqtuQw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76" customWidth="1"/>
    <col min="2" max="2" width="8.42578125" style="76" customWidth="1"/>
    <col min="3" max="3" width="57.140625" style="76" customWidth="1"/>
    <col min="4" max="4" width="5" style="76" customWidth="1"/>
    <col min="5" max="16384" width="12.42578125" style="76"/>
  </cols>
  <sheetData>
    <row r="1" spans="1:3" s="79" customFormat="1" ht="26.25">
      <c r="A1" s="879" t="s">
        <v>11</v>
      </c>
      <c r="B1" s="879"/>
      <c r="C1" s="879"/>
    </row>
    <row r="2" spans="1:3" s="79" customFormat="1" ht="21" customHeight="1" thickBot="1">
      <c r="A2" s="879" t="s">
        <v>703</v>
      </c>
      <c r="B2" s="879"/>
      <c r="C2" s="879"/>
    </row>
    <row r="3" spans="1:3" s="79" customFormat="1" ht="26.45" customHeight="1">
      <c r="A3" s="979" t="s">
        <v>652</v>
      </c>
      <c r="B3" s="967"/>
      <c r="C3" s="968"/>
    </row>
    <row r="4" spans="1:3" s="79" customFormat="1" ht="42">
      <c r="A4" s="775" t="s">
        <v>653</v>
      </c>
      <c r="B4" s="776">
        <v>7.0000000000000007E-2</v>
      </c>
      <c r="C4" s="777" t="s">
        <v>654</v>
      </c>
    </row>
    <row r="5" spans="1:3" s="79" customFormat="1" ht="42">
      <c r="A5" s="775" t="s">
        <v>655</v>
      </c>
      <c r="B5" s="776">
        <v>0.05</v>
      </c>
      <c r="C5" s="777" t="s">
        <v>654</v>
      </c>
    </row>
    <row r="6" spans="1:3" s="79" customFormat="1" ht="30.95" customHeight="1">
      <c r="A6" s="778" t="s">
        <v>656</v>
      </c>
      <c r="B6" s="779">
        <v>0.1</v>
      </c>
      <c r="C6" s="780" t="s">
        <v>654</v>
      </c>
    </row>
    <row r="7" spans="1:3" s="79" customFormat="1" ht="26.45" customHeight="1">
      <c r="A7" s="973" t="s">
        <v>657</v>
      </c>
      <c r="B7" s="974"/>
      <c r="C7" s="975"/>
    </row>
    <row r="8" spans="1:3" s="79" customFormat="1" ht="42">
      <c r="A8" s="775" t="s">
        <v>653</v>
      </c>
      <c r="B8" s="776">
        <v>7.0000000000000007E-2</v>
      </c>
      <c r="C8" s="777" t="s">
        <v>658</v>
      </c>
    </row>
    <row r="9" spans="1:3" s="79" customFormat="1" ht="42">
      <c r="A9" s="775" t="s">
        <v>655</v>
      </c>
      <c r="B9" s="776">
        <v>0.05</v>
      </c>
      <c r="C9" s="777" t="s">
        <v>658</v>
      </c>
    </row>
    <row r="10" spans="1:3" s="79" customFormat="1" ht="29.1" customHeight="1">
      <c r="A10" s="778" t="str">
        <f>A6</f>
        <v>CCATD</v>
      </c>
      <c r="B10" s="779">
        <v>0.1</v>
      </c>
      <c r="C10" s="780" t="s">
        <v>658</v>
      </c>
    </row>
    <row r="11" spans="1:3" s="79" customFormat="1" ht="26.45" customHeight="1">
      <c r="A11" s="973" t="s">
        <v>659</v>
      </c>
      <c r="B11" s="974"/>
      <c r="C11" s="975"/>
    </row>
    <row r="12" spans="1:3" s="79" customFormat="1" ht="29.1" customHeight="1">
      <c r="A12" s="775" t="s">
        <v>660</v>
      </c>
      <c r="B12" s="776">
        <v>0.1</v>
      </c>
      <c r="C12" s="777" t="s">
        <v>661</v>
      </c>
    </row>
    <row r="13" spans="1:3" s="79" customFormat="1" ht="30" customHeight="1">
      <c r="A13" s="778" t="str">
        <f>A6</f>
        <v>CCATD</v>
      </c>
      <c r="B13" s="779">
        <v>0</v>
      </c>
      <c r="C13" s="780" t="s">
        <v>662</v>
      </c>
    </row>
    <row r="14" spans="1:3" s="79" customFormat="1" ht="26.45" customHeight="1">
      <c r="A14" s="976" t="s">
        <v>663</v>
      </c>
      <c r="B14" s="977"/>
      <c r="C14" s="978"/>
    </row>
    <row r="15" spans="1:3" s="79" customFormat="1" ht="27.95" customHeight="1">
      <c r="A15" s="775" t="s">
        <v>660</v>
      </c>
      <c r="B15" s="776">
        <v>0.1</v>
      </c>
      <c r="C15" s="777" t="s">
        <v>664</v>
      </c>
    </row>
    <row r="16" spans="1:3" s="79" customFormat="1" ht="27.95" customHeight="1">
      <c r="A16" s="778" t="str">
        <f>A6</f>
        <v>CCATD</v>
      </c>
      <c r="B16" s="779">
        <v>0</v>
      </c>
      <c r="C16" s="780" t="s">
        <v>662</v>
      </c>
    </row>
    <row r="17" spans="1:3" s="79" customFormat="1" ht="26.45" customHeight="1">
      <c r="A17" s="973" t="s">
        <v>665</v>
      </c>
      <c r="B17" s="974"/>
      <c r="C17" s="975"/>
    </row>
    <row r="18" spans="1:3" s="79" customFormat="1" ht="42">
      <c r="A18" s="781" t="s">
        <v>660</v>
      </c>
      <c r="B18" s="776">
        <v>0.2</v>
      </c>
      <c r="C18" s="782" t="s">
        <v>666</v>
      </c>
    </row>
    <row r="19" spans="1:3" s="79" customFormat="1" ht="30.95" customHeight="1">
      <c r="A19" s="778" t="str">
        <f>A6</f>
        <v>CCATD</v>
      </c>
      <c r="B19" s="779">
        <v>0.05</v>
      </c>
      <c r="C19" s="780" t="s">
        <v>667</v>
      </c>
    </row>
    <row r="20" spans="1:3" s="79" customFormat="1" ht="26.45" customHeight="1">
      <c r="A20" s="973" t="s">
        <v>668</v>
      </c>
      <c r="B20" s="974"/>
      <c r="C20" s="975"/>
    </row>
    <row r="21" spans="1:3" s="79" customFormat="1" ht="21">
      <c r="A21" s="781" t="s">
        <v>660</v>
      </c>
      <c r="B21" s="776">
        <v>0.2</v>
      </c>
      <c r="C21" s="777" t="s">
        <v>658</v>
      </c>
    </row>
    <row r="22" spans="1:3" s="79" customFormat="1" ht="27.95" customHeight="1">
      <c r="A22" s="778" t="str">
        <f>A6</f>
        <v>CCATD</v>
      </c>
      <c r="B22" s="779">
        <v>0.05</v>
      </c>
      <c r="C22" s="780" t="s">
        <v>658</v>
      </c>
    </row>
    <row r="23" spans="1:3" s="79" customFormat="1" ht="26.45" customHeight="1">
      <c r="A23" s="973" t="s">
        <v>669</v>
      </c>
      <c r="B23" s="974"/>
      <c r="C23" s="975"/>
    </row>
    <row r="24" spans="1:3" s="79" customFormat="1" ht="21">
      <c r="A24" s="781" t="s">
        <v>660</v>
      </c>
      <c r="B24" s="776">
        <v>0.05</v>
      </c>
      <c r="C24" s="777" t="s">
        <v>661</v>
      </c>
    </row>
    <row r="25" spans="1:3" s="79" customFormat="1" ht="27.95" customHeight="1">
      <c r="A25" s="778" t="str">
        <f>A6</f>
        <v>CCATD</v>
      </c>
      <c r="B25" s="779">
        <v>0.05</v>
      </c>
      <c r="C25" s="783" t="s">
        <v>661</v>
      </c>
    </row>
    <row r="26" spans="1:3" s="79" customFormat="1" ht="26.45" customHeight="1">
      <c r="A26" s="973" t="s">
        <v>670</v>
      </c>
      <c r="B26" s="974"/>
      <c r="C26" s="975"/>
    </row>
    <row r="27" spans="1:3" s="79" customFormat="1" ht="21">
      <c r="A27" s="781" t="s">
        <v>660</v>
      </c>
      <c r="B27" s="776">
        <v>0.05</v>
      </c>
      <c r="C27" s="777" t="s">
        <v>658</v>
      </c>
    </row>
    <row r="28" spans="1:3" s="79" customFormat="1" ht="27.95" customHeight="1" thickBot="1">
      <c r="A28" s="784" t="str">
        <f>A6</f>
        <v>CCATD</v>
      </c>
      <c r="B28" s="785">
        <v>0.05</v>
      </c>
      <c r="C28" s="786" t="s">
        <v>658</v>
      </c>
    </row>
    <row r="30" spans="1:3" ht="61.35" customHeight="1">
      <c r="A30" s="969" t="s">
        <v>671</v>
      </c>
      <c r="B30" s="969"/>
      <c r="C30" s="969"/>
    </row>
    <row r="31" spans="1:3" ht="14.45" customHeight="1">
      <c r="A31" s="970"/>
      <c r="B31" s="970"/>
      <c r="C31" s="970"/>
    </row>
    <row r="32" spans="1:3" ht="31.35" customHeight="1">
      <c r="A32" s="969" t="s">
        <v>672</v>
      </c>
      <c r="B32" s="969"/>
      <c r="C32" s="969"/>
    </row>
    <row r="33" spans="1:3" ht="14.45" customHeight="1">
      <c r="A33" s="970"/>
      <c r="B33" s="970"/>
      <c r="C33" s="970"/>
    </row>
    <row r="34" spans="1:3" ht="30" customHeight="1">
      <c r="A34" s="969" t="s">
        <v>673</v>
      </c>
      <c r="B34" s="969"/>
      <c r="C34" s="969"/>
    </row>
    <row r="35" spans="1:3" ht="14.45" customHeight="1">
      <c r="A35" s="970"/>
      <c r="B35" s="970"/>
      <c r="C35" s="970"/>
    </row>
    <row r="36" spans="1:3" ht="15" customHeight="1">
      <c r="A36" s="971" t="s">
        <v>674</v>
      </c>
      <c r="B36" s="970"/>
      <c r="C36" s="970"/>
    </row>
    <row r="37" spans="1:3" ht="15" customHeight="1">
      <c r="A37" s="77"/>
    </row>
    <row r="38" spans="1:3" ht="15" customHeight="1">
      <c r="A38" s="78"/>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77" t="s">
        <v>675</v>
      </c>
    </row>
    <row r="2" spans="1:1">
      <c r="A2" s="577" t="s">
        <v>676</v>
      </c>
    </row>
    <row r="3" spans="1:1">
      <c r="A3" s="577" t="s">
        <v>677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K22" sqref="K22"/>
    </sheetView>
  </sheetViews>
  <sheetFormatPr defaultColWidth="8.85546875" defaultRowHeight="12.75"/>
  <cols>
    <col min="1" max="1" width="109" customWidth="1"/>
  </cols>
  <sheetData>
    <row r="1" spans="1:10" ht="22.35" customHeight="1">
      <c r="A1" s="583" t="s">
        <v>11</v>
      </c>
      <c r="B1" s="579"/>
      <c r="C1" s="579"/>
      <c r="D1" s="579"/>
      <c r="E1" s="579"/>
      <c r="F1" s="579"/>
      <c r="G1" s="579"/>
      <c r="H1" s="579"/>
      <c r="I1" s="579"/>
      <c r="J1" s="579"/>
    </row>
    <row r="2" spans="1:10" ht="22.35" customHeight="1">
      <c r="A2" s="583" t="s">
        <v>741</v>
      </c>
      <c r="B2" s="579"/>
      <c r="C2" s="579"/>
      <c r="D2" s="579"/>
      <c r="E2" s="579"/>
      <c r="F2" s="579"/>
      <c r="G2" s="579"/>
      <c r="H2" s="579"/>
      <c r="I2" s="579"/>
      <c r="J2" s="579"/>
    </row>
    <row r="3" spans="1:10" ht="22.35" customHeight="1">
      <c r="A3" s="583" t="s">
        <v>12</v>
      </c>
      <c r="B3" s="579"/>
      <c r="C3" s="579"/>
      <c r="D3" s="579"/>
      <c r="E3" s="579"/>
      <c r="F3" s="579"/>
      <c r="G3" s="579"/>
      <c r="H3" s="579"/>
      <c r="I3" s="579"/>
      <c r="J3" s="579"/>
    </row>
    <row r="4" spans="1:10" ht="26.45" customHeight="1">
      <c r="A4" s="584" t="s">
        <v>13</v>
      </c>
      <c r="B4" s="585"/>
      <c r="C4" s="585"/>
      <c r="D4" s="585"/>
      <c r="E4" s="585"/>
      <c r="F4" s="585"/>
      <c r="G4" s="585"/>
      <c r="H4" s="585"/>
      <c r="I4" s="585"/>
      <c r="J4" s="585"/>
    </row>
    <row r="11" spans="1:10" ht="34.5">
      <c r="E11" s="4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OPB Workbook Instructions" r:id="rId5">
            <anchor moveWithCells="1">
              <from>
                <xdr:col>0</xdr:col>
                <xdr:colOff>923925</xdr:colOff>
                <xdr:row>6</xdr:row>
                <xdr:rowOff>152400</xdr:rowOff>
              </from>
              <to>
                <xdr:col>0</xdr:col>
                <xdr:colOff>6753225</xdr:colOff>
                <xdr:row>51</xdr:row>
                <xdr:rowOff>133350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topLeftCell="A105" zoomScale="80" zoomScaleNormal="80" zoomScalePageLayoutView="80" workbookViewId="0">
      <selection activeCell="B168" sqref="B168"/>
    </sheetView>
  </sheetViews>
  <sheetFormatPr defaultColWidth="8.85546875" defaultRowHeight="21"/>
  <cols>
    <col min="1" max="1" width="57.42578125" style="11" customWidth="1"/>
    <col min="2" max="2" width="32.140625" style="11" customWidth="1"/>
    <col min="3" max="3" width="24.7109375" style="11" customWidth="1"/>
    <col min="4" max="4" width="26" style="11" bestFit="1" customWidth="1"/>
    <col min="5" max="5" width="23.42578125" style="11" customWidth="1"/>
    <col min="6" max="6" width="21.85546875" style="11" customWidth="1"/>
    <col min="7" max="7" width="22.28515625" style="11" customWidth="1"/>
    <col min="8" max="8" width="26.85546875" style="11" customWidth="1"/>
    <col min="9" max="9" width="14.85546875" style="11" customWidth="1"/>
    <col min="10" max="10" width="20.28515625" style="11" customWidth="1"/>
    <col min="11" max="11" width="17.85546875" style="11" bestFit="1" customWidth="1"/>
    <col min="12" max="12" width="13.7109375" style="11" customWidth="1"/>
    <col min="13" max="13" width="13.42578125" style="11" bestFit="1" customWidth="1"/>
    <col min="14" max="14" width="12.140625" style="11" bestFit="1" customWidth="1"/>
    <col min="15" max="15" width="13.28515625" style="11" customWidth="1"/>
    <col min="16" max="16" width="13" style="11" customWidth="1"/>
    <col min="17" max="17" width="15" style="11" customWidth="1"/>
    <col min="18" max="18" width="13.42578125" style="11" customWidth="1"/>
    <col min="19" max="19" width="13.7109375" style="11" customWidth="1"/>
    <col min="20" max="20" width="21.42578125" style="11" customWidth="1"/>
    <col min="21" max="21" width="8.85546875" style="11"/>
    <col min="22" max="22" width="12.140625" style="11" bestFit="1" customWidth="1"/>
    <col min="23" max="23" width="13.85546875" style="11" customWidth="1"/>
    <col min="24" max="24" width="9.28515625" style="11" bestFit="1" customWidth="1"/>
    <col min="25" max="25" width="2.42578125" style="11" customWidth="1"/>
    <col min="26" max="26" width="14.85546875" style="11" customWidth="1"/>
    <col min="27" max="27" width="15.28515625" style="11" customWidth="1"/>
    <col min="28" max="28" width="15.140625" style="11" customWidth="1"/>
    <col min="29" max="29" width="6.28515625" style="11" customWidth="1"/>
    <col min="30" max="30" width="64.85546875" style="11" customWidth="1"/>
    <col min="31" max="31" width="13.42578125" style="11" customWidth="1"/>
    <col min="32" max="32" width="14.7109375" style="11" customWidth="1"/>
    <col min="33" max="33" width="18" style="11" customWidth="1"/>
    <col min="34" max="34" width="4.7109375" style="11" customWidth="1"/>
    <col min="35" max="35" width="21.42578125" style="11" customWidth="1"/>
    <col min="36" max="39" width="8.85546875" style="11"/>
    <col min="40" max="40" width="46.85546875" style="11" customWidth="1"/>
    <col min="41" max="41" width="19.140625" style="11" customWidth="1"/>
    <col min="42" max="42" width="2.7109375" style="11" customWidth="1"/>
    <col min="43" max="44" width="20.140625" style="11" customWidth="1"/>
    <col min="45" max="16384" width="8.85546875" style="11"/>
  </cols>
  <sheetData>
    <row r="1" spans="1:10" ht="25.35" customHeight="1">
      <c r="A1" s="988" t="s">
        <v>14</v>
      </c>
      <c r="B1" s="988"/>
      <c r="C1" s="988"/>
      <c r="D1" s="988"/>
      <c r="E1" s="10"/>
    </row>
    <row r="2" spans="1:10" ht="33.6" customHeight="1" thickBot="1">
      <c r="A2" s="995" t="s">
        <v>15</v>
      </c>
      <c r="B2" s="995"/>
      <c r="C2" s="995"/>
      <c r="D2" s="995"/>
    </row>
    <row r="3" spans="1:10" ht="25.35" customHeight="1" thickBot="1">
      <c r="A3" s="56"/>
      <c r="B3" s="57" t="s">
        <v>718</v>
      </c>
      <c r="C3" s="58"/>
      <c r="D3" s="67"/>
      <c r="E3" s="66"/>
    </row>
    <row r="4" spans="1:10" ht="25.35" customHeight="1" thickBot="1">
      <c r="A4" s="56">
        <v>1</v>
      </c>
      <c r="B4" s="46">
        <v>2</v>
      </c>
      <c r="C4" s="46">
        <v>3</v>
      </c>
      <c r="D4" s="46">
        <v>4</v>
      </c>
      <c r="E4" s="13"/>
    </row>
    <row r="5" spans="1:10" ht="44.1" customHeight="1" thickBot="1">
      <c r="A5" s="32" t="s">
        <v>16</v>
      </c>
      <c r="B5" s="1030" t="s">
        <v>712</v>
      </c>
      <c r="C5" s="1031"/>
      <c r="D5" s="1032"/>
      <c r="E5" s="564"/>
      <c r="F5" s="13"/>
    </row>
    <row r="6" spans="1:10" ht="89.1" customHeight="1" thickBot="1">
      <c r="A6" s="280" t="s">
        <v>17</v>
      </c>
      <c r="B6" s="55" t="s">
        <v>18</v>
      </c>
      <c r="C6" s="17" t="s">
        <v>19</v>
      </c>
      <c r="D6" s="70" t="s">
        <v>20</v>
      </c>
      <c r="F6" s="13"/>
    </row>
    <row r="7" spans="1:10" ht="25.35" customHeight="1">
      <c r="A7" s="397" t="s">
        <v>21</v>
      </c>
      <c r="B7" s="908">
        <v>43600274.429753423</v>
      </c>
      <c r="C7" s="1108">
        <v>9683162.5702465735</v>
      </c>
      <c r="D7" s="75">
        <f t="shared" ref="D7:D34" si="0">SUM(B7:C7)</f>
        <v>53283437</v>
      </c>
      <c r="E7" s="421"/>
      <c r="F7" s="422"/>
      <c r="G7" s="42"/>
      <c r="I7" s="42"/>
      <c r="J7" s="42"/>
    </row>
    <row r="8" spans="1:10" ht="25.35" customHeight="1">
      <c r="A8" s="377" t="s">
        <v>22</v>
      </c>
      <c r="B8" s="1085">
        <v>90255203.52015838</v>
      </c>
      <c r="C8" s="1108">
        <v>19406699.479841623</v>
      </c>
      <c r="D8" s="68">
        <f t="shared" si="0"/>
        <v>109661903</v>
      </c>
      <c r="E8" s="399"/>
      <c r="F8" s="42"/>
      <c r="G8" s="42"/>
      <c r="I8" s="42"/>
      <c r="J8" s="42"/>
    </row>
    <row r="9" spans="1:10" ht="25.35" customHeight="1">
      <c r="A9" s="377" t="s">
        <v>23</v>
      </c>
      <c r="B9" s="909">
        <v>35165545.160336338</v>
      </c>
      <c r="C9" s="1108">
        <v>5543604.8396636629</v>
      </c>
      <c r="D9" s="68">
        <f t="shared" si="0"/>
        <v>40709150</v>
      </c>
      <c r="E9" s="399"/>
      <c r="F9" s="42"/>
      <c r="G9" s="42"/>
      <c r="I9" s="42"/>
      <c r="J9" s="42"/>
    </row>
    <row r="10" spans="1:10" ht="25.35" customHeight="1">
      <c r="A10" s="377" t="s">
        <v>24</v>
      </c>
      <c r="B10" s="909">
        <v>13053746.353345605</v>
      </c>
      <c r="C10" s="1108">
        <v>3049204.6466543949</v>
      </c>
      <c r="D10" s="68">
        <f t="shared" si="0"/>
        <v>16102951</v>
      </c>
      <c r="E10" s="399"/>
      <c r="F10" s="42"/>
      <c r="G10" s="42"/>
      <c r="I10" s="42"/>
      <c r="J10" s="42"/>
    </row>
    <row r="11" spans="1:10" ht="25.35" customHeight="1">
      <c r="A11" s="377" t="s">
        <v>25</v>
      </c>
      <c r="B11" s="909">
        <v>51911674.267480284</v>
      </c>
      <c r="C11" s="1108">
        <v>11651335.732519712</v>
      </c>
      <c r="D11" s="68">
        <f t="shared" si="0"/>
        <v>63563010</v>
      </c>
      <c r="E11" s="399"/>
      <c r="F11" s="42"/>
      <c r="G11" s="42"/>
      <c r="I11" s="42"/>
      <c r="J11" s="42"/>
    </row>
    <row r="12" spans="1:10" ht="25.35" customHeight="1">
      <c r="A12" s="377" t="s">
        <v>26</v>
      </c>
      <c r="B12" s="909">
        <v>46221977.178284936</v>
      </c>
      <c r="C12" s="1108">
        <v>7423501.8217150643</v>
      </c>
      <c r="D12" s="68">
        <f t="shared" si="0"/>
        <v>53645479</v>
      </c>
      <c r="E12" s="399"/>
      <c r="F12" s="42"/>
      <c r="G12" s="42"/>
      <c r="I12" s="42"/>
      <c r="J12" s="42"/>
    </row>
    <row r="13" spans="1:10" ht="25.35" customHeight="1">
      <c r="A13" s="377" t="s">
        <v>27</v>
      </c>
      <c r="B13" s="909">
        <v>70522268.071765155</v>
      </c>
      <c r="C13" s="1108">
        <v>17443886.928234838</v>
      </c>
      <c r="D13" s="68">
        <f t="shared" si="0"/>
        <v>87966155</v>
      </c>
      <c r="E13" s="399"/>
      <c r="F13" s="42"/>
      <c r="G13" s="42"/>
      <c r="I13" s="42"/>
      <c r="J13" s="42"/>
    </row>
    <row r="14" spans="1:10" ht="25.35" customHeight="1">
      <c r="A14" s="377" t="s">
        <v>28</v>
      </c>
      <c r="B14" s="909">
        <v>9205482.6022929847</v>
      </c>
      <c r="C14" s="1108">
        <v>1571784.3977070146</v>
      </c>
      <c r="D14" s="68">
        <f t="shared" si="0"/>
        <v>10777267</v>
      </c>
      <c r="E14" s="399"/>
      <c r="F14" s="42"/>
      <c r="G14" s="42"/>
      <c r="I14" s="42"/>
      <c r="J14" s="42"/>
    </row>
    <row r="15" spans="1:10" ht="25.35" customHeight="1">
      <c r="A15" s="377" t="s">
        <v>29</v>
      </c>
      <c r="B15" s="909">
        <v>22103920.083340969</v>
      </c>
      <c r="C15" s="1108">
        <v>4970200.9166590301</v>
      </c>
      <c r="D15" s="68">
        <f t="shared" si="0"/>
        <v>27074121</v>
      </c>
      <c r="E15" s="399"/>
      <c r="F15" s="42"/>
      <c r="G15" s="42"/>
      <c r="I15" s="42"/>
      <c r="J15" s="42"/>
    </row>
    <row r="16" spans="1:10" ht="25.35" customHeight="1">
      <c r="A16" s="377" t="s">
        <v>783</v>
      </c>
      <c r="B16" s="909">
        <v>71153026.980324924</v>
      </c>
      <c r="C16" s="1108">
        <v>13180273.01967508</v>
      </c>
      <c r="D16" s="68">
        <f t="shared" si="0"/>
        <v>84333300</v>
      </c>
      <c r="E16" s="399"/>
      <c r="F16" s="42"/>
      <c r="G16" s="42"/>
      <c r="I16" s="42"/>
      <c r="J16" s="42"/>
    </row>
    <row r="17" spans="1:10" ht="25.35" customHeight="1">
      <c r="A17" s="377" t="s">
        <v>30</v>
      </c>
      <c r="B17" s="909">
        <v>49338008.875280872</v>
      </c>
      <c r="C17" s="1108">
        <v>10681339.124719128</v>
      </c>
      <c r="D17" s="68">
        <f t="shared" si="0"/>
        <v>60019348</v>
      </c>
      <c r="E17" s="399"/>
      <c r="F17" s="42"/>
      <c r="G17" s="42"/>
      <c r="I17" s="42"/>
      <c r="J17" s="42"/>
    </row>
    <row r="18" spans="1:10" ht="25.35" customHeight="1">
      <c r="A18" s="377" t="s">
        <v>31</v>
      </c>
      <c r="B18" s="909">
        <v>16227012.774821987</v>
      </c>
      <c r="C18" s="1108">
        <v>3109791.2251780131</v>
      </c>
      <c r="D18" s="68">
        <f t="shared" si="0"/>
        <v>19336804</v>
      </c>
      <c r="E18" s="399"/>
      <c r="F18" s="42"/>
      <c r="G18" s="42"/>
      <c r="I18" s="42"/>
      <c r="J18" s="42"/>
    </row>
    <row r="19" spans="1:10" ht="25.35" customHeight="1">
      <c r="A19" s="377" t="s">
        <v>32</v>
      </c>
      <c r="B19" s="909">
        <v>21135195.500593662</v>
      </c>
      <c r="C19" s="1108">
        <v>3055669.4994063387</v>
      </c>
      <c r="D19" s="68">
        <f t="shared" si="0"/>
        <v>24190865</v>
      </c>
      <c r="E19" s="399"/>
      <c r="F19" s="42"/>
      <c r="G19" s="42"/>
      <c r="I19" s="42"/>
      <c r="J19" s="42"/>
    </row>
    <row r="20" spans="1:10" ht="25.35" customHeight="1">
      <c r="A20" s="377" t="s">
        <v>33</v>
      </c>
      <c r="B20" s="909">
        <v>31285444.06757804</v>
      </c>
      <c r="C20" s="1108">
        <v>5148765.9324219599</v>
      </c>
      <c r="D20" s="68">
        <f t="shared" si="0"/>
        <v>36434210</v>
      </c>
      <c r="E20" s="399"/>
      <c r="F20" s="42"/>
      <c r="G20" s="42"/>
      <c r="H20" s="42"/>
      <c r="I20" s="42"/>
      <c r="J20" s="42"/>
    </row>
    <row r="21" spans="1:10" ht="25.35" customHeight="1">
      <c r="A21" s="377" t="s">
        <v>34</v>
      </c>
      <c r="B21" s="909">
        <v>165651995.20318142</v>
      </c>
      <c r="C21" s="1108">
        <v>39356905.796818577</v>
      </c>
      <c r="D21" s="68">
        <f t="shared" si="0"/>
        <v>205008901</v>
      </c>
      <c r="E21" s="399"/>
      <c r="F21" s="42"/>
      <c r="G21" s="42"/>
      <c r="I21" s="42"/>
      <c r="J21" s="42"/>
    </row>
    <row r="22" spans="1:10" ht="25.35" customHeight="1">
      <c r="A22" s="377" t="s">
        <v>35</v>
      </c>
      <c r="B22" s="909">
        <v>8949937.6940170676</v>
      </c>
      <c r="C22" s="1108">
        <v>1656741.3059829331</v>
      </c>
      <c r="D22" s="68">
        <f t="shared" si="0"/>
        <v>10606679</v>
      </c>
      <c r="E22" s="399"/>
      <c r="F22" s="42"/>
      <c r="G22" s="42"/>
      <c r="I22" s="42"/>
      <c r="J22" s="42"/>
    </row>
    <row r="23" spans="1:10" ht="25.35" customHeight="1">
      <c r="A23" s="377" t="s">
        <v>36</v>
      </c>
      <c r="B23" s="909">
        <v>24756000.410122402</v>
      </c>
      <c r="C23" s="1108">
        <v>4377734.5898775999</v>
      </c>
      <c r="D23" s="68">
        <f t="shared" si="0"/>
        <v>29133735</v>
      </c>
      <c r="E23" s="399"/>
      <c r="F23" s="42"/>
      <c r="G23" s="42"/>
      <c r="I23" s="42"/>
      <c r="J23" s="42"/>
    </row>
    <row r="24" spans="1:10" ht="25.35" customHeight="1">
      <c r="A24" s="377" t="s">
        <v>37</v>
      </c>
      <c r="B24" s="909">
        <v>65808360.931644589</v>
      </c>
      <c r="C24" s="1108">
        <v>13200326.068355408</v>
      </c>
      <c r="D24" s="68">
        <f t="shared" si="0"/>
        <v>79008687</v>
      </c>
      <c r="E24" s="399"/>
      <c r="F24" s="42"/>
      <c r="G24" s="42"/>
      <c r="I24" s="42"/>
      <c r="J24" s="42"/>
    </row>
    <row r="25" spans="1:10" ht="25.35" customHeight="1">
      <c r="A25" s="377" t="s">
        <v>38</v>
      </c>
      <c r="B25" s="909">
        <f>45144249.7851529-1500000</f>
        <v>43644249.785152897</v>
      </c>
      <c r="C25" s="1108">
        <v>6373548.2148470599</v>
      </c>
      <c r="D25" s="68">
        <f t="shared" si="0"/>
        <v>50017797.999999955</v>
      </c>
      <c r="E25" s="399"/>
      <c r="F25" s="42"/>
      <c r="G25" s="42"/>
      <c r="I25" s="42"/>
      <c r="J25" s="42"/>
    </row>
    <row r="26" spans="1:10" ht="25.35" customHeight="1">
      <c r="A26" s="377" t="s">
        <v>39</v>
      </c>
      <c r="B26" s="909">
        <v>54382200.078217097</v>
      </c>
      <c r="C26" s="1108">
        <v>7904347.9217829015</v>
      </c>
      <c r="D26" s="68">
        <f t="shared" si="0"/>
        <v>62286548</v>
      </c>
      <c r="E26" s="399"/>
      <c r="F26" s="42"/>
      <c r="G26" s="42"/>
      <c r="I26" s="42"/>
      <c r="J26" s="42"/>
    </row>
    <row r="27" spans="1:10" ht="25.35" customHeight="1">
      <c r="A27" s="377" t="s">
        <v>40</v>
      </c>
      <c r="B27" s="909">
        <v>43580224.848735243</v>
      </c>
      <c r="C27" s="1108">
        <v>6479015.1512647606</v>
      </c>
      <c r="D27" s="68">
        <f t="shared" si="0"/>
        <v>50059240</v>
      </c>
      <c r="E27" s="399"/>
      <c r="F27" s="42"/>
      <c r="G27" s="42"/>
      <c r="I27" s="42"/>
      <c r="J27" s="42"/>
    </row>
    <row r="28" spans="1:10" ht="25.35" customHeight="1">
      <c r="A28" s="377" t="s">
        <v>41</v>
      </c>
      <c r="B28" s="909">
        <v>33932430.755269237</v>
      </c>
      <c r="C28" s="1108">
        <v>4419727.2447307603</v>
      </c>
      <c r="D28" s="68">
        <f t="shared" si="0"/>
        <v>38352158</v>
      </c>
      <c r="E28" s="399"/>
      <c r="F28" s="42"/>
      <c r="G28" s="42"/>
      <c r="I28" s="42"/>
      <c r="J28" s="42"/>
    </row>
    <row r="29" spans="1:10" ht="25.35" customHeight="1">
      <c r="A29" s="377" t="s">
        <v>42</v>
      </c>
      <c r="B29" s="909">
        <v>77492481.402347744</v>
      </c>
      <c r="C29" s="1108">
        <v>15840843.597652253</v>
      </c>
      <c r="D29" s="68">
        <f t="shared" si="0"/>
        <v>93333325</v>
      </c>
      <c r="E29" s="399"/>
      <c r="F29" s="42"/>
      <c r="G29" s="42"/>
      <c r="I29" s="42"/>
      <c r="J29" s="42"/>
    </row>
    <row r="30" spans="1:10" ht="25.35" customHeight="1">
      <c r="A30" s="377" t="s">
        <v>43</v>
      </c>
      <c r="B30" s="909">
        <v>45822834.425018497</v>
      </c>
      <c r="C30" s="1108">
        <v>8042112.5749815032</v>
      </c>
      <c r="D30" s="68">
        <f t="shared" si="0"/>
        <v>53864947</v>
      </c>
      <c r="E30" s="399"/>
      <c r="F30" s="42"/>
      <c r="G30" s="42"/>
      <c r="I30" s="42"/>
      <c r="J30" s="42"/>
    </row>
    <row r="31" spans="1:10" ht="25.35" customHeight="1">
      <c r="A31" s="377" t="s">
        <v>44</v>
      </c>
      <c r="B31" s="909">
        <v>47618457.312297449</v>
      </c>
      <c r="C31" s="1108">
        <v>8663977.6877025533</v>
      </c>
      <c r="D31" s="68">
        <f t="shared" si="0"/>
        <v>56282435</v>
      </c>
      <c r="E31" s="399"/>
      <c r="F31" s="42"/>
      <c r="G31" s="42"/>
      <c r="I31" s="42"/>
      <c r="J31" s="42"/>
    </row>
    <row r="32" spans="1:10" ht="25.35" customHeight="1">
      <c r="A32" s="377" t="s">
        <v>45</v>
      </c>
      <c r="B32" s="909">
        <v>22811855.379114985</v>
      </c>
      <c r="C32" s="1108">
        <v>3719348.6208850164</v>
      </c>
      <c r="D32" s="68">
        <f t="shared" si="0"/>
        <v>26531204</v>
      </c>
      <c r="E32" s="399"/>
      <c r="F32" s="42"/>
      <c r="G32" s="42"/>
      <c r="I32" s="42" t="s">
        <v>46</v>
      </c>
      <c r="J32" s="42"/>
    </row>
    <row r="33" spans="1:12" ht="25.35" customHeight="1">
      <c r="A33" s="377" t="s">
        <v>713</v>
      </c>
      <c r="B33" s="909">
        <v>34145110.16823367</v>
      </c>
      <c r="C33" s="1108">
        <v>7234580.8317663297</v>
      </c>
      <c r="D33" s="68">
        <f t="shared" si="0"/>
        <v>41379691</v>
      </c>
      <c r="E33" s="399"/>
      <c r="F33" s="42"/>
      <c r="G33" s="42"/>
      <c r="I33" s="399"/>
      <c r="J33" s="42"/>
      <c r="K33" s="399"/>
    </row>
    <row r="34" spans="1:12" ht="25.35" customHeight="1" thickBot="1">
      <c r="A34" s="378" t="s">
        <v>47</v>
      </c>
      <c r="B34" s="909">
        <v>110093250.74129009</v>
      </c>
      <c r="C34" s="1108">
        <v>15737996.258709911</v>
      </c>
      <c r="D34" s="69">
        <f t="shared" si="0"/>
        <v>125831247</v>
      </c>
      <c r="E34" s="399"/>
      <c r="F34" s="42"/>
      <c r="G34" s="42"/>
      <c r="I34" s="399"/>
      <c r="J34" s="42"/>
      <c r="K34" s="399"/>
    </row>
    <row r="35" spans="1:12" ht="25.35" customHeight="1" thickBot="1">
      <c r="A35" s="379" t="s">
        <v>48</v>
      </c>
      <c r="B35" s="418">
        <f>SUM(B7:B34)</f>
        <v>1349868168.9999998</v>
      </c>
      <c r="C35" s="418">
        <f>SUM(C7:C34)</f>
        <v>258926426.00000006</v>
      </c>
      <c r="D35" s="391">
        <f>SUM(D7:D34)</f>
        <v>1608794595</v>
      </c>
      <c r="E35" s="419"/>
      <c r="F35" s="42"/>
      <c r="G35" s="42"/>
      <c r="H35" s="42"/>
      <c r="I35" s="399"/>
      <c r="J35" s="42"/>
      <c r="K35" s="399"/>
      <c r="L35" s="400"/>
    </row>
    <row r="36" spans="1:12" ht="19.350000000000001" customHeight="1">
      <c r="A36" s="1033" t="s">
        <v>49</v>
      </c>
      <c r="B36" s="1033"/>
      <c r="C36" s="1033"/>
      <c r="D36" s="1033"/>
      <c r="E36" s="462"/>
      <c r="K36" s="399"/>
    </row>
    <row r="37" spans="1:12" ht="44.45" customHeight="1">
      <c r="A37" s="1034" t="s">
        <v>716</v>
      </c>
      <c r="B37" s="1034"/>
      <c r="C37" s="1034"/>
      <c r="D37" s="1034"/>
      <c r="E37" s="461"/>
      <c r="K37" s="399"/>
    </row>
    <row r="38" spans="1:12" ht="26.45" customHeight="1">
      <c r="A38" s="1005"/>
      <c r="B38" s="1005"/>
      <c r="C38" s="1005"/>
      <c r="D38" s="1005"/>
      <c r="E38" s="461"/>
      <c r="K38" s="399"/>
    </row>
    <row r="39" spans="1:12" ht="36.6" hidden="1" customHeight="1" thickBot="1">
      <c r="A39" s="456" t="s">
        <v>15</v>
      </c>
      <c r="B39" s="457"/>
      <c r="C39" s="457"/>
      <c r="K39" s="163"/>
    </row>
    <row r="40" spans="1:12" ht="24" hidden="1" customHeight="1" thickBot="1">
      <c r="A40" s="38" t="s">
        <v>719</v>
      </c>
      <c r="B40" s="904" t="s">
        <v>731</v>
      </c>
      <c r="C40" s="905"/>
      <c r="D40" s="905"/>
      <c r="E40" s="906"/>
      <c r="F40" s="11" t="s">
        <v>10</v>
      </c>
      <c r="K40" s="163"/>
    </row>
    <row r="41" spans="1:12" ht="22.35" hidden="1" customHeight="1" thickBot="1">
      <c r="A41" s="39">
        <v>1</v>
      </c>
      <c r="B41" s="46">
        <v>2</v>
      </c>
      <c r="C41" s="46">
        <v>3</v>
      </c>
      <c r="D41" s="46">
        <v>4</v>
      </c>
      <c r="E41" s="46">
        <v>5</v>
      </c>
    </row>
    <row r="42" spans="1:12" ht="24.6" hidden="1" customHeight="1" thickBot="1">
      <c r="A42" s="34" t="s">
        <v>17</v>
      </c>
      <c r="B42" s="43" t="s">
        <v>50</v>
      </c>
      <c r="C42" s="44" t="s">
        <v>51</v>
      </c>
      <c r="D42" s="45" t="s">
        <v>52</v>
      </c>
      <c r="E42" s="380" t="s">
        <v>53</v>
      </c>
    </row>
    <row r="43" spans="1:12" ht="63" hidden="1">
      <c r="A43" s="911" t="str">
        <f>A10</f>
        <v>Chipola College</v>
      </c>
      <c r="B43" s="596" t="s">
        <v>720</v>
      </c>
      <c r="C43" s="597"/>
      <c r="D43" s="597">
        <v>0</v>
      </c>
      <c r="E43" s="598">
        <f t="shared" ref="E43:E53" si="1">C43+D43</f>
        <v>0</v>
      </c>
    </row>
    <row r="44" spans="1:12" ht="42" hidden="1">
      <c r="A44" s="912" t="str">
        <f>A11</f>
        <v>Daytona State College</v>
      </c>
      <c r="B44" s="599" t="s">
        <v>721</v>
      </c>
      <c r="C44" s="597"/>
      <c r="D44" s="597">
        <v>0</v>
      </c>
      <c r="E44" s="598">
        <f t="shared" si="1"/>
        <v>0</v>
      </c>
    </row>
    <row r="45" spans="1:12" ht="84.75" hidden="1" customHeight="1">
      <c r="A45" s="910" t="s">
        <v>25</v>
      </c>
      <c r="B45" s="599" t="s">
        <v>722</v>
      </c>
      <c r="C45" s="597"/>
      <c r="D45" s="597">
        <v>0</v>
      </c>
      <c r="E45" s="598">
        <f t="shared" si="1"/>
        <v>0</v>
      </c>
    </row>
    <row r="46" spans="1:12" ht="84.75" hidden="1" customHeight="1">
      <c r="A46" s="910" t="s">
        <v>25</v>
      </c>
      <c r="B46" s="985" t="s">
        <v>723</v>
      </c>
      <c r="C46" s="986"/>
      <c r="D46" s="986">
        <v>0</v>
      </c>
      <c r="E46" s="598">
        <f t="shared" si="1"/>
        <v>0</v>
      </c>
    </row>
    <row r="47" spans="1:12" ht="84.75" hidden="1" customHeight="1">
      <c r="A47" s="910" t="s">
        <v>711</v>
      </c>
      <c r="B47" s="985" t="s">
        <v>724</v>
      </c>
      <c r="C47" s="986"/>
      <c r="D47" s="986">
        <v>0</v>
      </c>
      <c r="E47" s="598">
        <f t="shared" si="1"/>
        <v>0</v>
      </c>
      <c r="G47" s="155" t="s">
        <v>10</v>
      </c>
    </row>
    <row r="48" spans="1:12" ht="62.45" hidden="1" customHeight="1">
      <c r="A48" s="910" t="s">
        <v>711</v>
      </c>
      <c r="B48" s="599" t="s">
        <v>725</v>
      </c>
      <c r="C48" s="597"/>
      <c r="D48" s="597">
        <v>0</v>
      </c>
      <c r="E48" s="598">
        <f t="shared" si="1"/>
        <v>0</v>
      </c>
    </row>
    <row r="49" spans="1:5" ht="62.45" hidden="1" customHeight="1">
      <c r="A49" s="910" t="s">
        <v>34</v>
      </c>
      <c r="B49" s="985" t="s">
        <v>726</v>
      </c>
      <c r="C49" s="986"/>
      <c r="D49" s="986">
        <v>0</v>
      </c>
      <c r="E49" s="598">
        <f t="shared" si="1"/>
        <v>0</v>
      </c>
    </row>
    <row r="50" spans="1:5" ht="62.45" hidden="1" customHeight="1">
      <c r="A50" s="910" t="s">
        <v>34</v>
      </c>
      <c r="B50" s="985" t="s">
        <v>727</v>
      </c>
      <c r="C50" s="986"/>
      <c r="D50" s="986">
        <v>0</v>
      </c>
      <c r="E50" s="598">
        <f t="shared" si="1"/>
        <v>0</v>
      </c>
    </row>
    <row r="51" spans="1:5" ht="62.45" hidden="1" customHeight="1">
      <c r="A51" s="1099" t="s">
        <v>728</v>
      </c>
      <c r="B51" s="985" t="s">
        <v>729</v>
      </c>
      <c r="C51" s="986"/>
      <c r="D51" s="986">
        <v>0</v>
      </c>
      <c r="E51" s="1084">
        <f t="shared" si="1"/>
        <v>0</v>
      </c>
    </row>
    <row r="52" spans="1:5" ht="62.45" hidden="1" customHeight="1" thickBot="1">
      <c r="A52" s="1104" t="s">
        <v>45</v>
      </c>
      <c r="B52" s="1105" t="s">
        <v>730</v>
      </c>
      <c r="C52" s="1106"/>
      <c r="D52" s="1106">
        <v>0</v>
      </c>
      <c r="E52" s="1107">
        <f t="shared" si="1"/>
        <v>0</v>
      </c>
    </row>
    <row r="53" spans="1:5" ht="62.45" hidden="1" customHeight="1" thickBot="1">
      <c r="A53" s="1104" t="s">
        <v>33</v>
      </c>
      <c r="B53" s="1105" t="s">
        <v>734</v>
      </c>
      <c r="C53" s="1106"/>
      <c r="D53" s="1106">
        <v>0</v>
      </c>
      <c r="E53" s="1107">
        <f t="shared" si="1"/>
        <v>0</v>
      </c>
    </row>
    <row r="54" spans="1:5" ht="24.6" hidden="1" customHeight="1" thickBot="1">
      <c r="A54" s="1100" t="s">
        <v>53</v>
      </c>
      <c r="B54" s="1101"/>
      <c r="C54" s="1102">
        <f>SUM(C43:C51)</f>
        <v>0</v>
      </c>
      <c r="D54" s="1102">
        <f>SUM(D43:D53)</f>
        <v>0</v>
      </c>
      <c r="E54" s="1103">
        <f>SUM(E43:E53)</f>
        <v>0</v>
      </c>
    </row>
    <row r="55" spans="1:5" ht="25.35" hidden="1" customHeight="1">
      <c r="A55" s="11" t="s">
        <v>54</v>
      </c>
    </row>
    <row r="56" spans="1:5" ht="25.35" hidden="1" customHeight="1">
      <c r="D56" s="42"/>
    </row>
    <row r="57" spans="1:5" ht="30.6" hidden="1" customHeight="1" thickBot="1">
      <c r="A57" s="456" t="s">
        <v>15</v>
      </c>
      <c r="B57" s="457"/>
      <c r="C57" s="457"/>
    </row>
    <row r="58" spans="1:5" ht="41.1" hidden="1" customHeight="1" thickBot="1">
      <c r="A58" s="39" t="s">
        <v>714</v>
      </c>
      <c r="B58" s="381" t="s">
        <v>732</v>
      </c>
      <c r="C58" s="10" t="s">
        <v>10</v>
      </c>
      <c r="D58" s="10"/>
    </row>
    <row r="59" spans="1:5" ht="69" hidden="1" customHeight="1" thickBot="1">
      <c r="A59" s="1000" t="s">
        <v>733</v>
      </c>
      <c r="B59" s="1001"/>
      <c r="C59" s="142"/>
    </row>
    <row r="60" spans="1:5" ht="37.35" hidden="1" customHeight="1" thickBot="1">
      <c r="A60" s="347" t="s">
        <v>17</v>
      </c>
      <c r="B60" s="442" t="s">
        <v>48</v>
      </c>
      <c r="D60" s="16"/>
    </row>
    <row r="61" spans="1:5" ht="25.35" hidden="1" customHeight="1" thickBot="1">
      <c r="A61" s="398" t="str">
        <f>A33</f>
        <v>Tallahassee State College</v>
      </c>
      <c r="B61" s="458">
        <v>0</v>
      </c>
      <c r="C61" s="155"/>
    </row>
    <row r="62" spans="1:5" ht="25.35" hidden="1" customHeight="1" thickBot="1">
      <c r="A62" s="369" t="s">
        <v>48</v>
      </c>
      <c r="B62" s="459">
        <f>SUM(B61:B61)</f>
        <v>0</v>
      </c>
      <c r="C62" s="382"/>
    </row>
    <row r="63" spans="1:5" ht="24.6" customHeight="1">
      <c r="A63" s="464"/>
      <c r="B63" s="463"/>
      <c r="C63" s="463"/>
    </row>
    <row r="64" spans="1:5" ht="32.1" customHeight="1" thickBot="1">
      <c r="A64" s="456" t="s">
        <v>55</v>
      </c>
      <c r="B64" s="457"/>
      <c r="C64" s="457"/>
    </row>
    <row r="65" spans="1:7" ht="44.45" customHeight="1" thickBot="1">
      <c r="A65" s="32" t="s">
        <v>766</v>
      </c>
      <c r="B65" s="1002" t="s">
        <v>765</v>
      </c>
      <c r="C65" s="1003"/>
      <c r="D65" s="1003"/>
      <c r="E65" s="1004"/>
      <c r="F65" s="12"/>
      <c r="G65" s="10"/>
    </row>
    <row r="66" spans="1:7" ht="87.6" customHeight="1" thickBot="1">
      <c r="A66" s="34" t="s">
        <v>17</v>
      </c>
      <c r="B66" s="18" t="s">
        <v>770</v>
      </c>
      <c r="C66" s="33" t="s">
        <v>56</v>
      </c>
      <c r="D66" s="19" t="s">
        <v>57</v>
      </c>
      <c r="E66" s="20" t="s">
        <v>58</v>
      </c>
      <c r="F66" s="18" t="s">
        <v>59</v>
      </c>
    </row>
    <row r="67" spans="1:7" ht="25.35" customHeight="1">
      <c r="A67" s="600" t="str">
        <f t="shared" ref="A67:A94" si="2">A7</f>
        <v>Eastern Florida State College</v>
      </c>
      <c r="B67" s="401">
        <v>23256743.352906086</v>
      </c>
      <c r="C67" s="401">
        <f t="shared" ref="C67:C94" si="3">B67*0.05</f>
        <v>1162837.1676453042</v>
      </c>
      <c r="D67" s="1039">
        <f t="shared" ref="D67:D94" si="4">IF(C67&gt;500000,0,1)</f>
        <v>0</v>
      </c>
      <c r="E67" s="402">
        <f t="shared" ref="E67:E94" si="5">IF(D67&lt;1,0,B67*0.02)</f>
        <v>0</v>
      </c>
      <c r="F67" s="401">
        <f>C67+E67</f>
        <v>1162837.1676453042</v>
      </c>
    </row>
    <row r="68" spans="1:7" ht="25.35" customHeight="1">
      <c r="A68" s="601" t="str">
        <f t="shared" si="2"/>
        <v>Broward College</v>
      </c>
      <c r="B68" s="14">
        <v>61594260.82257501</v>
      </c>
      <c r="C68" s="14">
        <f t="shared" si="3"/>
        <v>3079713.0411287509</v>
      </c>
      <c r="D68" s="14">
        <f t="shared" si="4"/>
        <v>0</v>
      </c>
      <c r="E68" s="14">
        <f t="shared" si="5"/>
        <v>0</v>
      </c>
      <c r="F68" s="14">
        <f t="shared" ref="F68:F94" si="6">C68+E68</f>
        <v>3079713.0411287509</v>
      </c>
    </row>
    <row r="69" spans="1:7" ht="25.35" customHeight="1">
      <c r="A69" s="601" t="str">
        <f t="shared" si="2"/>
        <v>College of Central Florida</v>
      </c>
      <c r="B69" s="14">
        <v>11531518.881445404</v>
      </c>
      <c r="C69" s="14">
        <f t="shared" si="3"/>
        <v>576575.94407227018</v>
      </c>
      <c r="D69" s="14">
        <f t="shared" si="4"/>
        <v>0</v>
      </c>
      <c r="E69" s="14">
        <f t="shared" si="5"/>
        <v>0</v>
      </c>
      <c r="F69" s="14">
        <f t="shared" si="6"/>
        <v>576575.94407227018</v>
      </c>
    </row>
    <row r="70" spans="1:7" ht="25.35" customHeight="1">
      <c r="A70" s="602" t="str">
        <f t="shared" si="2"/>
        <v>Chipola College</v>
      </c>
      <c r="B70" s="367">
        <v>2781338.4887212887</v>
      </c>
      <c r="C70" s="367">
        <f t="shared" si="3"/>
        <v>139066.92443606444</v>
      </c>
      <c r="D70" s="367">
        <f t="shared" si="4"/>
        <v>1</v>
      </c>
      <c r="E70" s="367">
        <f t="shared" si="5"/>
        <v>55626.769774425775</v>
      </c>
      <c r="F70" s="367">
        <f t="shared" si="6"/>
        <v>194693.69421049021</v>
      </c>
    </row>
    <row r="71" spans="1:7" ht="25.35" customHeight="1">
      <c r="A71" s="601" t="str">
        <f t="shared" si="2"/>
        <v>Daytona State College</v>
      </c>
      <c r="B71" s="14">
        <v>24596041.820685577</v>
      </c>
      <c r="C71" s="14">
        <f t="shared" si="3"/>
        <v>1229802.091034279</v>
      </c>
      <c r="D71" s="14">
        <f t="shared" si="4"/>
        <v>0</v>
      </c>
      <c r="E71" s="14">
        <f t="shared" si="5"/>
        <v>0</v>
      </c>
      <c r="F71" s="14">
        <f t="shared" si="6"/>
        <v>1229802.091034279</v>
      </c>
    </row>
    <row r="72" spans="1:7" ht="25.35" customHeight="1">
      <c r="A72" s="601" t="str">
        <f t="shared" si="2"/>
        <v>Florida SouthWestern State College</v>
      </c>
      <c r="B72" s="14">
        <v>22165548.181062032</v>
      </c>
      <c r="C72" s="14">
        <f t="shared" si="3"/>
        <v>1108277.4090531017</v>
      </c>
      <c r="D72" s="14">
        <f t="shared" si="4"/>
        <v>0</v>
      </c>
      <c r="E72" s="14">
        <f t="shared" si="5"/>
        <v>0</v>
      </c>
      <c r="F72" s="14">
        <f t="shared" si="6"/>
        <v>1108277.4090531017</v>
      </c>
    </row>
    <row r="73" spans="1:7" ht="25.35" customHeight="1">
      <c r="A73" s="601" t="str">
        <f t="shared" si="2"/>
        <v>Florida State College at Jacksonville</v>
      </c>
      <c r="B73" s="14">
        <v>41006279.228462599</v>
      </c>
      <c r="C73" s="14">
        <f t="shared" si="3"/>
        <v>2050313.96142313</v>
      </c>
      <c r="D73" s="14">
        <f t="shared" si="4"/>
        <v>0</v>
      </c>
      <c r="E73" s="14">
        <f t="shared" si="5"/>
        <v>0</v>
      </c>
      <c r="F73" s="14">
        <f t="shared" si="6"/>
        <v>2050313.96142313</v>
      </c>
    </row>
    <row r="74" spans="1:7" ht="25.35" customHeight="1">
      <c r="A74" s="602" t="str">
        <f t="shared" si="2"/>
        <v>College of the Florida Keys</v>
      </c>
      <c r="B74" s="367">
        <v>2681123.2512381575</v>
      </c>
      <c r="C74" s="367">
        <f t="shared" si="3"/>
        <v>134056.16256190787</v>
      </c>
      <c r="D74" s="367">
        <f t="shared" si="4"/>
        <v>1</v>
      </c>
      <c r="E74" s="367">
        <f t="shared" si="5"/>
        <v>53622.465024763151</v>
      </c>
      <c r="F74" s="367">
        <f t="shared" si="6"/>
        <v>187678.62758667103</v>
      </c>
    </row>
    <row r="75" spans="1:7" ht="25.35" customHeight="1">
      <c r="A75" s="602" t="str">
        <f t="shared" si="2"/>
        <v>Gulf Coast State College</v>
      </c>
      <c r="B75" s="367">
        <v>7966127.0506209889</v>
      </c>
      <c r="C75" s="367">
        <f t="shared" si="3"/>
        <v>398306.35253104946</v>
      </c>
      <c r="D75" s="367">
        <f t="shared" si="4"/>
        <v>1</v>
      </c>
      <c r="E75" s="367">
        <f t="shared" si="5"/>
        <v>159322.5410124198</v>
      </c>
      <c r="F75" s="367">
        <f t="shared" si="6"/>
        <v>557628.89354346925</v>
      </c>
    </row>
    <row r="76" spans="1:7" ht="25.35" customHeight="1">
      <c r="A76" s="601" t="str">
        <f t="shared" si="2"/>
        <v>Hillsborough Community College</v>
      </c>
      <c r="B76" s="14">
        <v>43779306.709465422</v>
      </c>
      <c r="C76" s="14">
        <f>B76*0.05</f>
        <v>2188965.3354732711</v>
      </c>
      <c r="D76" s="14">
        <f t="shared" si="4"/>
        <v>0</v>
      </c>
      <c r="E76" s="14">
        <f t="shared" si="5"/>
        <v>0</v>
      </c>
      <c r="F76" s="14">
        <f t="shared" si="6"/>
        <v>2188965.3354732711</v>
      </c>
    </row>
    <row r="77" spans="1:7" ht="25.35" customHeight="1">
      <c r="A77" s="601" t="str">
        <f t="shared" si="2"/>
        <v>Indian River State College</v>
      </c>
      <c r="B77" s="14">
        <v>24484353.555921517</v>
      </c>
      <c r="C77" s="14">
        <f t="shared" si="3"/>
        <v>1224217.6777960758</v>
      </c>
      <c r="D77" s="14">
        <f t="shared" si="4"/>
        <v>0</v>
      </c>
      <c r="E77" s="14">
        <f t="shared" si="5"/>
        <v>0</v>
      </c>
      <c r="F77" s="14">
        <f t="shared" si="6"/>
        <v>1224217.6777960758</v>
      </c>
    </row>
    <row r="78" spans="1:7" ht="25.35" customHeight="1">
      <c r="A78" s="602" t="str">
        <f t="shared" si="2"/>
        <v>Florida Gateway College</v>
      </c>
      <c r="B78" s="367">
        <v>4956337.5280467663</v>
      </c>
      <c r="C78" s="367">
        <f t="shared" si="3"/>
        <v>247816.87640233833</v>
      </c>
      <c r="D78" s="367">
        <f t="shared" si="4"/>
        <v>1</v>
      </c>
      <c r="E78" s="367">
        <f t="shared" si="5"/>
        <v>99126.750560935325</v>
      </c>
      <c r="F78" s="367">
        <f t="shared" si="6"/>
        <v>346943.62696327362</v>
      </c>
    </row>
    <row r="79" spans="1:7" ht="25.35" customHeight="1">
      <c r="A79" s="602" t="str">
        <f t="shared" si="2"/>
        <v>Lake-Sumter State College</v>
      </c>
      <c r="B79" s="367">
        <v>8530990.5403122753</v>
      </c>
      <c r="C79" s="367">
        <f t="shared" si="3"/>
        <v>426549.5270156138</v>
      </c>
      <c r="D79" s="367">
        <f t="shared" si="4"/>
        <v>1</v>
      </c>
      <c r="E79" s="367">
        <f t="shared" si="5"/>
        <v>170619.81080624551</v>
      </c>
      <c r="F79" s="367">
        <f t="shared" si="6"/>
        <v>597169.33782185928</v>
      </c>
    </row>
    <row r="80" spans="1:7" ht="25.35" customHeight="1">
      <c r="A80" s="601" t="str">
        <f t="shared" si="2"/>
        <v>State College of Florida, Manatee-Sarasota</v>
      </c>
      <c r="B80" s="14">
        <v>15933336.747870879</v>
      </c>
      <c r="C80" s="14">
        <f t="shared" si="3"/>
        <v>796666.83739354403</v>
      </c>
      <c r="D80" s="14">
        <f t="shared" si="4"/>
        <v>0</v>
      </c>
      <c r="E80" s="14">
        <f t="shared" si="5"/>
        <v>0</v>
      </c>
      <c r="F80" s="14">
        <f t="shared" si="6"/>
        <v>796666.83739354403</v>
      </c>
    </row>
    <row r="81" spans="1:6" ht="25.35" customHeight="1">
      <c r="A81" s="601" t="str">
        <f t="shared" si="2"/>
        <v>Miami Dade College</v>
      </c>
      <c r="B81" s="14">
        <v>127613894.01784386</v>
      </c>
      <c r="C81" s="14">
        <f t="shared" si="3"/>
        <v>6380694.7008921932</v>
      </c>
      <c r="D81" s="14">
        <f t="shared" si="4"/>
        <v>0</v>
      </c>
      <c r="E81" s="14">
        <f t="shared" si="5"/>
        <v>0</v>
      </c>
      <c r="F81" s="14">
        <f t="shared" si="6"/>
        <v>6380694.7008921932</v>
      </c>
    </row>
    <row r="82" spans="1:6" ht="25.35" customHeight="1">
      <c r="A82" s="602" t="str">
        <f t="shared" si="2"/>
        <v>North Florida College</v>
      </c>
      <c r="B82" s="367">
        <v>1708124.0246540378</v>
      </c>
      <c r="C82" s="367">
        <f t="shared" si="3"/>
        <v>85406.201232701889</v>
      </c>
      <c r="D82" s="367">
        <f t="shared" si="4"/>
        <v>1</v>
      </c>
      <c r="E82" s="367">
        <f t="shared" si="5"/>
        <v>34162.480493080759</v>
      </c>
      <c r="F82" s="367">
        <f t="shared" si="6"/>
        <v>119568.68172578265</v>
      </c>
    </row>
    <row r="83" spans="1:6" ht="25.35" customHeight="1">
      <c r="A83" s="602" t="str">
        <f t="shared" si="2"/>
        <v>Northwest Florida State College</v>
      </c>
      <c r="B83" s="367">
        <v>8651633.9745253958</v>
      </c>
      <c r="C83" s="367">
        <f t="shared" si="3"/>
        <v>432581.69872626982</v>
      </c>
      <c r="D83" s="367">
        <f t="shared" si="4"/>
        <v>1</v>
      </c>
      <c r="E83" s="367">
        <f t="shared" si="5"/>
        <v>173032.67949050793</v>
      </c>
      <c r="F83" s="367">
        <f t="shared" si="6"/>
        <v>605614.3782167777</v>
      </c>
    </row>
    <row r="84" spans="1:6" ht="25.35" customHeight="1">
      <c r="A84" s="601" t="str">
        <f t="shared" si="2"/>
        <v>Palm Beach State College</v>
      </c>
      <c r="B84" s="14">
        <v>44993387.563213639</v>
      </c>
      <c r="C84" s="14">
        <f t="shared" si="3"/>
        <v>2249669.378160682</v>
      </c>
      <c r="D84" s="14">
        <f t="shared" si="4"/>
        <v>0</v>
      </c>
      <c r="E84" s="14">
        <f t="shared" si="5"/>
        <v>0</v>
      </c>
      <c r="F84" s="14">
        <f t="shared" si="6"/>
        <v>2249669.378160682</v>
      </c>
    </row>
    <row r="85" spans="1:6" ht="25.35" customHeight="1">
      <c r="A85" s="601" t="str">
        <f t="shared" si="2"/>
        <v>Pasco-Hernando State College</v>
      </c>
      <c r="B85" s="14">
        <v>12575670.286752528</v>
      </c>
      <c r="C85" s="14">
        <f t="shared" si="3"/>
        <v>628783.5143376264</v>
      </c>
      <c r="D85" s="14">
        <f t="shared" si="4"/>
        <v>0</v>
      </c>
      <c r="E85" s="14">
        <f t="shared" si="5"/>
        <v>0</v>
      </c>
      <c r="F85" s="14">
        <f t="shared" si="6"/>
        <v>628783.5143376264</v>
      </c>
    </row>
    <row r="86" spans="1:6" ht="25.35" customHeight="1">
      <c r="A86" s="601" t="str">
        <f t="shared" si="2"/>
        <v>Pensacola State College</v>
      </c>
      <c r="B86" s="14">
        <v>16567182.506344043</v>
      </c>
      <c r="C86" s="14">
        <f t="shared" si="3"/>
        <v>828359.12531720218</v>
      </c>
      <c r="D86" s="14">
        <f t="shared" si="4"/>
        <v>0</v>
      </c>
      <c r="E86" s="14">
        <f t="shared" si="5"/>
        <v>0</v>
      </c>
      <c r="F86" s="14">
        <f t="shared" si="6"/>
        <v>828359.12531720218</v>
      </c>
    </row>
    <row r="87" spans="1:6" ht="25.35" customHeight="1">
      <c r="A87" s="601" t="str">
        <f t="shared" si="2"/>
        <v>Polk State College</v>
      </c>
      <c r="B87" s="14">
        <v>12788088.136124052</v>
      </c>
      <c r="C87" s="14">
        <f t="shared" si="3"/>
        <v>639404.40680620261</v>
      </c>
      <c r="D87" s="14">
        <f t="shared" si="4"/>
        <v>0</v>
      </c>
      <c r="E87" s="14">
        <f t="shared" si="5"/>
        <v>0</v>
      </c>
      <c r="F87" s="14">
        <f t="shared" si="6"/>
        <v>639404.40680620261</v>
      </c>
    </row>
    <row r="88" spans="1:6" ht="25.35" customHeight="1">
      <c r="A88" s="602" t="str">
        <f t="shared" si="2"/>
        <v>St. Johns River State College</v>
      </c>
      <c r="B88" s="367">
        <v>8433909.2507112343</v>
      </c>
      <c r="C88" s="367">
        <f t="shared" si="3"/>
        <v>421695.46253556176</v>
      </c>
      <c r="D88" s="367">
        <f t="shared" si="4"/>
        <v>1</v>
      </c>
      <c r="E88" s="367">
        <f t="shared" si="5"/>
        <v>168678.1850142247</v>
      </c>
      <c r="F88" s="367">
        <f t="shared" si="6"/>
        <v>590373.64754978649</v>
      </c>
    </row>
    <row r="89" spans="1:6" ht="25.35" customHeight="1">
      <c r="A89" s="601" t="str">
        <f t="shared" si="2"/>
        <v>St. Petersburg College</v>
      </c>
      <c r="B89" s="14">
        <v>38566548.229204535</v>
      </c>
      <c r="C89" s="14">
        <f t="shared" si="3"/>
        <v>1928327.4114602269</v>
      </c>
      <c r="D89" s="14">
        <f t="shared" si="4"/>
        <v>0</v>
      </c>
      <c r="E89" s="14">
        <f t="shared" si="5"/>
        <v>0</v>
      </c>
      <c r="F89" s="14">
        <f t="shared" si="6"/>
        <v>1928327.4114602269</v>
      </c>
    </row>
    <row r="90" spans="1:6" ht="25.35" customHeight="1">
      <c r="A90" s="601" t="str">
        <f t="shared" si="2"/>
        <v>Santa Fe College</v>
      </c>
      <c r="B90" s="14">
        <v>26495125.832033031</v>
      </c>
      <c r="C90" s="14">
        <f t="shared" si="3"/>
        <v>1324756.2916016516</v>
      </c>
      <c r="D90" s="14">
        <f t="shared" si="4"/>
        <v>0</v>
      </c>
      <c r="E90" s="14">
        <f t="shared" si="5"/>
        <v>0</v>
      </c>
      <c r="F90" s="14">
        <f t="shared" si="6"/>
        <v>1324756.2916016516</v>
      </c>
    </row>
    <row r="91" spans="1:6" ht="25.35" customHeight="1">
      <c r="A91" s="601" t="str">
        <f t="shared" si="2"/>
        <v>Seminole State College of Florida</v>
      </c>
      <c r="B91" s="14">
        <v>27033903.438641444</v>
      </c>
      <c r="C91" s="14">
        <f t="shared" si="3"/>
        <v>1351695.1719320724</v>
      </c>
      <c r="D91" s="14">
        <f t="shared" si="4"/>
        <v>0</v>
      </c>
      <c r="E91" s="14">
        <f t="shared" si="5"/>
        <v>0</v>
      </c>
      <c r="F91" s="14">
        <f t="shared" si="6"/>
        <v>1351695.1719320724</v>
      </c>
    </row>
    <row r="92" spans="1:6" ht="25.35" customHeight="1">
      <c r="A92" s="602" t="str">
        <f t="shared" si="2"/>
        <v>South Florida State College</v>
      </c>
      <c r="B92" s="367">
        <v>4390905.5041958187</v>
      </c>
      <c r="C92" s="367">
        <f t="shared" si="3"/>
        <v>219545.27520979094</v>
      </c>
      <c r="D92" s="367">
        <f t="shared" si="4"/>
        <v>1</v>
      </c>
      <c r="E92" s="367">
        <f t="shared" si="5"/>
        <v>87818.11008391637</v>
      </c>
      <c r="F92" s="367">
        <f t="shared" si="6"/>
        <v>307363.38529370731</v>
      </c>
    </row>
    <row r="93" spans="1:6" ht="25.35" customHeight="1">
      <c r="A93" s="601" t="str">
        <f t="shared" si="2"/>
        <v>Tallahassee State College</v>
      </c>
      <c r="B93" s="14">
        <v>26198681.313780826</v>
      </c>
      <c r="C93" s="14">
        <f t="shared" si="3"/>
        <v>1309934.0656890413</v>
      </c>
      <c r="D93" s="14">
        <f t="shared" si="4"/>
        <v>0</v>
      </c>
      <c r="E93" s="14">
        <f t="shared" si="5"/>
        <v>0</v>
      </c>
      <c r="F93" s="14">
        <f t="shared" si="6"/>
        <v>1309934.0656890413</v>
      </c>
    </row>
    <row r="94" spans="1:6" ht="25.35" customHeight="1" thickBot="1">
      <c r="A94" s="601" t="str">
        <f t="shared" si="2"/>
        <v>Valencia College</v>
      </c>
      <c r="B94" s="21">
        <v>102395707.48466873</v>
      </c>
      <c r="C94" s="21">
        <f t="shared" si="3"/>
        <v>5119785.3742334368</v>
      </c>
      <c r="D94" s="21">
        <f t="shared" si="4"/>
        <v>0</v>
      </c>
      <c r="E94" s="21">
        <f t="shared" si="5"/>
        <v>0</v>
      </c>
      <c r="F94" s="21">
        <f t="shared" si="6"/>
        <v>5119785.3742334368</v>
      </c>
    </row>
    <row r="95" spans="1:6" ht="25.35" customHeight="1" thickBot="1">
      <c r="A95" s="59" t="s">
        <v>48</v>
      </c>
      <c r="B95" s="403">
        <f>SUM(B67:B94)</f>
        <v>753676067.72202718</v>
      </c>
      <c r="C95" s="403">
        <f>SUM(C67:C94)</f>
        <v>37683803.386101365</v>
      </c>
      <c r="D95" s="60">
        <f>SUM(D67:D94)</f>
        <v>9</v>
      </c>
      <c r="E95" s="403">
        <f>SUM(E67:E94)</f>
        <v>1002009.7922605193</v>
      </c>
      <c r="F95" s="404">
        <f>SUM(C95+E95)</f>
        <v>38685813.178361885</v>
      </c>
    </row>
    <row r="96" spans="1:6" ht="25.35" customHeight="1">
      <c r="A96" s="71"/>
    </row>
    <row r="97" spans="1:50" ht="25.35" customHeight="1">
      <c r="A97" s="72" t="s">
        <v>60</v>
      </c>
    </row>
    <row r="98" spans="1:50" ht="25.35" customHeight="1">
      <c r="A98" s="996" t="s">
        <v>769</v>
      </c>
      <c r="B98" s="996"/>
      <c r="C98" s="996"/>
      <c r="D98" s="996"/>
      <c r="E98" s="996"/>
      <c r="F98" s="996"/>
      <c r="G98" s="996"/>
      <c r="H98" s="996"/>
      <c r="I98" s="996"/>
      <c r="J98" s="996"/>
      <c r="K98" s="996"/>
      <c r="L98" s="996"/>
      <c r="M98" s="996"/>
      <c r="N98" s="996"/>
      <c r="O98" s="996"/>
      <c r="P98" s="996"/>
      <c r="Q98" s="996"/>
      <c r="R98" s="996"/>
    </row>
    <row r="99" spans="1:50" ht="20.100000000000001" customHeight="1">
      <c r="A99" s="994" t="s">
        <v>61</v>
      </c>
      <c r="B99" s="994"/>
      <c r="C99" s="994"/>
      <c r="D99" s="994"/>
      <c r="E99" s="994"/>
      <c r="F99" s="994"/>
      <c r="G99" s="994"/>
      <c r="H99" s="994"/>
      <c r="I99" s="994"/>
      <c r="J99" s="994"/>
      <c r="K99" s="994"/>
      <c r="L99" s="994"/>
      <c r="M99" s="994"/>
      <c r="N99" s="994"/>
      <c r="O99" s="994"/>
      <c r="P99" s="994"/>
      <c r="Q99" s="994"/>
      <c r="R99" s="994"/>
      <c r="S99" s="460"/>
    </row>
    <row r="100" spans="1:50" ht="20.100000000000001" customHeight="1">
      <c r="A100" s="444" t="s">
        <v>62</v>
      </c>
      <c r="B100" s="444"/>
      <c r="C100" s="444"/>
      <c r="D100" s="444"/>
      <c r="E100" s="444"/>
      <c r="F100" s="444"/>
      <c r="G100" s="444"/>
      <c r="H100" s="444"/>
      <c r="I100" s="444"/>
      <c r="J100" s="444"/>
      <c r="K100" s="444"/>
      <c r="L100" s="444"/>
      <c r="M100" s="444"/>
      <c r="N100" s="444"/>
      <c r="O100" s="444"/>
      <c r="P100" s="444"/>
      <c r="Q100" s="444"/>
      <c r="R100" s="444"/>
    </row>
    <row r="101" spans="1:50" ht="20.100000000000001" customHeight="1">
      <c r="A101" s="994" t="s">
        <v>63</v>
      </c>
      <c r="B101" s="994"/>
      <c r="C101" s="994"/>
      <c r="D101" s="994"/>
      <c r="E101" s="994"/>
      <c r="F101" s="994"/>
      <c r="G101" s="994"/>
      <c r="H101" s="994"/>
      <c r="I101" s="994"/>
      <c r="J101" s="994"/>
      <c r="K101" s="994"/>
      <c r="L101" s="994"/>
      <c r="M101" s="994"/>
      <c r="N101" s="994"/>
      <c r="O101" s="994"/>
      <c r="P101" s="994"/>
      <c r="Q101" s="994"/>
      <c r="R101" s="994"/>
    </row>
    <row r="102" spans="1:50" ht="20.100000000000001" customHeight="1">
      <c r="A102" s="994"/>
      <c r="B102" s="994"/>
      <c r="C102" s="994"/>
      <c r="D102" s="994"/>
      <c r="E102" s="994"/>
      <c r="F102" s="994"/>
      <c r="G102" s="994"/>
    </row>
    <row r="103" spans="1:50" ht="32.450000000000003" customHeight="1" thickBot="1">
      <c r="E103" s="455"/>
      <c r="F103" s="455"/>
      <c r="G103" s="455"/>
    </row>
    <row r="104" spans="1:50" ht="43.35" customHeight="1" thickBot="1">
      <c r="A104" s="41" t="s">
        <v>767</v>
      </c>
      <c r="B104" s="989" t="s">
        <v>781</v>
      </c>
      <c r="C104" s="990"/>
      <c r="D104" s="991"/>
      <c r="E104" s="992" t="s">
        <v>64</v>
      </c>
      <c r="F104" s="992"/>
      <c r="G104" s="992"/>
      <c r="H104" s="992"/>
      <c r="I104" s="992"/>
      <c r="J104" s="992"/>
      <c r="K104" s="992"/>
      <c r="L104" s="992"/>
      <c r="M104" s="992"/>
      <c r="N104" s="992"/>
      <c r="O104" s="992"/>
      <c r="P104" s="992"/>
      <c r="Q104" s="992"/>
      <c r="R104" s="992"/>
      <c r="S104" s="993"/>
      <c r="T104" s="13"/>
      <c r="U104" s="13"/>
      <c r="AC104" s="13"/>
      <c r="AK104" s="374"/>
    </row>
    <row r="105" spans="1:50" ht="39" customHeight="1" thickBot="1">
      <c r="A105" s="40">
        <v>1</v>
      </c>
      <c r="B105" s="38">
        <v>2</v>
      </c>
      <c r="C105" s="992">
        <v>3</v>
      </c>
      <c r="D105" s="993">
        <v>4</v>
      </c>
      <c r="E105" s="992">
        <v>5</v>
      </c>
      <c r="F105" s="992">
        <v>6</v>
      </c>
      <c r="G105" s="992">
        <v>7</v>
      </c>
      <c r="H105" s="992">
        <v>8</v>
      </c>
      <c r="I105" s="992">
        <v>9</v>
      </c>
      <c r="J105" s="992">
        <v>10</v>
      </c>
      <c r="K105" s="992">
        <v>11</v>
      </c>
      <c r="L105" s="992">
        <v>12</v>
      </c>
      <c r="M105" s="992">
        <v>13</v>
      </c>
      <c r="N105" s="992">
        <v>14</v>
      </c>
      <c r="O105" s="992">
        <v>15</v>
      </c>
      <c r="P105" s="992">
        <v>16</v>
      </c>
      <c r="Q105" s="992">
        <v>17</v>
      </c>
      <c r="R105" s="992">
        <v>18</v>
      </c>
      <c r="S105" s="993">
        <v>19</v>
      </c>
      <c r="T105" s="1027" t="s">
        <v>48</v>
      </c>
      <c r="U105" s="22"/>
      <c r="V105" s="38">
        <v>20</v>
      </c>
      <c r="W105" s="992">
        <v>21</v>
      </c>
      <c r="X105" s="992">
        <v>22</v>
      </c>
      <c r="Y105" s="52"/>
      <c r="Z105" s="992">
        <v>23</v>
      </c>
      <c r="AA105" s="992">
        <v>24</v>
      </c>
      <c r="AB105" s="993">
        <v>25</v>
      </c>
      <c r="AC105" s="25"/>
    </row>
    <row r="106" spans="1:50" ht="29.45" customHeight="1" thickBot="1">
      <c r="A106" s="49" t="s">
        <v>66</v>
      </c>
      <c r="B106" s="1035" t="s">
        <v>67</v>
      </c>
      <c r="C106" s="1036"/>
      <c r="D106" s="1037"/>
      <c r="E106" s="24"/>
      <c r="G106" s="1008"/>
      <c r="H106" s="1008"/>
      <c r="I106" s="1008"/>
      <c r="J106" s="1008" t="s">
        <v>68</v>
      </c>
      <c r="K106" s="1008"/>
      <c r="L106" s="1008"/>
      <c r="M106" s="1008"/>
      <c r="N106" s="1008"/>
      <c r="O106" s="1008"/>
      <c r="P106" s="1008"/>
      <c r="Q106" s="1021" t="s">
        <v>69</v>
      </c>
      <c r="R106" s="1022"/>
      <c r="S106" s="1023"/>
      <c r="T106" s="1028" t="s">
        <v>686</v>
      </c>
      <c r="U106" s="26"/>
      <c r="V106" s="27"/>
      <c r="W106" s="28"/>
      <c r="X106" s="29"/>
      <c r="Y106" s="53"/>
      <c r="Z106" s="1009"/>
      <c r="AA106" s="1010"/>
      <c r="AB106" s="1011"/>
      <c r="AC106" s="13"/>
      <c r="AD106" s="1098" t="s">
        <v>780</v>
      </c>
      <c r="AF106" s="23"/>
    </row>
    <row r="107" spans="1:50" ht="66" customHeight="1" thickBot="1">
      <c r="A107" s="30"/>
      <c r="B107" s="38" t="s">
        <v>70</v>
      </c>
      <c r="C107" s="992"/>
      <c r="D107" s="993"/>
      <c r="E107" s="38" t="s">
        <v>71</v>
      </c>
      <c r="F107" s="992"/>
      <c r="G107" s="993"/>
      <c r="H107" s="38" t="s">
        <v>72</v>
      </c>
      <c r="I107" s="992"/>
      <c r="J107" s="993"/>
      <c r="K107" s="998" t="s">
        <v>73</v>
      </c>
      <c r="L107" s="998"/>
      <c r="M107" s="998"/>
      <c r="N107" s="32" t="s">
        <v>74</v>
      </c>
      <c r="O107" s="999"/>
      <c r="P107" s="33"/>
      <c r="Q107" s="1024" t="s">
        <v>710</v>
      </c>
      <c r="R107" s="1025"/>
      <c r="S107" s="1026"/>
      <c r="T107" s="1083"/>
      <c r="U107" s="15"/>
      <c r="V107" s="1140" t="s">
        <v>77</v>
      </c>
      <c r="W107" s="1143"/>
      <c r="X107" s="1144"/>
      <c r="Y107" s="1142"/>
      <c r="Z107" s="1140" t="s">
        <v>78</v>
      </c>
      <c r="AA107" s="1141"/>
      <c r="AB107" s="997"/>
      <c r="AD107" s="37" t="s">
        <v>79</v>
      </c>
      <c r="AF107" s="13"/>
      <c r="AI107" s="1029" t="s">
        <v>687</v>
      </c>
      <c r="AJ107" s="1029"/>
      <c r="AK107" s="1029"/>
      <c r="AL107" s="1029"/>
      <c r="AM107" s="1029"/>
      <c r="AN107" s="1029"/>
      <c r="AO107" s="1029"/>
    </row>
    <row r="108" spans="1:50" ht="87" customHeight="1" thickBot="1">
      <c r="A108" s="34" t="s">
        <v>17</v>
      </c>
      <c r="B108" s="919" t="s">
        <v>80</v>
      </c>
      <c r="C108" s="372"/>
      <c r="D108" s="541" t="s">
        <v>53</v>
      </c>
      <c r="E108" s="918" t="s">
        <v>80</v>
      </c>
      <c r="F108" s="917" t="s">
        <v>81</v>
      </c>
      <c r="G108" s="13" t="s">
        <v>53</v>
      </c>
      <c r="H108" s="920" t="s">
        <v>80</v>
      </c>
      <c r="I108" s="921" t="s">
        <v>81</v>
      </c>
      <c r="J108" s="51" t="s">
        <v>53</v>
      </c>
      <c r="K108" s="922" t="s">
        <v>80</v>
      </c>
      <c r="L108" s="923" t="s">
        <v>81</v>
      </c>
      <c r="M108" s="565" t="s">
        <v>53</v>
      </c>
      <c r="N108" s="924" t="s">
        <v>80</v>
      </c>
      <c r="O108" s="923" t="s">
        <v>81</v>
      </c>
      <c r="P108" s="513" t="s">
        <v>53</v>
      </c>
      <c r="Q108" s="924" t="s">
        <v>80</v>
      </c>
      <c r="R108" s="917" t="s">
        <v>81</v>
      </c>
      <c r="S108" s="51" t="s">
        <v>53</v>
      </c>
      <c r="T108" s="1082" t="s">
        <v>76</v>
      </c>
      <c r="V108" s="925" t="s">
        <v>80</v>
      </c>
      <c r="W108" s="926" t="s">
        <v>81</v>
      </c>
      <c r="X108" s="603" t="s">
        <v>53</v>
      </c>
      <c r="Y108" s="50"/>
      <c r="Z108" s="31" t="s">
        <v>80</v>
      </c>
      <c r="AA108" s="927" t="s">
        <v>81</v>
      </c>
      <c r="AB108" s="74" t="s">
        <v>53</v>
      </c>
      <c r="AD108" s="34" t="s">
        <v>17</v>
      </c>
      <c r="AE108" s="928" t="s">
        <v>82</v>
      </c>
      <c r="AF108" s="929" t="s">
        <v>83</v>
      </c>
      <c r="AG108" s="17" t="s">
        <v>84</v>
      </c>
      <c r="AR108" s="22"/>
      <c r="AS108" s="22"/>
      <c r="AT108" s="22"/>
    </row>
    <row r="109" spans="1:50" ht="24.6" customHeight="1">
      <c r="A109" s="368" t="str">
        <f t="shared" ref="A109:A136" si="7">A7</f>
        <v>Eastern Florida State College</v>
      </c>
      <c r="B109" s="445">
        <v>938</v>
      </c>
      <c r="C109" s="1038"/>
      <c r="D109" s="913">
        <f t="shared" ref="D109:D136" si="8">B109+C109</f>
        <v>938</v>
      </c>
      <c r="E109" s="1012">
        <v>4588.0626271683277</v>
      </c>
      <c r="F109" s="446">
        <v>230.07580094492536</v>
      </c>
      <c r="G109" s="383">
        <f t="shared" ref="G109:G136" si="9">E109+F109</f>
        <v>4818.1384281132532</v>
      </c>
      <c r="H109" s="1076">
        <v>1791.0290909090911</v>
      </c>
      <c r="I109" s="1077">
        <v>62.033131313131314</v>
      </c>
      <c r="J109" s="383">
        <f>H109+I109</f>
        <v>1853.0622222222223</v>
      </c>
      <c r="K109" s="447">
        <v>209.75464876033058</v>
      </c>
      <c r="L109" s="448">
        <v>31.245351239669422</v>
      </c>
      <c r="M109" s="48">
        <f t="shared" ref="M109:M136" si="10">K109+L109</f>
        <v>241</v>
      </c>
      <c r="N109" s="447">
        <v>2</v>
      </c>
      <c r="O109" s="448">
        <v>0</v>
      </c>
      <c r="P109" s="48">
        <f t="shared" ref="P109:P136" si="11">N109+O109</f>
        <v>2</v>
      </c>
      <c r="Q109" s="447">
        <v>346.76278290025147</v>
      </c>
      <c r="R109" s="449">
        <v>23.788767812238056</v>
      </c>
      <c r="S109" s="383">
        <f t="shared" ref="S109:S136" si="12">Q109+R109</f>
        <v>370.55155071248953</v>
      </c>
      <c r="T109" s="48">
        <f t="shared" ref="T109:T136" si="13">D109+G109+J109+M109+P109+S109</f>
        <v>8222.7522010479643</v>
      </c>
      <c r="V109" s="604">
        <f>X109-W109</f>
        <v>0</v>
      </c>
      <c r="W109" s="450">
        <v>0</v>
      </c>
      <c r="X109" s="451">
        <v>0</v>
      </c>
      <c r="Y109" s="73"/>
      <c r="Z109" s="388">
        <f>AB109-AA109</f>
        <v>0</v>
      </c>
      <c r="AA109" s="452">
        <v>0</v>
      </c>
      <c r="AB109" s="605">
        <f t="shared" ref="AB109:AB136" si="14">AG109</f>
        <v>0</v>
      </c>
      <c r="AD109" s="368" t="str">
        <f t="shared" ref="AD109:AD136" si="15">A109</f>
        <v>Eastern Florida State College</v>
      </c>
      <c r="AE109" s="453">
        <v>0</v>
      </c>
      <c r="AF109" s="453">
        <v>0</v>
      </c>
      <c r="AG109" s="390">
        <f t="shared" ref="AG109:AG136" si="16">AE109+AF109</f>
        <v>0</v>
      </c>
      <c r="AI109" s="1007" t="s">
        <v>85</v>
      </c>
      <c r="AJ109" s="1007"/>
      <c r="AK109" s="1007"/>
      <c r="AL109" s="1007"/>
      <c r="AM109" s="1007"/>
      <c r="AN109" s="1007"/>
      <c r="AO109" s="36">
        <f>X137+AB137</f>
        <v>4305</v>
      </c>
      <c r="AR109" s="22"/>
      <c r="AS109" s="22"/>
      <c r="AT109" s="22"/>
    </row>
    <row r="110" spans="1:50" ht="25.35" customHeight="1">
      <c r="A110" s="606" t="str">
        <f t="shared" si="7"/>
        <v>Broward College</v>
      </c>
      <c r="B110" s="580">
        <v>1127</v>
      </c>
      <c r="C110" s="586"/>
      <c r="D110" s="914">
        <f t="shared" si="8"/>
        <v>1127</v>
      </c>
      <c r="E110" s="1013">
        <v>11240.924842589982</v>
      </c>
      <c r="F110" s="588">
        <v>643.98274754878923</v>
      </c>
      <c r="G110" s="587">
        <f t="shared" si="9"/>
        <v>11884.907590138771</v>
      </c>
      <c r="H110" s="1078">
        <v>6540.9687888604021</v>
      </c>
      <c r="I110" s="1079">
        <v>372.4932987395797</v>
      </c>
      <c r="J110" s="587">
        <f t="shared" ref="J110:J136" si="17">H110+I110</f>
        <v>6913.4620875999817</v>
      </c>
      <c r="K110" s="607">
        <v>545.01265822784808</v>
      </c>
      <c r="L110" s="581">
        <v>78.987341772151893</v>
      </c>
      <c r="M110" s="608">
        <f t="shared" si="10"/>
        <v>624</v>
      </c>
      <c r="N110" s="607">
        <v>3</v>
      </c>
      <c r="O110" s="581">
        <v>0</v>
      </c>
      <c r="P110" s="608">
        <f t="shared" si="11"/>
        <v>3</v>
      </c>
      <c r="Q110" s="607">
        <v>276.67311922569291</v>
      </c>
      <c r="R110" s="589">
        <v>4.3268807743070834</v>
      </c>
      <c r="S110" s="587">
        <f t="shared" si="12"/>
        <v>281</v>
      </c>
      <c r="T110" s="608">
        <f t="shared" si="13"/>
        <v>20833.369677738752</v>
      </c>
      <c r="V110" s="604">
        <f t="shared" ref="V110:V136" si="18">X110-W110</f>
        <v>0</v>
      </c>
      <c r="W110" s="589">
        <v>0</v>
      </c>
      <c r="X110" s="609">
        <v>0</v>
      </c>
      <c r="Y110" s="73"/>
      <c r="Z110" s="590">
        <f t="shared" ref="Z110:Z136" si="19">AB110-AA110</f>
        <v>0</v>
      </c>
      <c r="AA110" s="610">
        <v>59</v>
      </c>
      <c r="AB110" s="605">
        <f t="shared" si="14"/>
        <v>59</v>
      </c>
      <c r="AD110" s="373" t="str">
        <f t="shared" si="15"/>
        <v>Broward College</v>
      </c>
      <c r="AE110" s="611">
        <v>59</v>
      </c>
      <c r="AF110" s="611">
        <v>0</v>
      </c>
      <c r="AG110" s="587">
        <f t="shared" si="16"/>
        <v>59</v>
      </c>
      <c r="AI110" s="1007" t="s">
        <v>86</v>
      </c>
      <c r="AJ110" s="1007"/>
      <c r="AK110" s="1007"/>
      <c r="AL110" s="1007"/>
      <c r="AM110" s="1007"/>
      <c r="AN110" s="1007"/>
      <c r="AO110" s="454">
        <v>33002.959983617438</v>
      </c>
      <c r="AR110" s="151"/>
      <c r="AS110" s="151"/>
      <c r="AT110" s="151"/>
      <c r="AU110" s="151"/>
      <c r="AV110" s="151"/>
      <c r="AW110" s="151"/>
      <c r="AX110" s="151"/>
    </row>
    <row r="111" spans="1:50" ht="25.35" customHeight="1">
      <c r="A111" s="612" t="str">
        <f t="shared" si="7"/>
        <v>College of Central Florida</v>
      </c>
      <c r="B111" s="580">
        <v>311</v>
      </c>
      <c r="C111" s="586"/>
      <c r="D111" s="914">
        <f t="shared" si="8"/>
        <v>311</v>
      </c>
      <c r="E111" s="1013">
        <v>2036.2073561877783</v>
      </c>
      <c r="F111" s="588">
        <v>99.517723997167522</v>
      </c>
      <c r="G111" s="587">
        <f t="shared" si="9"/>
        <v>2135.7250801849459</v>
      </c>
      <c r="H111" s="1078">
        <v>1217.0137785291631</v>
      </c>
      <c r="I111" s="1079">
        <v>53.410904480135258</v>
      </c>
      <c r="J111" s="587">
        <f t="shared" si="17"/>
        <v>1270.4246830092984</v>
      </c>
      <c r="K111" s="607">
        <v>97.432033719704947</v>
      </c>
      <c r="L111" s="581">
        <v>21.567966280295046</v>
      </c>
      <c r="M111" s="608">
        <f t="shared" si="10"/>
        <v>119</v>
      </c>
      <c r="N111" s="607">
        <v>0</v>
      </c>
      <c r="O111" s="581">
        <v>0</v>
      </c>
      <c r="P111" s="608">
        <f t="shared" si="11"/>
        <v>0</v>
      </c>
      <c r="Q111" s="607">
        <v>128.93280632411069</v>
      </c>
      <c r="R111" s="589">
        <v>0.77470355731225282</v>
      </c>
      <c r="S111" s="587">
        <f t="shared" si="12"/>
        <v>129.70750988142294</v>
      </c>
      <c r="T111" s="608">
        <f t="shared" si="13"/>
        <v>3965.8572730756673</v>
      </c>
      <c r="V111" s="604">
        <f t="shared" si="18"/>
        <v>0</v>
      </c>
      <c r="W111" s="589">
        <v>0</v>
      </c>
      <c r="X111" s="609">
        <v>0</v>
      </c>
      <c r="Y111" s="73"/>
      <c r="Z111" s="590">
        <f t="shared" si="19"/>
        <v>6.9586776859504145</v>
      </c>
      <c r="AA111" s="610">
        <v>10.041322314049586</v>
      </c>
      <c r="AB111" s="605">
        <f t="shared" si="14"/>
        <v>17</v>
      </c>
      <c r="AD111" s="612" t="str">
        <f t="shared" si="15"/>
        <v>College of Central Florida</v>
      </c>
      <c r="AE111" s="611">
        <v>15</v>
      </c>
      <c r="AF111" s="611">
        <v>2</v>
      </c>
      <c r="AG111" s="587">
        <f t="shared" si="16"/>
        <v>17</v>
      </c>
      <c r="AI111" s="1007" t="s">
        <v>87</v>
      </c>
      <c r="AJ111" s="1007"/>
      <c r="AK111" s="1007"/>
      <c r="AL111" s="1007"/>
      <c r="AM111" s="1007"/>
      <c r="AN111" s="1007"/>
      <c r="AO111" s="553">
        <v>3682</v>
      </c>
    </row>
    <row r="112" spans="1:50" ht="25.35" customHeight="1">
      <c r="A112" s="612" t="str">
        <f t="shared" si="7"/>
        <v>Chipola College</v>
      </c>
      <c r="B112" s="580">
        <v>128</v>
      </c>
      <c r="C112" s="586"/>
      <c r="D112" s="914">
        <f t="shared" si="8"/>
        <v>128</v>
      </c>
      <c r="E112" s="1013">
        <v>573.84916748285991</v>
      </c>
      <c r="F112" s="588">
        <v>45.270323212536731</v>
      </c>
      <c r="G112" s="587">
        <f t="shared" si="9"/>
        <v>619.11949069539662</v>
      </c>
      <c r="H112" s="1078">
        <v>176.61202185792351</v>
      </c>
      <c r="I112" s="1079">
        <v>5.4644808743169397</v>
      </c>
      <c r="J112" s="587">
        <f t="shared" si="17"/>
        <v>182.07650273224044</v>
      </c>
      <c r="K112" s="607">
        <v>4.166666666666667</v>
      </c>
      <c r="L112" s="581">
        <v>4.833333333333333</v>
      </c>
      <c r="M112" s="608">
        <f t="shared" si="10"/>
        <v>9</v>
      </c>
      <c r="N112" s="607">
        <v>0</v>
      </c>
      <c r="O112" s="581">
        <v>0</v>
      </c>
      <c r="P112" s="608">
        <f t="shared" si="11"/>
        <v>0</v>
      </c>
      <c r="Q112" s="607">
        <v>220.87546766435062</v>
      </c>
      <c r="R112" s="589">
        <v>1.629075360769642</v>
      </c>
      <c r="S112" s="587">
        <f t="shared" si="12"/>
        <v>222.50454302512026</v>
      </c>
      <c r="T112" s="608">
        <f t="shared" si="13"/>
        <v>1160.7005364527572</v>
      </c>
      <c r="V112" s="604">
        <f t="shared" si="18"/>
        <v>0</v>
      </c>
      <c r="W112" s="589">
        <v>0</v>
      </c>
      <c r="X112" s="609">
        <v>0</v>
      </c>
      <c r="Y112" s="73"/>
      <c r="Z112" s="590">
        <f t="shared" si="19"/>
        <v>0</v>
      </c>
      <c r="AA112" s="610">
        <v>0</v>
      </c>
      <c r="AB112" s="605">
        <f t="shared" si="14"/>
        <v>0</v>
      </c>
      <c r="AD112" s="612" t="str">
        <f t="shared" si="15"/>
        <v>Chipola College</v>
      </c>
      <c r="AE112" s="611">
        <v>0</v>
      </c>
      <c r="AF112" s="611">
        <v>0</v>
      </c>
      <c r="AG112" s="587">
        <f t="shared" si="16"/>
        <v>0</v>
      </c>
      <c r="AI112" s="22" t="s">
        <v>53</v>
      </c>
      <c r="AJ112" s="22"/>
      <c r="AK112" s="22"/>
      <c r="AL112" s="22"/>
      <c r="AM112" s="22"/>
      <c r="AN112" s="22"/>
      <c r="AO112" s="35">
        <f>SUM(AO109:AO111)</f>
        <v>40989.959983617438</v>
      </c>
      <c r="AR112" s="151"/>
      <c r="AS112" s="151"/>
      <c r="AT112" s="151"/>
      <c r="AU112" s="151"/>
      <c r="AV112" s="151"/>
      <c r="AW112" s="151"/>
      <c r="AX112" s="151"/>
    </row>
    <row r="113" spans="1:45" ht="25.35" customHeight="1">
      <c r="A113" s="612" t="str">
        <f t="shared" si="7"/>
        <v>Daytona State College</v>
      </c>
      <c r="B113" s="580">
        <v>970</v>
      </c>
      <c r="C113" s="586"/>
      <c r="D113" s="914">
        <f t="shared" si="8"/>
        <v>970</v>
      </c>
      <c r="E113" s="1013">
        <v>4521.5110417895121</v>
      </c>
      <c r="F113" s="588">
        <v>290.15226447035553</v>
      </c>
      <c r="G113" s="587">
        <f t="shared" si="9"/>
        <v>4811.6633062598676</v>
      </c>
      <c r="H113" s="1078">
        <v>2078.2681063610989</v>
      </c>
      <c r="I113" s="1079">
        <v>98.434503697174478</v>
      </c>
      <c r="J113" s="587">
        <f t="shared" si="17"/>
        <v>2176.7026100582734</v>
      </c>
      <c r="K113" s="607">
        <v>150.35212355212354</v>
      </c>
      <c r="L113" s="581">
        <v>23.647876447876449</v>
      </c>
      <c r="M113" s="608">
        <f t="shared" si="10"/>
        <v>174</v>
      </c>
      <c r="N113" s="607">
        <v>1</v>
      </c>
      <c r="O113" s="581">
        <v>0</v>
      </c>
      <c r="P113" s="608">
        <f t="shared" si="11"/>
        <v>1</v>
      </c>
      <c r="Q113" s="607">
        <v>669.13305702443904</v>
      </c>
      <c r="R113" s="589">
        <v>26.708017721880807</v>
      </c>
      <c r="S113" s="587">
        <f t="shared" si="12"/>
        <v>695.8410747463198</v>
      </c>
      <c r="T113" s="608">
        <f t="shared" si="13"/>
        <v>8829.2069910644605</v>
      </c>
      <c r="V113" s="604">
        <f t="shared" si="18"/>
        <v>1</v>
      </c>
      <c r="W113" s="589">
        <v>0</v>
      </c>
      <c r="X113" s="609">
        <v>1</v>
      </c>
      <c r="Y113" s="73"/>
      <c r="Z113" s="590">
        <f t="shared" si="19"/>
        <v>217</v>
      </c>
      <c r="AA113" s="610">
        <v>0</v>
      </c>
      <c r="AB113" s="605">
        <f t="shared" si="14"/>
        <v>217</v>
      </c>
      <c r="AD113" s="612" t="str">
        <f t="shared" si="15"/>
        <v>Daytona State College</v>
      </c>
      <c r="AE113" s="611">
        <v>180</v>
      </c>
      <c r="AF113" s="611">
        <v>37</v>
      </c>
      <c r="AG113" s="587">
        <f t="shared" si="16"/>
        <v>217</v>
      </c>
      <c r="AS113" s="22"/>
    </row>
    <row r="114" spans="1:45" ht="25.35" customHeight="1">
      <c r="A114" s="612" t="str">
        <f t="shared" si="7"/>
        <v>Florida SouthWestern State College</v>
      </c>
      <c r="B114" s="580">
        <v>574</v>
      </c>
      <c r="C114" s="586"/>
      <c r="D114" s="914">
        <f t="shared" si="8"/>
        <v>574</v>
      </c>
      <c r="E114" s="1013">
        <v>5666.7723737539709</v>
      </c>
      <c r="F114" s="588">
        <v>287.18881221017267</v>
      </c>
      <c r="G114" s="587">
        <f t="shared" si="9"/>
        <v>5953.9611859641436</v>
      </c>
      <c r="H114" s="1078">
        <v>1223.9419134396355</v>
      </c>
      <c r="I114" s="1079">
        <v>30.902050113895218</v>
      </c>
      <c r="J114" s="587">
        <f t="shared" si="17"/>
        <v>1254.8439635535308</v>
      </c>
      <c r="K114" s="607">
        <v>113.20833333333333</v>
      </c>
      <c r="L114" s="581">
        <v>16.791666666666668</v>
      </c>
      <c r="M114" s="608">
        <f t="shared" si="10"/>
        <v>130</v>
      </c>
      <c r="N114" s="607">
        <v>0</v>
      </c>
      <c r="O114" s="581">
        <v>0</v>
      </c>
      <c r="P114" s="608">
        <f t="shared" si="11"/>
        <v>0</v>
      </c>
      <c r="Q114" s="607">
        <v>40.806122448979593</v>
      </c>
      <c r="R114" s="589">
        <v>2.193877551020408</v>
      </c>
      <c r="S114" s="587">
        <f t="shared" si="12"/>
        <v>43</v>
      </c>
      <c r="T114" s="608">
        <f t="shared" si="13"/>
        <v>7955.8051495176742</v>
      </c>
      <c r="V114" s="604">
        <f t="shared" si="18"/>
        <v>0</v>
      </c>
      <c r="W114" s="589">
        <v>0</v>
      </c>
      <c r="X114" s="609">
        <v>0</v>
      </c>
      <c r="Y114" s="73"/>
      <c r="Z114" s="590">
        <f t="shared" si="19"/>
        <v>0</v>
      </c>
      <c r="AA114" s="610">
        <v>0</v>
      </c>
      <c r="AB114" s="605">
        <f t="shared" si="14"/>
        <v>0</v>
      </c>
      <c r="AD114" s="612" t="str">
        <f t="shared" si="15"/>
        <v>Florida SouthWestern State College</v>
      </c>
      <c r="AE114" s="611">
        <v>0</v>
      </c>
      <c r="AF114" s="611">
        <v>0</v>
      </c>
      <c r="AG114" s="587">
        <f t="shared" si="16"/>
        <v>0</v>
      </c>
      <c r="AI114" s="22" t="s">
        <v>778</v>
      </c>
      <c r="AO114" s="454">
        <v>303736</v>
      </c>
      <c r="AR114" s="22"/>
      <c r="AS114" s="22"/>
    </row>
    <row r="115" spans="1:45" ht="25.35" customHeight="1">
      <c r="A115" s="612" t="str">
        <f t="shared" si="7"/>
        <v>Florida State College at Jacksonville</v>
      </c>
      <c r="B115" s="580">
        <v>1636</v>
      </c>
      <c r="C115" s="586"/>
      <c r="D115" s="914">
        <f t="shared" si="8"/>
        <v>1636</v>
      </c>
      <c r="E115" s="1013">
        <v>7590.7871283977338</v>
      </c>
      <c r="F115" s="588">
        <v>266.27411038258322</v>
      </c>
      <c r="G115" s="587">
        <f t="shared" si="9"/>
        <v>7857.0612387803167</v>
      </c>
      <c r="H115" s="1078">
        <v>3425.5373247068869</v>
      </c>
      <c r="I115" s="1079">
        <v>75.36040592466091</v>
      </c>
      <c r="J115" s="587">
        <f t="shared" si="17"/>
        <v>3500.8977306315478</v>
      </c>
      <c r="K115" s="607">
        <v>703.51209677419354</v>
      </c>
      <c r="L115" s="581">
        <v>44.487903225806456</v>
      </c>
      <c r="M115" s="608">
        <f t="shared" si="10"/>
        <v>748</v>
      </c>
      <c r="N115" s="607">
        <v>2.0697674418604652</v>
      </c>
      <c r="O115" s="581">
        <v>0.93023255813953487</v>
      </c>
      <c r="P115" s="608">
        <f t="shared" si="11"/>
        <v>3</v>
      </c>
      <c r="Q115" s="607">
        <v>781.52426574524895</v>
      </c>
      <c r="R115" s="589">
        <v>37.728757656667185</v>
      </c>
      <c r="S115" s="587">
        <f t="shared" si="12"/>
        <v>819.25302340191615</v>
      </c>
      <c r="T115" s="608">
        <f t="shared" si="13"/>
        <v>14564.21199281378</v>
      </c>
      <c r="V115" s="604">
        <f t="shared" si="18"/>
        <v>8</v>
      </c>
      <c r="W115" s="589">
        <v>0</v>
      </c>
      <c r="X115" s="609">
        <v>8</v>
      </c>
      <c r="Y115" s="73"/>
      <c r="Z115" s="590">
        <f t="shared" si="19"/>
        <v>417.00174469322479</v>
      </c>
      <c r="AA115" s="610">
        <v>13.99825530677523</v>
      </c>
      <c r="AB115" s="605">
        <f t="shared" si="14"/>
        <v>431</v>
      </c>
      <c r="AD115" s="612" t="str">
        <f t="shared" si="15"/>
        <v>Florida State College at Jacksonville</v>
      </c>
      <c r="AE115" s="611">
        <v>415</v>
      </c>
      <c r="AF115" s="611">
        <v>16</v>
      </c>
      <c r="AG115" s="587">
        <f t="shared" si="16"/>
        <v>431</v>
      </c>
      <c r="AO115" s="554">
        <f>AO112</f>
        <v>40989.959983617438</v>
      </c>
      <c r="AQ115" s="22"/>
      <c r="AR115" s="22"/>
      <c r="AS115" s="22"/>
    </row>
    <row r="116" spans="1:45" ht="25.35" customHeight="1">
      <c r="A116" s="612" t="str">
        <f t="shared" si="7"/>
        <v>College of the Florida Keys</v>
      </c>
      <c r="B116" s="580">
        <v>64</v>
      </c>
      <c r="C116" s="586"/>
      <c r="D116" s="914">
        <f t="shared" si="8"/>
        <v>64</v>
      </c>
      <c r="E116" s="1013">
        <v>371.12689585439841</v>
      </c>
      <c r="F116" s="588">
        <v>40.826592517694635</v>
      </c>
      <c r="G116" s="587">
        <f t="shared" si="9"/>
        <v>411.95348837209303</v>
      </c>
      <c r="H116" s="1078">
        <v>209.1978138222849</v>
      </c>
      <c r="I116" s="1079">
        <v>35.41643159379408</v>
      </c>
      <c r="J116" s="587">
        <f t="shared" si="17"/>
        <v>244.61424541607897</v>
      </c>
      <c r="K116" s="607">
        <v>7.875</v>
      </c>
      <c r="L116" s="581">
        <v>2.125</v>
      </c>
      <c r="M116" s="608">
        <f t="shared" si="10"/>
        <v>10</v>
      </c>
      <c r="N116" s="607">
        <v>0</v>
      </c>
      <c r="O116" s="581">
        <v>0</v>
      </c>
      <c r="P116" s="608">
        <f t="shared" si="11"/>
        <v>0</v>
      </c>
      <c r="Q116" s="607">
        <v>63</v>
      </c>
      <c r="R116" s="589">
        <v>0</v>
      </c>
      <c r="S116" s="587">
        <f t="shared" si="12"/>
        <v>63</v>
      </c>
      <c r="T116" s="608">
        <f t="shared" si="13"/>
        <v>793.56773378817206</v>
      </c>
      <c r="V116" s="604">
        <f t="shared" si="18"/>
        <v>0</v>
      </c>
      <c r="W116" s="589">
        <v>0</v>
      </c>
      <c r="X116" s="609">
        <v>0</v>
      </c>
      <c r="Y116" s="73"/>
      <c r="Z116" s="590">
        <f t="shared" si="19"/>
        <v>0</v>
      </c>
      <c r="AA116" s="610">
        <v>0</v>
      </c>
      <c r="AB116" s="605">
        <f t="shared" si="14"/>
        <v>0</v>
      </c>
      <c r="AD116" s="612" t="str">
        <f t="shared" si="15"/>
        <v>College of the Florida Keys</v>
      </c>
      <c r="AE116" s="611">
        <v>0</v>
      </c>
      <c r="AF116" s="611">
        <v>0</v>
      </c>
      <c r="AG116" s="587">
        <f t="shared" si="16"/>
        <v>0</v>
      </c>
      <c r="AI116" s="1006" t="s">
        <v>88</v>
      </c>
      <c r="AJ116" s="1006"/>
      <c r="AK116" s="1006"/>
      <c r="AL116" s="1006"/>
      <c r="AM116" s="1006"/>
      <c r="AN116" s="1006"/>
      <c r="AO116" s="375">
        <f>AO114-AO115</f>
        <v>262746.04001638258</v>
      </c>
    </row>
    <row r="117" spans="1:45" ht="25.35" customHeight="1">
      <c r="A117" s="612" t="str">
        <f t="shared" si="7"/>
        <v>Gulf Coast State College</v>
      </c>
      <c r="B117" s="580">
        <v>128</v>
      </c>
      <c r="C117" s="586"/>
      <c r="D117" s="914">
        <f t="shared" si="8"/>
        <v>128</v>
      </c>
      <c r="E117" s="1013">
        <v>2048.1865239897343</v>
      </c>
      <c r="F117" s="588">
        <v>136.69646352603419</v>
      </c>
      <c r="G117" s="587">
        <f t="shared" si="9"/>
        <v>2184.8829875157685</v>
      </c>
      <c r="H117" s="1078">
        <v>519.67653758542133</v>
      </c>
      <c r="I117" s="1079">
        <v>34.045558086560369</v>
      </c>
      <c r="J117" s="587">
        <f t="shared" si="17"/>
        <v>553.72209567198172</v>
      </c>
      <c r="K117" s="607">
        <v>46.294416243654823</v>
      </c>
      <c r="L117" s="581">
        <v>10.705583756345177</v>
      </c>
      <c r="M117" s="608">
        <f t="shared" si="10"/>
        <v>57</v>
      </c>
      <c r="N117" s="607">
        <v>0</v>
      </c>
      <c r="O117" s="581">
        <v>0</v>
      </c>
      <c r="P117" s="608">
        <f t="shared" si="11"/>
        <v>0</v>
      </c>
      <c r="Q117" s="607">
        <v>188.37137569401605</v>
      </c>
      <c r="R117" s="589">
        <v>8.6286243059839602</v>
      </c>
      <c r="S117" s="587">
        <f t="shared" si="12"/>
        <v>197</v>
      </c>
      <c r="T117" s="608">
        <f t="shared" si="13"/>
        <v>3120.6050831877501</v>
      </c>
      <c r="V117" s="604">
        <f t="shared" si="18"/>
        <v>0</v>
      </c>
      <c r="W117" s="589">
        <v>0</v>
      </c>
      <c r="X117" s="609">
        <v>0</v>
      </c>
      <c r="Y117" s="73"/>
      <c r="Z117" s="590">
        <f t="shared" si="19"/>
        <v>0</v>
      </c>
      <c r="AA117" s="610">
        <v>0</v>
      </c>
      <c r="AB117" s="605">
        <f t="shared" si="14"/>
        <v>0</v>
      </c>
      <c r="AD117" s="612" t="str">
        <f t="shared" si="15"/>
        <v>Gulf Coast State College</v>
      </c>
      <c r="AE117" s="611">
        <v>0</v>
      </c>
      <c r="AF117" s="611">
        <v>0</v>
      </c>
      <c r="AG117" s="587">
        <f t="shared" si="16"/>
        <v>0</v>
      </c>
    </row>
    <row r="118" spans="1:45" ht="25.35" customHeight="1">
      <c r="A118" s="612" t="str">
        <f t="shared" si="7"/>
        <v>Hillsborough Community College</v>
      </c>
      <c r="B118" s="580">
        <v>85</v>
      </c>
      <c r="C118" s="586"/>
      <c r="D118" s="914">
        <f t="shared" si="8"/>
        <v>85</v>
      </c>
      <c r="E118" s="1013">
        <v>8517.9001498351809</v>
      </c>
      <c r="F118" s="588">
        <v>526.27999486279373</v>
      </c>
      <c r="G118" s="587">
        <f t="shared" si="9"/>
        <v>9044.1801446979753</v>
      </c>
      <c r="H118" s="1078">
        <v>4503.6660264533493</v>
      </c>
      <c r="I118" s="1079">
        <v>250.73109060668463</v>
      </c>
      <c r="J118" s="587">
        <f t="shared" si="17"/>
        <v>4754.3971170600344</v>
      </c>
      <c r="K118" s="607">
        <v>709.17976412166354</v>
      </c>
      <c r="L118" s="581">
        <v>113.82023587833643</v>
      </c>
      <c r="M118" s="608">
        <f t="shared" si="10"/>
        <v>823</v>
      </c>
      <c r="N118" s="607">
        <v>12</v>
      </c>
      <c r="O118" s="581">
        <v>0</v>
      </c>
      <c r="P118" s="608">
        <f t="shared" si="11"/>
        <v>12</v>
      </c>
      <c r="Q118" s="607">
        <v>162.21685082872929</v>
      </c>
      <c r="R118" s="589">
        <v>3.7831491712707179</v>
      </c>
      <c r="S118" s="587">
        <f t="shared" si="12"/>
        <v>166</v>
      </c>
      <c r="T118" s="608">
        <f t="shared" si="13"/>
        <v>14884.57726175801</v>
      </c>
      <c r="V118" s="604">
        <f t="shared" si="18"/>
        <v>0</v>
      </c>
      <c r="W118" s="589">
        <v>0</v>
      </c>
      <c r="X118" s="609">
        <v>0</v>
      </c>
      <c r="Y118" s="73"/>
      <c r="Z118" s="590">
        <f t="shared" si="19"/>
        <v>0</v>
      </c>
      <c r="AA118" s="610">
        <v>0</v>
      </c>
      <c r="AB118" s="605">
        <f t="shared" si="14"/>
        <v>0</v>
      </c>
      <c r="AD118" s="612" t="str">
        <f t="shared" si="15"/>
        <v>Hillsborough Community College</v>
      </c>
      <c r="AE118" s="611">
        <v>0</v>
      </c>
      <c r="AF118" s="611">
        <v>0</v>
      </c>
      <c r="AG118" s="587">
        <f t="shared" si="16"/>
        <v>0</v>
      </c>
      <c r="AI118" s="1006" t="s">
        <v>779</v>
      </c>
      <c r="AJ118" s="1006"/>
      <c r="AK118" s="1006"/>
      <c r="AL118" s="1006"/>
      <c r="AM118" s="1006"/>
      <c r="AN118" s="1006"/>
      <c r="AO118" s="376">
        <f>AO112+AO116</f>
        <v>303736</v>
      </c>
    </row>
    <row r="119" spans="1:45" ht="25.35" customHeight="1">
      <c r="A119" s="612" t="str">
        <f t="shared" si="7"/>
        <v>Indian River State College</v>
      </c>
      <c r="B119" s="580">
        <v>1249</v>
      </c>
      <c r="C119" s="586"/>
      <c r="D119" s="914">
        <f t="shared" si="8"/>
        <v>1249</v>
      </c>
      <c r="E119" s="1013">
        <v>4700.0814839350778</v>
      </c>
      <c r="F119" s="588">
        <v>159.28444413451646</v>
      </c>
      <c r="G119" s="587">
        <f t="shared" si="9"/>
        <v>4859.3659280695947</v>
      </c>
      <c r="H119" s="1078">
        <v>2247.8246989270856</v>
      </c>
      <c r="I119" s="1079">
        <v>50.006744033282246</v>
      </c>
      <c r="J119" s="587">
        <f t="shared" si="17"/>
        <v>2297.8314429603679</v>
      </c>
      <c r="K119" s="607">
        <v>63.889285714285712</v>
      </c>
      <c r="L119" s="581">
        <v>3.1107142857142858</v>
      </c>
      <c r="M119" s="608">
        <f t="shared" si="10"/>
        <v>67</v>
      </c>
      <c r="N119" s="607">
        <v>5</v>
      </c>
      <c r="O119" s="581">
        <v>0</v>
      </c>
      <c r="P119" s="608">
        <f t="shared" si="11"/>
        <v>5</v>
      </c>
      <c r="Q119" s="607">
        <v>543.23202082655382</v>
      </c>
      <c r="R119" s="589">
        <v>16.727627725349823</v>
      </c>
      <c r="S119" s="587">
        <f t="shared" si="12"/>
        <v>559.95964855190368</v>
      </c>
      <c r="T119" s="608">
        <f t="shared" si="13"/>
        <v>9038.1570195818658</v>
      </c>
      <c r="V119" s="604">
        <f t="shared" si="18"/>
        <v>0</v>
      </c>
      <c r="W119" s="589">
        <v>0</v>
      </c>
      <c r="X119" s="609">
        <v>0</v>
      </c>
      <c r="Y119" s="73"/>
      <c r="Z119" s="590">
        <f t="shared" si="19"/>
        <v>474</v>
      </c>
      <c r="AA119" s="610">
        <v>0</v>
      </c>
      <c r="AB119" s="605">
        <f t="shared" si="14"/>
        <v>474</v>
      </c>
      <c r="AD119" s="612" t="str">
        <f t="shared" si="15"/>
        <v>Indian River State College</v>
      </c>
      <c r="AE119" s="611">
        <v>468</v>
      </c>
      <c r="AF119" s="611">
        <v>6</v>
      </c>
      <c r="AG119" s="587">
        <f t="shared" si="16"/>
        <v>474</v>
      </c>
    </row>
    <row r="120" spans="1:45" ht="25.35" customHeight="1">
      <c r="A120" s="612" t="str">
        <f t="shared" si="7"/>
        <v>Florida Gateway College</v>
      </c>
      <c r="B120" s="580">
        <v>152</v>
      </c>
      <c r="C120" s="586"/>
      <c r="D120" s="914">
        <f t="shared" si="8"/>
        <v>152</v>
      </c>
      <c r="E120" s="1013">
        <v>973.52495725103824</v>
      </c>
      <c r="F120" s="588">
        <v>19.288331569090467</v>
      </c>
      <c r="G120" s="587">
        <f t="shared" si="9"/>
        <v>992.81328882012872</v>
      </c>
      <c r="H120" s="1078">
        <v>402.17190037899297</v>
      </c>
      <c r="I120" s="1079">
        <v>7.3846778559826749</v>
      </c>
      <c r="J120" s="587">
        <f t="shared" si="17"/>
        <v>409.55657823497563</v>
      </c>
      <c r="K120" s="607">
        <v>39.815028901734102</v>
      </c>
      <c r="L120" s="581">
        <v>1.1849710982658959</v>
      </c>
      <c r="M120" s="608">
        <f t="shared" si="10"/>
        <v>41</v>
      </c>
      <c r="N120" s="607">
        <v>6</v>
      </c>
      <c r="O120" s="581">
        <v>0</v>
      </c>
      <c r="P120" s="608">
        <f t="shared" si="11"/>
        <v>6</v>
      </c>
      <c r="Q120" s="607">
        <v>332.56780556533994</v>
      </c>
      <c r="R120" s="589">
        <v>2.1303275801338502</v>
      </c>
      <c r="S120" s="587">
        <f t="shared" si="12"/>
        <v>334.69813314547378</v>
      </c>
      <c r="T120" s="608">
        <f t="shared" si="13"/>
        <v>1936.0680002005781</v>
      </c>
      <c r="V120" s="604">
        <f t="shared" si="18"/>
        <v>0</v>
      </c>
      <c r="W120" s="589">
        <v>0</v>
      </c>
      <c r="X120" s="609">
        <v>0</v>
      </c>
      <c r="Y120" s="73"/>
      <c r="Z120" s="590">
        <f t="shared" si="19"/>
        <v>4</v>
      </c>
      <c r="AA120" s="610">
        <v>0</v>
      </c>
      <c r="AB120" s="605">
        <f t="shared" si="14"/>
        <v>4</v>
      </c>
      <c r="AD120" s="612" t="str">
        <f t="shared" si="15"/>
        <v>Florida Gateway College</v>
      </c>
      <c r="AE120" s="611">
        <v>3</v>
      </c>
      <c r="AF120" s="611">
        <v>1</v>
      </c>
      <c r="AG120" s="587">
        <f t="shared" si="16"/>
        <v>4</v>
      </c>
    </row>
    <row r="121" spans="1:45" ht="25.35" customHeight="1">
      <c r="A121" s="612" t="str">
        <f t="shared" si="7"/>
        <v>Lake-Sumter State College</v>
      </c>
      <c r="B121" s="580">
        <v>225</v>
      </c>
      <c r="C121" s="586"/>
      <c r="D121" s="914">
        <f t="shared" si="8"/>
        <v>225</v>
      </c>
      <c r="E121" s="1013">
        <v>2151.5016223764733</v>
      </c>
      <c r="F121" s="588">
        <v>44.578962500513413</v>
      </c>
      <c r="G121" s="587">
        <f t="shared" si="9"/>
        <v>2196.0805848769869</v>
      </c>
      <c r="H121" s="1078">
        <v>604.49777965743283</v>
      </c>
      <c r="I121" s="1079">
        <v>9.1922182279551699</v>
      </c>
      <c r="J121" s="587">
        <f t="shared" si="17"/>
        <v>613.68999788538804</v>
      </c>
      <c r="K121" s="607">
        <v>87.02268041237113</v>
      </c>
      <c r="L121" s="581">
        <v>6.9773195876288661</v>
      </c>
      <c r="M121" s="608">
        <f t="shared" si="10"/>
        <v>94</v>
      </c>
      <c r="N121" s="607">
        <v>0</v>
      </c>
      <c r="O121" s="581">
        <v>0</v>
      </c>
      <c r="P121" s="608">
        <f t="shared" si="11"/>
        <v>0</v>
      </c>
      <c r="Q121" s="607">
        <v>0</v>
      </c>
      <c r="R121" s="589">
        <v>0</v>
      </c>
      <c r="S121" s="587">
        <f t="shared" si="12"/>
        <v>0</v>
      </c>
      <c r="T121" s="608">
        <f t="shared" si="13"/>
        <v>3128.7705827623749</v>
      </c>
      <c r="V121" s="604">
        <f t="shared" si="18"/>
        <v>0</v>
      </c>
      <c r="W121" s="589">
        <v>0</v>
      </c>
      <c r="X121" s="609">
        <v>0</v>
      </c>
      <c r="Y121" s="73"/>
      <c r="Z121" s="590">
        <f t="shared" si="19"/>
        <v>0</v>
      </c>
      <c r="AA121" s="610">
        <v>0</v>
      </c>
      <c r="AB121" s="605">
        <f t="shared" si="14"/>
        <v>0</v>
      </c>
      <c r="AD121" s="612" t="str">
        <f t="shared" si="15"/>
        <v>Lake-Sumter State College</v>
      </c>
      <c r="AE121" s="611">
        <v>0</v>
      </c>
      <c r="AF121" s="611">
        <v>0</v>
      </c>
      <c r="AG121" s="587">
        <f t="shared" si="16"/>
        <v>0</v>
      </c>
    </row>
    <row r="122" spans="1:45" ht="25.35" customHeight="1">
      <c r="A122" s="612" t="str">
        <f t="shared" si="7"/>
        <v>State College of Florida, Manatee-Sarasota</v>
      </c>
      <c r="B122" s="580">
        <v>469</v>
      </c>
      <c r="C122" s="586"/>
      <c r="D122" s="914">
        <f t="shared" si="8"/>
        <v>469</v>
      </c>
      <c r="E122" s="1013">
        <v>4066.8683647166763</v>
      </c>
      <c r="F122" s="588">
        <v>219.85888418017387</v>
      </c>
      <c r="G122" s="587">
        <f t="shared" si="9"/>
        <v>4286.7272488968501</v>
      </c>
      <c r="H122" s="1078">
        <v>638.73826714801453</v>
      </c>
      <c r="I122" s="1079">
        <v>31.160649819494587</v>
      </c>
      <c r="J122" s="587">
        <f t="shared" si="17"/>
        <v>669.89891696750908</v>
      </c>
      <c r="K122" s="607">
        <v>114.52184927169094</v>
      </c>
      <c r="L122" s="581">
        <v>15.478150728309057</v>
      </c>
      <c r="M122" s="608">
        <f t="shared" si="10"/>
        <v>130</v>
      </c>
      <c r="N122" s="607">
        <v>0</v>
      </c>
      <c r="O122" s="581">
        <v>0</v>
      </c>
      <c r="P122" s="608">
        <f t="shared" si="11"/>
        <v>0</v>
      </c>
      <c r="Q122" s="607">
        <v>0</v>
      </c>
      <c r="R122" s="589">
        <v>0</v>
      </c>
      <c r="S122" s="587">
        <f t="shared" si="12"/>
        <v>0</v>
      </c>
      <c r="T122" s="608">
        <f t="shared" si="13"/>
        <v>5555.6261658643589</v>
      </c>
      <c r="V122" s="604">
        <f t="shared" si="18"/>
        <v>0</v>
      </c>
      <c r="W122" s="589">
        <v>0</v>
      </c>
      <c r="X122" s="609">
        <v>0</v>
      </c>
      <c r="Y122" s="73"/>
      <c r="Z122" s="590">
        <f t="shared" si="19"/>
        <v>0</v>
      </c>
      <c r="AA122" s="610">
        <v>0</v>
      </c>
      <c r="AB122" s="605">
        <f t="shared" si="14"/>
        <v>0</v>
      </c>
      <c r="AD122" s="612" t="str">
        <f t="shared" si="15"/>
        <v>State College of Florida, Manatee-Sarasota</v>
      </c>
      <c r="AE122" s="611">
        <v>0</v>
      </c>
      <c r="AF122" s="611">
        <v>0</v>
      </c>
      <c r="AG122" s="587">
        <f t="shared" si="16"/>
        <v>0</v>
      </c>
    </row>
    <row r="123" spans="1:45" ht="25.35" customHeight="1">
      <c r="A123" s="612" t="str">
        <f t="shared" si="7"/>
        <v>Miami Dade College</v>
      </c>
      <c r="B123" s="580">
        <v>2789</v>
      </c>
      <c r="C123" s="586"/>
      <c r="D123" s="914">
        <f t="shared" si="8"/>
        <v>2789</v>
      </c>
      <c r="E123" s="1013">
        <v>30701.879099082336</v>
      </c>
      <c r="F123" s="588">
        <v>1598.2522210630536</v>
      </c>
      <c r="G123" s="587">
        <f t="shared" si="9"/>
        <v>32300.131320145389</v>
      </c>
      <c r="H123" s="1078">
        <v>4515.5803949224264</v>
      </c>
      <c r="I123" s="1079">
        <v>215.28758815232723</v>
      </c>
      <c r="J123" s="587">
        <f t="shared" si="17"/>
        <v>4730.8679830747533</v>
      </c>
      <c r="K123" s="607">
        <v>1251.2306758046327</v>
      </c>
      <c r="L123" s="581">
        <v>112.76932419536737</v>
      </c>
      <c r="M123" s="608">
        <f t="shared" si="10"/>
        <v>1364</v>
      </c>
      <c r="N123" s="607">
        <v>97.948275862068968</v>
      </c>
      <c r="O123" s="581">
        <v>5.1724137931034489E-2</v>
      </c>
      <c r="P123" s="608">
        <f t="shared" si="11"/>
        <v>98</v>
      </c>
      <c r="Q123" s="607">
        <v>2002.0107444359171</v>
      </c>
      <c r="R123" s="589">
        <v>97.989255564082882</v>
      </c>
      <c r="S123" s="587">
        <f t="shared" si="12"/>
        <v>2100</v>
      </c>
      <c r="T123" s="608">
        <f t="shared" si="13"/>
        <v>43381.999303220146</v>
      </c>
      <c r="V123" s="604">
        <f t="shared" si="18"/>
        <v>0.21875</v>
      </c>
      <c r="W123" s="589">
        <v>0.78125</v>
      </c>
      <c r="X123" s="609">
        <v>1</v>
      </c>
      <c r="Y123" s="73"/>
      <c r="Z123" s="590">
        <f t="shared" si="19"/>
        <v>12.809790089469971</v>
      </c>
      <c r="AA123" s="610">
        <v>2167.19020991053</v>
      </c>
      <c r="AB123" s="605">
        <f t="shared" si="14"/>
        <v>2180</v>
      </c>
      <c r="AD123" s="612" t="str">
        <f t="shared" si="15"/>
        <v>Miami Dade College</v>
      </c>
      <c r="AE123" s="611">
        <v>2179</v>
      </c>
      <c r="AF123" s="611">
        <v>1</v>
      </c>
      <c r="AG123" s="587">
        <f t="shared" si="16"/>
        <v>2180</v>
      </c>
    </row>
    <row r="124" spans="1:45" ht="25.35" customHeight="1">
      <c r="A124" s="612" t="str">
        <f t="shared" si="7"/>
        <v>North Florida College</v>
      </c>
      <c r="B124" s="580">
        <v>28</v>
      </c>
      <c r="C124" s="586"/>
      <c r="D124" s="914">
        <f t="shared" si="8"/>
        <v>28</v>
      </c>
      <c r="E124" s="1013">
        <v>410.26276091913695</v>
      </c>
      <c r="F124" s="588">
        <v>16.674618487984564</v>
      </c>
      <c r="G124" s="587">
        <f t="shared" si="9"/>
        <v>426.93737940712151</v>
      </c>
      <c r="H124" s="1078">
        <v>88.286964129483806</v>
      </c>
      <c r="I124" s="1079">
        <v>11.963254593175854</v>
      </c>
      <c r="J124" s="587">
        <f t="shared" si="17"/>
        <v>100.25021872265967</v>
      </c>
      <c r="K124" s="607">
        <v>7.0886075949367093</v>
      </c>
      <c r="L124" s="581">
        <v>0.91139240506329111</v>
      </c>
      <c r="M124" s="608">
        <f t="shared" si="10"/>
        <v>8</v>
      </c>
      <c r="N124" s="607">
        <v>0</v>
      </c>
      <c r="O124" s="581">
        <v>0</v>
      </c>
      <c r="P124" s="608">
        <f t="shared" si="11"/>
        <v>0</v>
      </c>
      <c r="Q124" s="607">
        <v>64.456349206349202</v>
      </c>
      <c r="R124" s="589">
        <v>5.8730158730158726</v>
      </c>
      <c r="S124" s="587">
        <f t="shared" si="12"/>
        <v>70.329365079365076</v>
      </c>
      <c r="T124" s="608">
        <f t="shared" si="13"/>
        <v>633.5169632091463</v>
      </c>
      <c r="V124" s="604">
        <f t="shared" si="18"/>
        <v>0</v>
      </c>
      <c r="W124" s="589">
        <v>0</v>
      </c>
      <c r="X124" s="609">
        <v>0</v>
      </c>
      <c r="Y124" s="73"/>
      <c r="Z124" s="590">
        <f t="shared" si="19"/>
        <v>0</v>
      </c>
      <c r="AA124" s="610">
        <v>0</v>
      </c>
      <c r="AB124" s="605">
        <f t="shared" si="14"/>
        <v>0</v>
      </c>
      <c r="AD124" s="612" t="str">
        <f t="shared" si="15"/>
        <v>North Florida College</v>
      </c>
      <c r="AE124" s="611">
        <v>0</v>
      </c>
      <c r="AF124" s="611">
        <v>0</v>
      </c>
      <c r="AG124" s="587">
        <f t="shared" si="16"/>
        <v>0</v>
      </c>
    </row>
    <row r="125" spans="1:45" ht="25.35" customHeight="1">
      <c r="A125" s="612" t="str">
        <f t="shared" si="7"/>
        <v>Northwest Florida State College</v>
      </c>
      <c r="B125" s="580">
        <v>278</v>
      </c>
      <c r="C125" s="586"/>
      <c r="D125" s="914">
        <f t="shared" si="8"/>
        <v>278</v>
      </c>
      <c r="E125" s="1013">
        <v>1525.1869607797416</v>
      </c>
      <c r="F125" s="588">
        <v>146.83407172503846</v>
      </c>
      <c r="G125" s="587">
        <f t="shared" si="9"/>
        <v>1672.0210325047801</v>
      </c>
      <c r="H125" s="1078">
        <v>522.19764011799407</v>
      </c>
      <c r="I125" s="1079">
        <v>43.067846607669615</v>
      </c>
      <c r="J125" s="587">
        <f t="shared" si="17"/>
        <v>565.26548672566366</v>
      </c>
      <c r="K125" s="607">
        <v>41.11350293542074</v>
      </c>
      <c r="L125" s="581">
        <v>5.886497064579256</v>
      </c>
      <c r="M125" s="608">
        <f t="shared" si="10"/>
        <v>47</v>
      </c>
      <c r="N125" s="607">
        <v>0</v>
      </c>
      <c r="O125" s="581">
        <v>0</v>
      </c>
      <c r="P125" s="608">
        <f t="shared" si="11"/>
        <v>0</v>
      </c>
      <c r="Q125" s="607">
        <v>236.8967441860465</v>
      </c>
      <c r="R125" s="589">
        <v>4.2948837209302324</v>
      </c>
      <c r="S125" s="587">
        <f t="shared" si="12"/>
        <v>241.19162790697675</v>
      </c>
      <c r="T125" s="608">
        <f t="shared" si="13"/>
        <v>2803.4781471374208</v>
      </c>
      <c r="V125" s="604">
        <f t="shared" si="18"/>
        <v>0</v>
      </c>
      <c r="W125" s="589">
        <v>0</v>
      </c>
      <c r="X125" s="609">
        <v>0</v>
      </c>
      <c r="Y125" s="73"/>
      <c r="Z125" s="590">
        <f t="shared" si="19"/>
        <v>0</v>
      </c>
      <c r="AA125" s="610">
        <v>0</v>
      </c>
      <c r="AB125" s="605">
        <f t="shared" si="14"/>
        <v>0</v>
      </c>
      <c r="AD125" s="612" t="str">
        <f t="shared" si="15"/>
        <v>Northwest Florida State College</v>
      </c>
      <c r="AE125" s="611">
        <v>0</v>
      </c>
      <c r="AF125" s="611">
        <v>0</v>
      </c>
      <c r="AG125" s="587">
        <f t="shared" si="16"/>
        <v>0</v>
      </c>
    </row>
    <row r="126" spans="1:45" ht="25.35" customHeight="1">
      <c r="A126" s="612" t="str">
        <f t="shared" si="7"/>
        <v>Palm Beach State College</v>
      </c>
      <c r="B126" s="580">
        <v>887</v>
      </c>
      <c r="C126" s="586"/>
      <c r="D126" s="914">
        <f t="shared" si="8"/>
        <v>887</v>
      </c>
      <c r="E126" s="1013">
        <v>12364.555328214139</v>
      </c>
      <c r="F126" s="588">
        <v>602.94016641391647</v>
      </c>
      <c r="G126" s="587">
        <f t="shared" si="9"/>
        <v>12967.495494628056</v>
      </c>
      <c r="H126" s="1078">
        <v>1487.5113744422499</v>
      </c>
      <c r="I126" s="1079">
        <v>39.333772218564853</v>
      </c>
      <c r="J126" s="587">
        <f t="shared" si="17"/>
        <v>1526.8451466608149</v>
      </c>
      <c r="K126" s="607">
        <v>368.82854705715101</v>
      </c>
      <c r="L126" s="581">
        <v>37.171452942849015</v>
      </c>
      <c r="M126" s="608">
        <f t="shared" si="10"/>
        <v>406</v>
      </c>
      <c r="N126" s="607">
        <v>13</v>
      </c>
      <c r="O126" s="581">
        <v>0</v>
      </c>
      <c r="P126" s="608">
        <f t="shared" si="11"/>
        <v>13</v>
      </c>
      <c r="Q126" s="607">
        <v>825.88665480427051</v>
      </c>
      <c r="R126" s="589">
        <v>23.11334519572954</v>
      </c>
      <c r="S126" s="587">
        <f t="shared" si="12"/>
        <v>849</v>
      </c>
      <c r="T126" s="608">
        <f t="shared" si="13"/>
        <v>16649.340641288873</v>
      </c>
      <c r="V126" s="604">
        <f t="shared" si="18"/>
        <v>0</v>
      </c>
      <c r="W126" s="589">
        <v>0</v>
      </c>
      <c r="X126" s="609">
        <v>0</v>
      </c>
      <c r="Y126" s="73"/>
      <c r="Z126" s="590">
        <f t="shared" si="19"/>
        <v>0</v>
      </c>
      <c r="AA126" s="610">
        <v>0</v>
      </c>
      <c r="AB126" s="605">
        <f t="shared" si="14"/>
        <v>0</v>
      </c>
      <c r="AD126" s="612" t="str">
        <f t="shared" si="15"/>
        <v>Palm Beach State College</v>
      </c>
      <c r="AE126" s="611">
        <v>0</v>
      </c>
      <c r="AF126" s="611">
        <v>0</v>
      </c>
      <c r="AG126" s="587">
        <f t="shared" si="16"/>
        <v>0</v>
      </c>
    </row>
    <row r="127" spans="1:45" ht="25.35" customHeight="1">
      <c r="A127" s="612" t="str">
        <f t="shared" si="7"/>
        <v>Pasco-Hernando State College</v>
      </c>
      <c r="B127" s="580">
        <v>266</v>
      </c>
      <c r="C127" s="586"/>
      <c r="D127" s="914">
        <f t="shared" si="8"/>
        <v>266</v>
      </c>
      <c r="E127" s="1013">
        <v>2928.4578356360435</v>
      </c>
      <c r="F127" s="588">
        <v>21.377993064347447</v>
      </c>
      <c r="G127" s="587">
        <f t="shared" si="9"/>
        <v>2949.8358287003907</v>
      </c>
      <c r="H127" s="1078">
        <v>1570.3220015057625</v>
      </c>
      <c r="I127" s="1079">
        <v>9.6635200092662306</v>
      </c>
      <c r="J127" s="587">
        <f t="shared" si="17"/>
        <v>1579.9855215150287</v>
      </c>
      <c r="K127" s="607">
        <v>76.917517006802726</v>
      </c>
      <c r="L127" s="581">
        <v>2.0824829931972788</v>
      </c>
      <c r="M127" s="608">
        <f t="shared" si="10"/>
        <v>79</v>
      </c>
      <c r="N127" s="607">
        <v>12</v>
      </c>
      <c r="O127" s="581">
        <v>0</v>
      </c>
      <c r="P127" s="608">
        <f t="shared" si="11"/>
        <v>12</v>
      </c>
      <c r="Q127" s="607">
        <v>220.06581933726736</v>
      </c>
      <c r="R127" s="589">
        <v>4.906945074897866</v>
      </c>
      <c r="S127" s="587">
        <f t="shared" si="12"/>
        <v>224.97276441216522</v>
      </c>
      <c r="T127" s="608">
        <f t="shared" si="13"/>
        <v>5111.7941146275843</v>
      </c>
      <c r="V127" s="604">
        <f t="shared" si="18"/>
        <v>0</v>
      </c>
      <c r="W127" s="589">
        <v>0</v>
      </c>
      <c r="X127" s="609">
        <v>0</v>
      </c>
      <c r="Y127" s="73"/>
      <c r="Z127" s="590">
        <f t="shared" si="19"/>
        <v>0</v>
      </c>
      <c r="AA127" s="610">
        <v>0</v>
      </c>
      <c r="AB127" s="605">
        <f t="shared" si="14"/>
        <v>0</v>
      </c>
      <c r="AD127" s="612" t="str">
        <f t="shared" si="15"/>
        <v>Pasco-Hernando State College</v>
      </c>
      <c r="AE127" s="611">
        <v>0</v>
      </c>
      <c r="AF127" s="611">
        <v>0</v>
      </c>
      <c r="AG127" s="587">
        <f t="shared" si="16"/>
        <v>0</v>
      </c>
    </row>
    <row r="128" spans="1:45" ht="25.35" customHeight="1">
      <c r="A128" s="612" t="str">
        <f t="shared" si="7"/>
        <v>Pensacola State College</v>
      </c>
      <c r="B128" s="580">
        <v>365</v>
      </c>
      <c r="C128" s="586"/>
      <c r="D128" s="914">
        <f t="shared" si="8"/>
        <v>365</v>
      </c>
      <c r="E128" s="1013">
        <v>3544.6930046710568</v>
      </c>
      <c r="F128" s="588">
        <v>153.09471551578594</v>
      </c>
      <c r="G128" s="587">
        <f t="shared" si="9"/>
        <v>3697.7877201868428</v>
      </c>
      <c r="H128" s="1078">
        <v>1333.1676629103381</v>
      </c>
      <c r="I128" s="1079">
        <v>35.855365017148451</v>
      </c>
      <c r="J128" s="587">
        <f t="shared" si="17"/>
        <v>1369.0230279274865</v>
      </c>
      <c r="K128" s="607">
        <v>189.88188976377953</v>
      </c>
      <c r="L128" s="581">
        <v>22.11811023622047</v>
      </c>
      <c r="M128" s="608">
        <f t="shared" si="10"/>
        <v>212</v>
      </c>
      <c r="N128" s="607">
        <v>0</v>
      </c>
      <c r="O128" s="581">
        <v>0</v>
      </c>
      <c r="P128" s="608">
        <f t="shared" si="11"/>
        <v>0</v>
      </c>
      <c r="Q128" s="607">
        <v>353.96965865992416</v>
      </c>
      <c r="R128" s="589">
        <v>9.4854614412136531</v>
      </c>
      <c r="S128" s="587">
        <f t="shared" si="12"/>
        <v>363.45512010113782</v>
      </c>
      <c r="T128" s="608">
        <f t="shared" si="13"/>
        <v>6007.265868215467</v>
      </c>
      <c r="V128" s="604">
        <f t="shared" si="18"/>
        <v>0</v>
      </c>
      <c r="W128" s="589">
        <v>0</v>
      </c>
      <c r="X128" s="609">
        <v>0</v>
      </c>
      <c r="Y128" s="73"/>
      <c r="Z128" s="590">
        <f t="shared" si="19"/>
        <v>0</v>
      </c>
      <c r="AA128" s="610">
        <v>0</v>
      </c>
      <c r="AB128" s="605">
        <f t="shared" si="14"/>
        <v>0</v>
      </c>
      <c r="AD128" s="612" t="str">
        <f t="shared" si="15"/>
        <v>Pensacola State College</v>
      </c>
      <c r="AE128" s="611">
        <v>0</v>
      </c>
      <c r="AF128" s="611">
        <v>0</v>
      </c>
      <c r="AG128" s="587">
        <f t="shared" si="16"/>
        <v>0</v>
      </c>
    </row>
    <row r="129" spans="1:44" ht="25.35" customHeight="1">
      <c r="A129" s="612" t="str">
        <f t="shared" si="7"/>
        <v>Polk State College</v>
      </c>
      <c r="B129" s="580">
        <v>555</v>
      </c>
      <c r="C129" s="586"/>
      <c r="D129" s="914">
        <f t="shared" si="8"/>
        <v>555</v>
      </c>
      <c r="E129" s="1013">
        <v>2327.7648773056926</v>
      </c>
      <c r="F129" s="588">
        <v>78.016094314004704</v>
      </c>
      <c r="G129" s="587">
        <f t="shared" si="9"/>
        <v>2405.7809716196971</v>
      </c>
      <c r="H129" s="1078">
        <v>1344.2773162939297</v>
      </c>
      <c r="I129" s="1079">
        <v>30.436900958466456</v>
      </c>
      <c r="J129" s="587">
        <f t="shared" si="17"/>
        <v>1374.7142172523961</v>
      </c>
      <c r="K129" s="607">
        <v>106.79180887372013</v>
      </c>
      <c r="L129" s="581">
        <v>19.208191126279864</v>
      </c>
      <c r="M129" s="608">
        <f t="shared" si="10"/>
        <v>126</v>
      </c>
      <c r="N129" s="607">
        <v>10</v>
      </c>
      <c r="O129" s="581">
        <v>0</v>
      </c>
      <c r="P129" s="608">
        <f t="shared" si="11"/>
        <v>10</v>
      </c>
      <c r="Q129" s="607">
        <v>180.81954137587238</v>
      </c>
      <c r="R129" s="589">
        <v>0.18045862412761718</v>
      </c>
      <c r="S129" s="587">
        <f t="shared" si="12"/>
        <v>181</v>
      </c>
      <c r="T129" s="608">
        <f t="shared" si="13"/>
        <v>4652.4951888720934</v>
      </c>
      <c r="V129" s="604">
        <f t="shared" si="18"/>
        <v>0</v>
      </c>
      <c r="W129" s="589">
        <v>0</v>
      </c>
      <c r="X129" s="609">
        <v>0</v>
      </c>
      <c r="Y129" s="73"/>
      <c r="Z129" s="590">
        <f t="shared" si="19"/>
        <v>0</v>
      </c>
      <c r="AA129" s="610">
        <v>0</v>
      </c>
      <c r="AB129" s="605">
        <f t="shared" si="14"/>
        <v>0</v>
      </c>
      <c r="AD129" s="612" t="str">
        <f t="shared" si="15"/>
        <v>Polk State College</v>
      </c>
      <c r="AE129" s="611">
        <v>0</v>
      </c>
      <c r="AF129" s="611">
        <v>0</v>
      </c>
      <c r="AG129" s="587">
        <f t="shared" si="16"/>
        <v>0</v>
      </c>
    </row>
    <row r="130" spans="1:44" ht="25.35" customHeight="1">
      <c r="A130" s="612" t="str">
        <f t="shared" si="7"/>
        <v>St. Johns River State College</v>
      </c>
      <c r="B130" s="580">
        <v>210</v>
      </c>
      <c r="C130" s="586"/>
      <c r="D130" s="914">
        <f t="shared" si="8"/>
        <v>210</v>
      </c>
      <c r="E130" s="1013">
        <v>2125.9434759453225</v>
      </c>
      <c r="F130" s="588">
        <v>64.282336232913181</v>
      </c>
      <c r="G130" s="587">
        <f t="shared" si="9"/>
        <v>2190.2258121782356</v>
      </c>
      <c r="H130" s="1078">
        <v>723.87584711303873</v>
      </c>
      <c r="I130" s="1079">
        <v>11.874762808349148</v>
      </c>
      <c r="J130" s="587">
        <f t="shared" si="17"/>
        <v>735.75060992138788</v>
      </c>
      <c r="K130" s="607">
        <v>26.324999999999999</v>
      </c>
      <c r="L130" s="581">
        <v>0.67500000000000004</v>
      </c>
      <c r="M130" s="608">
        <f t="shared" si="10"/>
        <v>27</v>
      </c>
      <c r="N130" s="607">
        <v>5.9802955665024626</v>
      </c>
      <c r="O130" s="581">
        <v>1.9704433497536946E-2</v>
      </c>
      <c r="P130" s="608">
        <f t="shared" si="11"/>
        <v>6</v>
      </c>
      <c r="Q130" s="607">
        <v>118.71733966745843</v>
      </c>
      <c r="R130" s="589">
        <v>0.28266033254156769</v>
      </c>
      <c r="S130" s="587">
        <f t="shared" si="12"/>
        <v>119</v>
      </c>
      <c r="T130" s="608">
        <f t="shared" si="13"/>
        <v>3287.9764220996235</v>
      </c>
      <c r="V130" s="604">
        <f t="shared" si="18"/>
        <v>0</v>
      </c>
      <c r="W130" s="589">
        <v>0</v>
      </c>
      <c r="X130" s="609">
        <v>0</v>
      </c>
      <c r="Y130" s="73"/>
      <c r="Z130" s="590">
        <f t="shared" si="19"/>
        <v>22</v>
      </c>
      <c r="AA130" s="610">
        <v>0</v>
      </c>
      <c r="AB130" s="605">
        <f t="shared" si="14"/>
        <v>22</v>
      </c>
      <c r="AD130" s="612" t="str">
        <f t="shared" si="15"/>
        <v>St. Johns River State College</v>
      </c>
      <c r="AE130" s="611">
        <v>20</v>
      </c>
      <c r="AF130" s="611">
        <v>2</v>
      </c>
      <c r="AG130" s="587">
        <f t="shared" si="16"/>
        <v>22</v>
      </c>
    </row>
    <row r="131" spans="1:44" ht="25.35" customHeight="1">
      <c r="A131" s="612" t="str">
        <f t="shared" si="7"/>
        <v>St. Petersburg College</v>
      </c>
      <c r="B131" s="580">
        <v>2258</v>
      </c>
      <c r="C131" s="586"/>
      <c r="D131" s="914">
        <f t="shared" si="8"/>
        <v>2258</v>
      </c>
      <c r="E131" s="1013">
        <v>6466.3874752105494</v>
      </c>
      <c r="F131" s="588">
        <v>298.64737167435032</v>
      </c>
      <c r="G131" s="587">
        <f t="shared" si="9"/>
        <v>6765.0348468848997</v>
      </c>
      <c r="H131" s="1078">
        <v>3647.7516879219806</v>
      </c>
      <c r="I131" s="1079">
        <v>136.31635408852213</v>
      </c>
      <c r="J131" s="587">
        <f t="shared" si="17"/>
        <v>3784.0680420105027</v>
      </c>
      <c r="K131" s="607">
        <v>317.50259067357513</v>
      </c>
      <c r="L131" s="581">
        <v>39.497409326424865</v>
      </c>
      <c r="M131" s="608">
        <f t="shared" si="10"/>
        <v>357</v>
      </c>
      <c r="N131" s="607">
        <v>0</v>
      </c>
      <c r="O131" s="581">
        <v>0</v>
      </c>
      <c r="P131" s="608">
        <f t="shared" si="11"/>
        <v>0</v>
      </c>
      <c r="Q131" s="607">
        <v>124.97128894318875</v>
      </c>
      <c r="R131" s="589">
        <v>62.028711056811247</v>
      </c>
      <c r="S131" s="587">
        <f t="shared" si="12"/>
        <v>187</v>
      </c>
      <c r="T131" s="608">
        <f t="shared" si="13"/>
        <v>13351.102888895402</v>
      </c>
      <c r="V131" s="604">
        <f t="shared" si="18"/>
        <v>0</v>
      </c>
      <c r="W131" s="589">
        <v>0</v>
      </c>
      <c r="X131" s="609">
        <v>0</v>
      </c>
      <c r="Y131" s="73"/>
      <c r="Z131" s="590">
        <f t="shared" si="19"/>
        <v>0</v>
      </c>
      <c r="AA131" s="610">
        <v>0</v>
      </c>
      <c r="AB131" s="605">
        <f t="shared" si="14"/>
        <v>0</v>
      </c>
      <c r="AD131" s="612" t="str">
        <f t="shared" si="15"/>
        <v>St. Petersburg College</v>
      </c>
      <c r="AE131" s="611">
        <v>0</v>
      </c>
      <c r="AF131" s="611">
        <v>0</v>
      </c>
      <c r="AG131" s="587">
        <f t="shared" si="16"/>
        <v>0</v>
      </c>
    </row>
    <row r="132" spans="1:44" ht="25.35" customHeight="1">
      <c r="A132" s="612" t="str">
        <f t="shared" si="7"/>
        <v>Santa Fe College</v>
      </c>
      <c r="B132" s="580">
        <v>429</v>
      </c>
      <c r="C132" s="586"/>
      <c r="D132" s="914">
        <f t="shared" si="8"/>
        <v>429</v>
      </c>
      <c r="E132" s="1013">
        <v>5397.9071716704148</v>
      </c>
      <c r="F132" s="588">
        <v>450.4869891548737</v>
      </c>
      <c r="G132" s="587">
        <f t="shared" si="9"/>
        <v>5848.3941608252881</v>
      </c>
      <c r="H132" s="1078">
        <v>2141.0359024390245</v>
      </c>
      <c r="I132" s="1079">
        <v>118.10204878048782</v>
      </c>
      <c r="J132" s="587">
        <f t="shared" si="17"/>
        <v>2259.1379512195122</v>
      </c>
      <c r="K132" s="607">
        <v>180.5446234218546</v>
      </c>
      <c r="L132" s="581">
        <v>32.455376578145405</v>
      </c>
      <c r="M132" s="608">
        <f t="shared" si="10"/>
        <v>213</v>
      </c>
      <c r="N132" s="607">
        <v>0</v>
      </c>
      <c r="O132" s="581">
        <v>0</v>
      </c>
      <c r="P132" s="608">
        <f t="shared" si="11"/>
        <v>0</v>
      </c>
      <c r="Q132" s="607">
        <v>253.4872598980792</v>
      </c>
      <c r="R132" s="589">
        <v>8.0290082320658573</v>
      </c>
      <c r="S132" s="587">
        <f t="shared" si="12"/>
        <v>261.51626813014508</v>
      </c>
      <c r="T132" s="608">
        <f t="shared" si="13"/>
        <v>9011.0483801749451</v>
      </c>
      <c r="V132" s="604">
        <f t="shared" si="18"/>
        <v>0</v>
      </c>
      <c r="W132" s="589">
        <v>0</v>
      </c>
      <c r="X132" s="609">
        <v>0</v>
      </c>
      <c r="Y132" s="73"/>
      <c r="Z132" s="590">
        <f t="shared" si="19"/>
        <v>15.682802547770706</v>
      </c>
      <c r="AA132" s="610">
        <v>98.317197452229294</v>
      </c>
      <c r="AB132" s="605">
        <f t="shared" si="14"/>
        <v>114</v>
      </c>
      <c r="AD132" s="612" t="str">
        <f t="shared" si="15"/>
        <v>Santa Fe College</v>
      </c>
      <c r="AE132" s="611">
        <v>113</v>
      </c>
      <c r="AF132" s="611">
        <v>1</v>
      </c>
      <c r="AG132" s="587">
        <f t="shared" si="16"/>
        <v>114</v>
      </c>
    </row>
    <row r="133" spans="1:44" ht="25.35" customHeight="1">
      <c r="A133" s="612" t="str">
        <f t="shared" si="7"/>
        <v>Seminole State College of Florida</v>
      </c>
      <c r="B133" s="580">
        <v>993</v>
      </c>
      <c r="C133" s="586"/>
      <c r="D133" s="914">
        <f t="shared" si="8"/>
        <v>993</v>
      </c>
      <c r="E133" s="1013">
        <v>5792.3039146659157</v>
      </c>
      <c r="F133" s="588">
        <v>143.33380271773569</v>
      </c>
      <c r="G133" s="587">
        <f t="shared" si="9"/>
        <v>5935.6377173836518</v>
      </c>
      <c r="H133" s="1078">
        <v>2360.9423675428397</v>
      </c>
      <c r="I133" s="1079">
        <v>123.01983576437063</v>
      </c>
      <c r="J133" s="587">
        <f t="shared" si="17"/>
        <v>2483.9622033072105</v>
      </c>
      <c r="K133" s="607">
        <v>169.41489361702128</v>
      </c>
      <c r="L133" s="581">
        <v>12.585106382978726</v>
      </c>
      <c r="M133" s="608">
        <f t="shared" si="10"/>
        <v>182</v>
      </c>
      <c r="N133" s="607">
        <v>38</v>
      </c>
      <c r="O133" s="581">
        <v>0</v>
      </c>
      <c r="P133" s="608">
        <f t="shared" si="11"/>
        <v>38</v>
      </c>
      <c r="Q133" s="607">
        <v>259.31559340074506</v>
      </c>
      <c r="R133" s="589">
        <v>21.68440659925492</v>
      </c>
      <c r="S133" s="587">
        <f t="shared" si="12"/>
        <v>281</v>
      </c>
      <c r="T133" s="608">
        <f t="shared" si="13"/>
        <v>9913.5999206908618</v>
      </c>
      <c r="V133" s="604">
        <f t="shared" si="18"/>
        <v>0</v>
      </c>
      <c r="W133" s="589">
        <v>10</v>
      </c>
      <c r="X133" s="609">
        <v>10</v>
      </c>
      <c r="Y133" s="73"/>
      <c r="Z133" s="590">
        <f t="shared" si="19"/>
        <v>28.630097087378658</v>
      </c>
      <c r="AA133" s="610">
        <v>263.36990291262134</v>
      </c>
      <c r="AB133" s="605">
        <f t="shared" si="14"/>
        <v>292</v>
      </c>
      <c r="AD133" s="612" t="str">
        <f t="shared" si="15"/>
        <v>Seminole State College of Florida</v>
      </c>
      <c r="AE133" s="611">
        <v>273</v>
      </c>
      <c r="AF133" s="611">
        <v>19</v>
      </c>
      <c r="AG133" s="587">
        <f t="shared" si="16"/>
        <v>292</v>
      </c>
    </row>
    <row r="134" spans="1:44" ht="25.35" customHeight="1">
      <c r="A134" s="612" t="str">
        <f t="shared" si="7"/>
        <v>South Florida State College</v>
      </c>
      <c r="B134" s="580">
        <v>105</v>
      </c>
      <c r="C134" s="586"/>
      <c r="D134" s="914">
        <f t="shared" si="8"/>
        <v>105</v>
      </c>
      <c r="E134" s="1013">
        <v>1073.8904267589387</v>
      </c>
      <c r="F134" s="588">
        <v>14.205882352941179</v>
      </c>
      <c r="G134" s="587">
        <f t="shared" si="9"/>
        <v>1088.0963091118799</v>
      </c>
      <c r="H134" s="1078">
        <v>293</v>
      </c>
      <c r="I134" s="1079">
        <v>0</v>
      </c>
      <c r="J134" s="587">
        <f t="shared" si="17"/>
        <v>293</v>
      </c>
      <c r="K134" s="607">
        <v>16.753623188405797</v>
      </c>
      <c r="L134" s="581">
        <v>0.24637681159420291</v>
      </c>
      <c r="M134" s="608">
        <f t="shared" si="10"/>
        <v>17</v>
      </c>
      <c r="N134" s="607">
        <v>0</v>
      </c>
      <c r="O134" s="581">
        <v>0</v>
      </c>
      <c r="P134" s="608">
        <f t="shared" si="11"/>
        <v>0</v>
      </c>
      <c r="Q134" s="607">
        <v>273.09350649350648</v>
      </c>
      <c r="R134" s="589">
        <v>0.675974025974026</v>
      </c>
      <c r="S134" s="587">
        <f t="shared" si="12"/>
        <v>273.76948051948051</v>
      </c>
      <c r="T134" s="608">
        <f t="shared" si="13"/>
        <v>1776.8657896313605</v>
      </c>
      <c r="V134" s="604">
        <f t="shared" si="18"/>
        <v>0</v>
      </c>
      <c r="W134" s="589">
        <v>0</v>
      </c>
      <c r="X134" s="609">
        <v>0</v>
      </c>
      <c r="Y134" s="73"/>
      <c r="Z134" s="590">
        <f t="shared" si="19"/>
        <v>42.248056775937812</v>
      </c>
      <c r="AA134" s="610">
        <v>385.75194322406219</v>
      </c>
      <c r="AB134" s="605">
        <f t="shared" si="14"/>
        <v>428</v>
      </c>
      <c r="AD134" s="612" t="str">
        <f t="shared" si="15"/>
        <v>South Florida State College</v>
      </c>
      <c r="AE134" s="611">
        <v>410</v>
      </c>
      <c r="AF134" s="611">
        <v>18</v>
      </c>
      <c r="AG134" s="587">
        <f t="shared" si="16"/>
        <v>428</v>
      </c>
    </row>
    <row r="135" spans="1:44" ht="25.35" customHeight="1">
      <c r="A135" s="612" t="str">
        <f t="shared" si="7"/>
        <v>Tallahassee State College</v>
      </c>
      <c r="B135" s="580">
        <v>181</v>
      </c>
      <c r="C135" s="586"/>
      <c r="D135" s="914">
        <f t="shared" si="8"/>
        <v>181</v>
      </c>
      <c r="E135" s="1013">
        <v>7295.8956308616443</v>
      </c>
      <c r="F135" s="588">
        <v>282.20821409344626</v>
      </c>
      <c r="G135" s="587">
        <f t="shared" si="9"/>
        <v>7578.1038449550906</v>
      </c>
      <c r="H135" s="1078">
        <v>1567.3072472153913</v>
      </c>
      <c r="I135" s="1079">
        <v>52.382467814262988</v>
      </c>
      <c r="J135" s="587">
        <f t="shared" si="17"/>
        <v>1619.6897150296543</v>
      </c>
      <c r="K135" s="607">
        <v>119.625</v>
      </c>
      <c r="L135" s="581">
        <v>16.375</v>
      </c>
      <c r="M135" s="608">
        <f t="shared" si="10"/>
        <v>136</v>
      </c>
      <c r="N135" s="607">
        <v>0</v>
      </c>
      <c r="O135" s="581">
        <v>0</v>
      </c>
      <c r="P135" s="608">
        <f t="shared" si="11"/>
        <v>0</v>
      </c>
      <c r="Q135" s="607">
        <v>327.8985460420032</v>
      </c>
      <c r="R135" s="589">
        <v>3.1014539579967688</v>
      </c>
      <c r="S135" s="587">
        <f t="shared" si="12"/>
        <v>331</v>
      </c>
      <c r="T135" s="608">
        <f t="shared" si="13"/>
        <v>9845.7935599847442</v>
      </c>
      <c r="V135" s="604">
        <f t="shared" si="18"/>
        <v>0</v>
      </c>
      <c r="W135" s="589">
        <v>0</v>
      </c>
      <c r="X135" s="609">
        <v>0</v>
      </c>
      <c r="Y135" s="73"/>
      <c r="Z135" s="590">
        <f t="shared" si="19"/>
        <v>35.289760348583876</v>
      </c>
      <c r="AA135" s="610">
        <v>11.710239651416122</v>
      </c>
      <c r="AB135" s="605">
        <f t="shared" si="14"/>
        <v>47</v>
      </c>
      <c r="AD135" s="612" t="str">
        <f t="shared" si="15"/>
        <v>Tallahassee State College</v>
      </c>
      <c r="AE135" s="611">
        <v>43</v>
      </c>
      <c r="AF135" s="611">
        <v>4</v>
      </c>
      <c r="AG135" s="587">
        <f t="shared" si="16"/>
        <v>47</v>
      </c>
    </row>
    <row r="136" spans="1:44" ht="25.35" customHeight="1" thickBot="1">
      <c r="A136" s="613" t="str">
        <f t="shared" si="7"/>
        <v>Valencia College</v>
      </c>
      <c r="B136" s="542">
        <v>1277</v>
      </c>
      <c r="C136" s="566"/>
      <c r="D136" s="915">
        <f t="shared" si="8"/>
        <v>1277</v>
      </c>
      <c r="E136" s="1014">
        <v>19245.34984144977</v>
      </c>
      <c r="F136" s="567">
        <v>1756.2105859762444</v>
      </c>
      <c r="G136" s="543">
        <f t="shared" si="9"/>
        <v>21001.560427426015</v>
      </c>
      <c r="H136" s="1080">
        <v>8142.6811519960011</v>
      </c>
      <c r="I136" s="1081">
        <v>616.24558005872439</v>
      </c>
      <c r="J136" s="614">
        <f t="shared" si="17"/>
        <v>8758.926732054726</v>
      </c>
      <c r="K136" s="615">
        <v>774.05787781350477</v>
      </c>
      <c r="L136" s="616">
        <v>197.9421221864952</v>
      </c>
      <c r="M136" s="617">
        <f t="shared" si="10"/>
        <v>972</v>
      </c>
      <c r="N136" s="615">
        <v>57</v>
      </c>
      <c r="O136" s="616">
        <v>0</v>
      </c>
      <c r="P136" s="617">
        <f t="shared" si="11"/>
        <v>57</v>
      </c>
      <c r="Q136" s="615">
        <v>223.69792935444579</v>
      </c>
      <c r="R136" s="618">
        <v>40.302070645554203</v>
      </c>
      <c r="S136" s="543">
        <f t="shared" si="12"/>
        <v>264</v>
      </c>
      <c r="T136" s="617">
        <f t="shared" si="13"/>
        <v>32330.487159480741</v>
      </c>
      <c r="V136" s="604">
        <f t="shared" si="18"/>
        <v>0</v>
      </c>
      <c r="W136" s="450">
        <v>0</v>
      </c>
      <c r="X136" s="451">
        <v>0</v>
      </c>
      <c r="Y136" s="73"/>
      <c r="Z136" s="619">
        <f t="shared" si="19"/>
        <v>0</v>
      </c>
      <c r="AA136" s="620">
        <v>0</v>
      </c>
      <c r="AB136" s="605">
        <f t="shared" si="14"/>
        <v>0</v>
      </c>
      <c r="AD136" s="613" t="str">
        <f t="shared" si="15"/>
        <v>Valencia College</v>
      </c>
      <c r="AE136" s="568">
        <v>0</v>
      </c>
      <c r="AF136" s="568">
        <v>0</v>
      </c>
      <c r="AG136" s="543">
        <f t="shared" si="16"/>
        <v>0</v>
      </c>
    </row>
    <row r="137" spans="1:44" ht="25.35" customHeight="1" thickBot="1">
      <c r="A137" s="369" t="s">
        <v>48</v>
      </c>
      <c r="B137" s="370">
        <f t="shared" ref="B137" si="20">SUM(B109:B136)</f>
        <v>18677</v>
      </c>
      <c r="C137" s="61"/>
      <c r="D137" s="384">
        <f t="shared" ref="D137:T137" si="21">SUM(D109:D136)</f>
        <v>18677</v>
      </c>
      <c r="E137" s="916">
        <f t="shared" si="21"/>
        <v>160247.78233849944</v>
      </c>
      <c r="F137" s="371">
        <f t="shared" si="21"/>
        <v>8635.8405188439847</v>
      </c>
      <c r="G137" s="384">
        <f t="shared" si="21"/>
        <v>168883.62285734343</v>
      </c>
      <c r="H137" s="394">
        <f t="shared" si="21"/>
        <v>55317.081607187254</v>
      </c>
      <c r="I137" s="371">
        <f t="shared" si="21"/>
        <v>2559.5854422379839</v>
      </c>
      <c r="J137" s="384">
        <f t="shared" si="21"/>
        <v>57876.667049425232</v>
      </c>
      <c r="K137" s="394">
        <f t="shared" si="21"/>
        <v>6538.112743450406</v>
      </c>
      <c r="L137" s="396">
        <f t="shared" si="21"/>
        <v>874.88725654959399</v>
      </c>
      <c r="M137" s="385">
        <f t="shared" si="21"/>
        <v>7413</v>
      </c>
      <c r="N137" s="394">
        <f t="shared" si="21"/>
        <v>264.99833887043189</v>
      </c>
      <c r="O137" s="396">
        <f t="shared" si="21"/>
        <v>1.0016611295681064</v>
      </c>
      <c r="P137" s="385">
        <f t="shared" si="21"/>
        <v>266</v>
      </c>
      <c r="Q137" s="393">
        <f t="shared" si="21"/>
        <v>9219.3826500527848</v>
      </c>
      <c r="R137" s="395">
        <f t="shared" si="21"/>
        <v>410.36745956113009</v>
      </c>
      <c r="S137" s="386">
        <f t="shared" si="21"/>
        <v>9629.7501096139167</v>
      </c>
      <c r="T137" s="62">
        <f t="shared" si="21"/>
        <v>262746.04001638258</v>
      </c>
      <c r="U137" s="63"/>
      <c r="V137" s="387">
        <f t="shared" ref="V137:AB137" si="22">SUM(V109:V136)</f>
        <v>9.21875</v>
      </c>
      <c r="W137" s="394">
        <f t="shared" si="22"/>
        <v>10.78125</v>
      </c>
      <c r="X137" s="392">
        <f t="shared" si="22"/>
        <v>20</v>
      </c>
      <c r="Y137" s="64"/>
      <c r="Z137" s="387">
        <f t="shared" si="22"/>
        <v>1275.6209292283163</v>
      </c>
      <c r="AA137" s="393">
        <f t="shared" si="22"/>
        <v>3009.3790707716839</v>
      </c>
      <c r="AB137" s="389">
        <f t="shared" si="22"/>
        <v>4285</v>
      </c>
      <c r="AC137" s="63"/>
      <c r="AD137" s="369" t="s">
        <v>48</v>
      </c>
      <c r="AE137" s="392">
        <f>SUM(AE109:AE136)</f>
        <v>4178</v>
      </c>
      <c r="AF137" s="392">
        <f>SUM(AF109:AF136)</f>
        <v>107</v>
      </c>
      <c r="AG137" s="384">
        <f>SUM(AG109:AG136)</f>
        <v>4285</v>
      </c>
      <c r="AH137" s="63"/>
      <c r="AI137" s="63"/>
      <c r="AJ137" s="63"/>
      <c r="AK137" s="63"/>
      <c r="AL137" s="63"/>
      <c r="AM137" s="63"/>
      <c r="AN137" s="63"/>
      <c r="AO137" s="63"/>
      <c r="AP137" s="63"/>
      <c r="AQ137" s="63"/>
      <c r="AR137" s="63"/>
    </row>
    <row r="138" spans="1:44" ht="14.1" customHeight="1">
      <c r="A138" s="364"/>
      <c r="B138" s="365"/>
      <c r="C138" s="365"/>
      <c r="D138" s="365"/>
      <c r="E138" s="365"/>
      <c r="F138" s="365"/>
      <c r="G138" s="365"/>
      <c r="H138" s="365"/>
      <c r="I138" s="365"/>
      <c r="J138" s="365"/>
      <c r="K138" s="365"/>
      <c r="L138" s="365"/>
      <c r="M138" s="365"/>
      <c r="N138" s="365"/>
      <c r="O138" s="365"/>
      <c r="P138" s="365"/>
      <c r="Q138" s="365"/>
      <c r="R138" s="365"/>
      <c r="S138" s="365"/>
      <c r="T138" s="365"/>
      <c r="U138" s="63"/>
      <c r="V138" s="366"/>
      <c r="W138" s="366"/>
      <c r="X138" s="366"/>
      <c r="Y138" s="366"/>
      <c r="Z138" s="366"/>
      <c r="AA138" s="366"/>
      <c r="AB138" s="366"/>
      <c r="AC138" s="63"/>
      <c r="AD138" s="364"/>
      <c r="AE138" s="65"/>
      <c r="AF138" s="65"/>
      <c r="AG138" s="65"/>
      <c r="AH138" s="63"/>
      <c r="AI138" s="63"/>
      <c r="AJ138" s="63"/>
      <c r="AK138" s="63"/>
      <c r="AL138" s="63"/>
      <c r="AM138" s="63"/>
      <c r="AN138" s="63"/>
      <c r="AO138" s="63"/>
      <c r="AP138" s="63"/>
      <c r="AQ138" s="63"/>
      <c r="AR138" s="63"/>
    </row>
    <row r="139" spans="1:44">
      <c r="A139" s="11" t="s">
        <v>682</v>
      </c>
      <c r="V139" s="47"/>
      <c r="W139" s="47"/>
      <c r="X139" s="47"/>
      <c r="Y139" s="47"/>
      <c r="Z139" s="47"/>
      <c r="AA139" s="47"/>
      <c r="AB139" s="47"/>
    </row>
    <row r="140" spans="1:44">
      <c r="A140" s="11" t="s">
        <v>768</v>
      </c>
      <c r="V140" s="47"/>
      <c r="W140" s="47"/>
      <c r="X140" s="47"/>
      <c r="Y140" s="47"/>
      <c r="Z140" s="54"/>
      <c r="AA140" s="47"/>
      <c r="AB140" s="47"/>
    </row>
    <row r="141" spans="1:44">
      <c r="A141" s="787" t="s">
        <v>89</v>
      </c>
      <c r="B141" s="787"/>
      <c r="C141" s="787"/>
      <c r="D141" s="787"/>
      <c r="E141" s="22"/>
    </row>
    <row r="142" spans="1:44">
      <c r="A142" s="787" t="s">
        <v>90</v>
      </c>
      <c r="B142" s="787"/>
      <c r="C142" s="787"/>
      <c r="D142" s="787"/>
    </row>
    <row r="143" spans="1:44">
      <c r="A143" s="11" t="s">
        <v>91</v>
      </c>
    </row>
    <row r="145" spans="1:4" ht="54.6" customHeight="1" thickBot="1">
      <c r="A145" s="1073" t="s">
        <v>709</v>
      </c>
      <c r="B145" s="995"/>
      <c r="C145" s="1072"/>
      <c r="D145" s="1072"/>
    </row>
    <row r="146" spans="1:4" ht="21.75" thickBot="1">
      <c r="A146" s="56"/>
      <c r="B146" s="57" t="s">
        <v>717</v>
      </c>
    </row>
    <row r="147" spans="1:4" ht="21.75" thickBot="1">
      <c r="A147" s="56">
        <v>1</v>
      </c>
      <c r="B147" s="46">
        <v>2</v>
      </c>
    </row>
    <row r="148" spans="1:4" ht="57" customHeight="1" thickBot="1">
      <c r="A148" s="32" t="s">
        <v>149</v>
      </c>
      <c r="B148" s="1068" t="str">
        <f>B5</f>
        <v xml:space="preserve">2024-25 BASE BUDGET </v>
      </c>
    </row>
    <row r="149" spans="1:4" ht="63.75" thickBot="1">
      <c r="A149" s="280" t="s">
        <v>17</v>
      </c>
      <c r="B149" s="17" t="s">
        <v>149</v>
      </c>
    </row>
    <row r="150" spans="1:4">
      <c r="A150" s="397" t="str">
        <f t="shared" ref="A150:A177" si="23">A7</f>
        <v>Eastern Florida State College</v>
      </c>
      <c r="B150" s="1069">
        <v>1223211</v>
      </c>
    </row>
    <row r="151" spans="1:4">
      <c r="A151" s="377" t="str">
        <f t="shared" si="23"/>
        <v>Broward College</v>
      </c>
      <c r="B151" s="1070">
        <v>2901756</v>
      </c>
    </row>
    <row r="152" spans="1:4">
      <c r="A152" s="377" t="str">
        <f t="shared" si="23"/>
        <v>College of Central Florida</v>
      </c>
      <c r="B152" s="1070">
        <v>580642</v>
      </c>
    </row>
    <row r="153" spans="1:4">
      <c r="A153" s="377" t="str">
        <f t="shared" si="23"/>
        <v>Chipola College</v>
      </c>
      <c r="B153" s="1070">
        <v>199039</v>
      </c>
    </row>
    <row r="154" spans="1:4">
      <c r="A154" s="377" t="str">
        <f t="shared" si="23"/>
        <v>Daytona State College</v>
      </c>
      <c r="B154" s="1070">
        <v>806367</v>
      </c>
    </row>
    <row r="155" spans="1:4">
      <c r="A155" s="377" t="str">
        <f t="shared" si="23"/>
        <v>Florida SouthWestern State College</v>
      </c>
      <c r="B155" s="1070">
        <v>831927</v>
      </c>
    </row>
    <row r="156" spans="1:4">
      <c r="A156" s="377" t="str">
        <f t="shared" si="23"/>
        <v>Florida State College at Jacksonville</v>
      </c>
      <c r="B156" s="1070">
        <v>1522554</v>
      </c>
    </row>
    <row r="157" spans="1:4">
      <c r="A157" s="377" t="str">
        <f t="shared" si="23"/>
        <v>College of the Florida Keys</v>
      </c>
      <c r="B157" s="1070">
        <v>55645</v>
      </c>
    </row>
    <row r="158" spans="1:4">
      <c r="A158" s="377" t="str">
        <f t="shared" si="23"/>
        <v>Gulf Coast State College</v>
      </c>
      <c r="B158" s="1070">
        <v>281214</v>
      </c>
    </row>
    <row r="159" spans="1:4">
      <c r="A159" s="377" t="str">
        <f t="shared" si="23"/>
        <v>Hillsborough Community College</v>
      </c>
      <c r="B159" s="1070">
        <v>1535676</v>
      </c>
    </row>
    <row r="160" spans="1:4">
      <c r="A160" s="377" t="str">
        <f t="shared" si="23"/>
        <v>Indian River State College</v>
      </c>
      <c r="B160" s="1070">
        <v>861594</v>
      </c>
    </row>
    <row r="161" spans="1:2">
      <c r="A161" s="377" t="str">
        <f t="shared" si="23"/>
        <v>Florida Gateway College</v>
      </c>
      <c r="B161" s="1070">
        <v>234886</v>
      </c>
    </row>
    <row r="162" spans="1:2">
      <c r="A162" s="377" t="str">
        <f t="shared" si="23"/>
        <v>Lake-Sumter State College</v>
      </c>
      <c r="B162" s="1070">
        <v>334183</v>
      </c>
    </row>
    <row r="163" spans="1:2">
      <c r="A163" s="377" t="str">
        <f t="shared" si="23"/>
        <v>State College of Florida, Manatee-Sarasota</v>
      </c>
      <c r="B163" s="1070">
        <v>538310</v>
      </c>
    </row>
    <row r="164" spans="1:2">
      <c r="A164" s="377" t="str">
        <f t="shared" si="23"/>
        <v>Miami Dade College</v>
      </c>
      <c r="B164" s="1070">
        <v>4079933</v>
      </c>
    </row>
    <row r="165" spans="1:2">
      <c r="A165" s="377" t="str">
        <f t="shared" si="23"/>
        <v>North Florida College</v>
      </c>
      <c r="B165" s="1070">
        <v>134140</v>
      </c>
    </row>
    <row r="166" spans="1:2">
      <c r="A166" s="377" t="str">
        <f t="shared" si="23"/>
        <v>Northwest Florida State College</v>
      </c>
      <c r="B166" s="1070">
        <v>337943</v>
      </c>
    </row>
    <row r="167" spans="1:2">
      <c r="A167" s="377" t="str">
        <f t="shared" si="23"/>
        <v>Palm Beach State College</v>
      </c>
      <c r="B167" s="1070">
        <v>1362933</v>
      </c>
    </row>
    <row r="168" spans="1:2">
      <c r="A168" s="377" t="str">
        <f t="shared" si="23"/>
        <v>Pasco-Hernando State College</v>
      </c>
      <c r="B168" s="1070">
        <v>656969</v>
      </c>
    </row>
    <row r="169" spans="1:2">
      <c r="A169" s="377" t="str">
        <f t="shared" si="23"/>
        <v>Pensacola State College</v>
      </c>
      <c r="B169" s="1070">
        <v>468310</v>
      </c>
    </row>
    <row r="170" spans="1:2">
      <c r="A170" s="377" t="str">
        <f t="shared" si="23"/>
        <v>Polk State College</v>
      </c>
      <c r="B170" s="1070">
        <v>612408</v>
      </c>
    </row>
    <row r="171" spans="1:2">
      <c r="A171" s="377" t="str">
        <f t="shared" si="23"/>
        <v>St. Johns River State College</v>
      </c>
      <c r="B171" s="1070">
        <v>432461</v>
      </c>
    </row>
    <row r="172" spans="1:2">
      <c r="A172" s="377" t="str">
        <f t="shared" si="23"/>
        <v>St. Petersburg College</v>
      </c>
      <c r="B172" s="1070">
        <v>1662776</v>
      </c>
    </row>
    <row r="173" spans="1:2">
      <c r="A173" s="377" t="str">
        <f t="shared" si="23"/>
        <v>Santa Fe College</v>
      </c>
      <c r="B173" s="1070">
        <v>1069199</v>
      </c>
    </row>
    <row r="174" spans="1:2">
      <c r="A174" s="377" t="str">
        <f t="shared" si="23"/>
        <v>Seminole State College of Florida</v>
      </c>
      <c r="B174" s="1070">
        <v>1560101</v>
      </c>
    </row>
    <row r="175" spans="1:2">
      <c r="A175" s="377" t="str">
        <f t="shared" si="23"/>
        <v>South Florida State College</v>
      </c>
      <c r="B175" s="1070">
        <v>188239</v>
      </c>
    </row>
    <row r="176" spans="1:2">
      <c r="A176" s="377" t="str">
        <f t="shared" si="23"/>
        <v>Tallahassee State College</v>
      </c>
      <c r="B176" s="1070">
        <v>1011402</v>
      </c>
    </row>
    <row r="177" spans="1:2" ht="21.75" thickBot="1">
      <c r="A177" s="378" t="str">
        <f t="shared" si="23"/>
        <v>Valencia College</v>
      </c>
      <c r="B177" s="1071">
        <v>4516182</v>
      </c>
    </row>
    <row r="178" spans="1:2" ht="24" thickBot="1">
      <c r="A178" s="379" t="s">
        <v>48</v>
      </c>
      <c r="B178" s="417">
        <f>SUM(B150:B177)</f>
        <v>30000000</v>
      </c>
    </row>
    <row r="180" spans="1:2" ht="36.75" thickBot="1">
      <c r="A180" s="1073" t="s">
        <v>709</v>
      </c>
      <c r="B180" s="995"/>
    </row>
    <row r="181" spans="1:2" ht="21.75" thickBot="1">
      <c r="A181" s="56"/>
      <c r="B181" s="57" t="s">
        <v>717</v>
      </c>
    </row>
    <row r="182" spans="1:2" ht="21.75" thickBot="1">
      <c r="A182" s="56">
        <v>1</v>
      </c>
      <c r="B182" s="46">
        <v>2</v>
      </c>
    </row>
    <row r="183" spans="1:2" ht="54" thickBot="1">
      <c r="A183" s="1074" t="s">
        <v>688</v>
      </c>
      <c r="B183" s="1068" t="str">
        <f>B5</f>
        <v xml:space="preserve">2024-25 BASE BUDGET </v>
      </c>
    </row>
    <row r="184" spans="1:2" ht="42.75" thickBot="1">
      <c r="A184" s="280" t="s">
        <v>17</v>
      </c>
      <c r="B184" s="17" t="s">
        <v>688</v>
      </c>
    </row>
    <row r="185" spans="1:2">
      <c r="A185" s="397" t="str">
        <f t="shared" ref="A185:A212" si="24">A7</f>
        <v>Eastern Florida State College</v>
      </c>
      <c r="B185" s="1075">
        <v>1305041</v>
      </c>
    </row>
    <row r="186" spans="1:2">
      <c r="A186" s="377" t="str">
        <f t="shared" si="24"/>
        <v>Broward College</v>
      </c>
      <c r="B186" s="1070">
        <v>1431485</v>
      </c>
    </row>
    <row r="187" spans="1:2">
      <c r="A187" s="377" t="str">
        <f t="shared" si="24"/>
        <v>College of Central Florida</v>
      </c>
      <c r="B187" s="1070">
        <v>1049273</v>
      </c>
    </row>
    <row r="188" spans="1:2">
      <c r="A188" s="377" t="str">
        <f t="shared" si="24"/>
        <v>Chipola College</v>
      </c>
      <c r="B188" s="1070">
        <v>432695</v>
      </c>
    </row>
    <row r="189" spans="1:2">
      <c r="A189" s="377" t="str">
        <f t="shared" si="24"/>
        <v>Daytona State College</v>
      </c>
      <c r="B189" s="1070">
        <v>2291042</v>
      </c>
    </row>
    <row r="190" spans="1:2">
      <c r="A190" s="377" t="str">
        <f t="shared" si="24"/>
        <v>Florida SouthWestern State College</v>
      </c>
      <c r="B190" s="1070">
        <v>1383615</v>
      </c>
    </row>
    <row r="191" spans="1:2">
      <c r="A191" s="377" t="str">
        <f t="shared" si="24"/>
        <v>Florida State College at Jacksonville</v>
      </c>
      <c r="B191" s="1070">
        <v>2284275</v>
      </c>
    </row>
    <row r="192" spans="1:2">
      <c r="A192" s="377" t="str">
        <f t="shared" si="24"/>
        <v>College of the Florida Keys</v>
      </c>
      <c r="B192" s="1070">
        <v>338573</v>
      </c>
    </row>
    <row r="193" spans="1:2">
      <c r="A193" s="377" t="str">
        <f t="shared" si="24"/>
        <v>Gulf Coast State College</v>
      </c>
      <c r="B193" s="1070">
        <v>1680100</v>
      </c>
    </row>
    <row r="194" spans="1:2">
      <c r="A194" s="377" t="str">
        <f t="shared" si="24"/>
        <v>Hillsborough Community College</v>
      </c>
      <c r="B194" s="1070">
        <v>653062</v>
      </c>
    </row>
    <row r="195" spans="1:2">
      <c r="A195" s="377" t="str">
        <f t="shared" si="24"/>
        <v>Indian River State College</v>
      </c>
      <c r="B195" s="1070">
        <v>1644383</v>
      </c>
    </row>
    <row r="196" spans="1:2">
      <c r="A196" s="377" t="str">
        <f t="shared" si="24"/>
        <v>Florida Gateway College</v>
      </c>
      <c r="B196" s="1070">
        <v>1502315</v>
      </c>
    </row>
    <row r="197" spans="1:2">
      <c r="A197" s="377" t="str">
        <f t="shared" si="24"/>
        <v>Lake-Sumter State College</v>
      </c>
      <c r="B197" s="1070">
        <v>1203371</v>
      </c>
    </row>
    <row r="198" spans="1:2">
      <c r="A198" s="377" t="str">
        <f t="shared" si="24"/>
        <v>State College of Florida, Manatee-Sarasota</v>
      </c>
      <c r="B198" s="1070">
        <v>1708676</v>
      </c>
    </row>
    <row r="199" spans="1:2">
      <c r="A199" s="377" t="str">
        <f t="shared" si="24"/>
        <v>Miami Dade College</v>
      </c>
      <c r="B199" s="1070">
        <v>2347456</v>
      </c>
    </row>
    <row r="200" spans="1:2">
      <c r="A200" s="377" t="str">
        <f t="shared" si="24"/>
        <v>North Florida College</v>
      </c>
      <c r="B200" s="1070">
        <v>909979</v>
      </c>
    </row>
    <row r="201" spans="1:2">
      <c r="A201" s="377" t="str">
        <f t="shared" si="24"/>
        <v>Northwest Florida State College</v>
      </c>
      <c r="B201" s="1070">
        <v>846604</v>
      </c>
    </row>
    <row r="202" spans="1:2">
      <c r="A202" s="377" t="str">
        <f t="shared" si="24"/>
        <v>Palm Beach State College</v>
      </c>
      <c r="B202" s="1070">
        <v>1637660</v>
      </c>
    </row>
    <row r="203" spans="1:2">
      <c r="A203" s="377" t="str">
        <f t="shared" si="24"/>
        <v>Pasco-Hernando State College</v>
      </c>
      <c r="B203" s="1070">
        <v>2453045</v>
      </c>
    </row>
    <row r="204" spans="1:2">
      <c r="A204" s="377" t="str">
        <f t="shared" si="24"/>
        <v>Pensacola State College</v>
      </c>
      <c r="B204" s="1070">
        <v>1084766</v>
      </c>
    </row>
    <row r="205" spans="1:2">
      <c r="A205" s="377" t="str">
        <f t="shared" si="24"/>
        <v>Polk State College</v>
      </c>
      <c r="B205" s="1070">
        <v>1287984</v>
      </c>
    </row>
    <row r="206" spans="1:2">
      <c r="A206" s="377" t="str">
        <f t="shared" si="24"/>
        <v>St. Johns River State College</v>
      </c>
      <c r="B206" s="1070">
        <v>1161973</v>
      </c>
    </row>
    <row r="207" spans="1:2">
      <c r="A207" s="377" t="str">
        <f t="shared" si="24"/>
        <v>St. Petersburg College</v>
      </c>
      <c r="B207" s="1070">
        <v>2139506</v>
      </c>
    </row>
    <row r="208" spans="1:2">
      <c r="A208" s="377" t="str">
        <f t="shared" si="24"/>
        <v>Santa Fe College</v>
      </c>
      <c r="B208" s="1070">
        <v>1764750</v>
      </c>
    </row>
    <row r="209" spans="1:2">
      <c r="A209" s="377" t="str">
        <f t="shared" si="24"/>
        <v>Seminole State College of Florida</v>
      </c>
      <c r="B209" s="1070">
        <v>1473391</v>
      </c>
    </row>
    <row r="210" spans="1:2">
      <c r="A210" s="377" t="str">
        <f t="shared" si="24"/>
        <v>South Florida State College</v>
      </c>
      <c r="B210" s="1070">
        <v>1194691</v>
      </c>
    </row>
    <row r="211" spans="1:2">
      <c r="A211" s="377" t="str">
        <f t="shared" si="24"/>
        <v>Tallahassee State College</v>
      </c>
      <c r="B211" s="1070">
        <v>678930</v>
      </c>
    </row>
    <row r="212" spans="1:2" ht="21.75" thickBot="1">
      <c r="A212" s="378" t="str">
        <f t="shared" si="24"/>
        <v>Valencia College</v>
      </c>
      <c r="B212" s="1071">
        <v>2111359</v>
      </c>
    </row>
    <row r="213" spans="1:2" ht="24" thickBot="1">
      <c r="A213" s="379" t="s">
        <v>48</v>
      </c>
      <c r="B213" s="417">
        <f>SUM(B185:B212)</f>
        <v>40000000</v>
      </c>
    </row>
  </sheetData>
  <sheetProtection algorithmName="SHA-512" hashValue="M41aLhhKN1cZvZYdBMRlyInXUydM766nlSmGpVcTvgGiSa1UPwn+OgT34q5/outrCirmEyf02U/BUNzM4i+iRQ==" saltValue="dRWFOXgUJ1A7xSMAKcZ49w=="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heetViews>
  <sheetFormatPr defaultColWidth="9.7109375" defaultRowHeight="21"/>
  <cols>
    <col min="1" max="1" width="5.140625" style="11" customWidth="1"/>
    <col min="2" max="2" width="1.7109375" style="11" customWidth="1"/>
    <col min="3" max="3" width="104.85546875" style="11" customWidth="1"/>
    <col min="4" max="4" width="59.85546875" style="11" customWidth="1"/>
    <col min="5" max="5" width="34.28515625" style="11" customWidth="1"/>
    <col min="6" max="6" width="22.42578125" style="11" customWidth="1"/>
    <col min="7" max="7" width="18.7109375" style="11" customWidth="1"/>
    <col min="8" max="8" width="1.7109375" style="11" customWidth="1"/>
    <col min="9" max="9" width="63.42578125" style="11" customWidth="1"/>
    <col min="10" max="11" width="18.140625" style="11" customWidth="1"/>
    <col min="12" max="12" width="22.7109375" style="11" customWidth="1"/>
    <col min="13" max="13" width="3.28515625" style="11" customWidth="1"/>
    <col min="14" max="14" width="32" style="11" customWidth="1"/>
    <col min="15" max="15" width="47" style="11" customWidth="1"/>
    <col min="16" max="16" width="31.42578125" style="11" customWidth="1"/>
    <col min="17" max="17" width="2.85546875" style="11" customWidth="1"/>
    <col min="18" max="18" width="48.140625" style="11" customWidth="1"/>
    <col min="19" max="19" width="28.7109375" style="11" customWidth="1"/>
    <col min="20" max="20" width="5.140625" style="11" customWidth="1"/>
    <col min="21" max="21" width="70" style="11" customWidth="1"/>
    <col min="22" max="22" width="26.140625" style="11" customWidth="1"/>
    <col min="23" max="23" width="22.28515625" style="11" customWidth="1"/>
    <col min="24" max="24" width="24.42578125" style="11" customWidth="1"/>
    <col min="25" max="25" width="21.140625" style="11" customWidth="1"/>
    <col min="26" max="26" width="17.42578125" style="11" customWidth="1"/>
    <col min="27" max="16384" width="9.7109375" style="11"/>
  </cols>
  <sheetData>
    <row r="1" spans="1:9">
      <c r="A1" s="869" t="s">
        <v>11</v>
      </c>
      <c r="B1" s="869"/>
      <c r="C1" s="869"/>
      <c r="D1" s="869"/>
      <c r="E1" s="869"/>
      <c r="F1" s="869"/>
      <c r="G1" s="869"/>
      <c r="H1" s="22"/>
      <c r="I1" s="22"/>
    </row>
    <row r="2" spans="1:9" ht="20.100000000000001" customHeight="1">
      <c r="A2" s="869" t="s">
        <v>742</v>
      </c>
      <c r="B2" s="869"/>
      <c r="C2" s="869"/>
      <c r="D2" s="869"/>
      <c r="E2" s="869"/>
      <c r="F2" s="869"/>
      <c r="G2" s="869"/>
    </row>
    <row r="3" spans="1:9" ht="20.100000000000001" customHeight="1">
      <c r="A3" s="869"/>
      <c r="B3" s="869"/>
      <c r="C3" s="869"/>
      <c r="D3" s="869"/>
      <c r="E3" s="869"/>
      <c r="F3" s="869"/>
      <c r="G3" s="869"/>
      <c r="H3" s="82"/>
    </row>
    <row r="4" spans="1:9" ht="28.35" customHeight="1">
      <c r="A4" s="1088" t="s">
        <v>704</v>
      </c>
      <c r="B4" s="1088"/>
      <c r="C4" s="1088"/>
      <c r="D4" s="1088"/>
      <c r="E4" s="1088"/>
      <c r="F4" s="1088"/>
      <c r="G4" s="1088"/>
      <c r="H4" s="80"/>
      <c r="I4" s="80"/>
    </row>
    <row r="5" spans="1:9" ht="20.100000000000001" customHeight="1">
      <c r="D5" s="83"/>
      <c r="E5" s="83"/>
      <c r="F5" s="83"/>
      <c r="G5" s="84"/>
      <c r="H5" s="82"/>
    </row>
    <row r="6" spans="1:9" ht="20.100000000000001" customHeight="1">
      <c r="G6" s="82"/>
    </row>
    <row r="7" spans="1:9" ht="23.1" customHeight="1" thickBot="1">
      <c r="A7" s="85" t="s">
        <v>92</v>
      </c>
      <c r="C7" s="81" t="s">
        <v>93</v>
      </c>
      <c r="D7" s="790" t="s">
        <v>38</v>
      </c>
      <c r="E7" s="907"/>
      <c r="F7" s="907"/>
      <c r="G7" s="82"/>
      <c r="H7" s="82"/>
    </row>
    <row r="8" spans="1:9" ht="20.100000000000001" customHeight="1">
      <c r="A8" s="82"/>
      <c r="B8" s="82"/>
      <c r="C8" s="82"/>
      <c r="D8" s="82"/>
      <c r="E8" s="82"/>
      <c r="F8" s="82"/>
      <c r="G8" s="82"/>
      <c r="H8" s="82"/>
    </row>
    <row r="9" spans="1:9" ht="20.100000000000001" customHeight="1">
      <c r="A9" s="82"/>
      <c r="B9" s="82"/>
      <c r="C9" s="82"/>
      <c r="D9" s="82"/>
      <c r="E9" s="82"/>
      <c r="F9" s="82"/>
      <c r="G9" s="82"/>
      <c r="H9" s="82"/>
    </row>
    <row r="10" spans="1:9" ht="89.1" customHeight="1">
      <c r="A10" s="423" t="s">
        <v>94</v>
      </c>
      <c r="B10" s="85"/>
      <c r="C10" s="870" t="s">
        <v>782</v>
      </c>
      <c r="D10" s="870"/>
      <c r="E10" s="870"/>
      <c r="F10" s="870"/>
      <c r="G10" s="870"/>
      <c r="H10" s="87"/>
      <c r="I10" s="512"/>
    </row>
    <row r="11" spans="1:9" ht="20.45" customHeight="1">
      <c r="A11" s="85"/>
      <c r="B11" s="85"/>
      <c r="C11" s="420"/>
      <c r="D11" s="420"/>
      <c r="E11" s="420"/>
      <c r="F11" s="82"/>
      <c r="G11" s="82"/>
      <c r="H11" s="87"/>
    </row>
    <row r="12" spans="1:9" ht="20.100000000000001" customHeight="1">
      <c r="C12" s="16" t="s">
        <v>95</v>
      </c>
      <c r="D12" s="16"/>
      <c r="E12" s="16"/>
      <c r="F12" s="88"/>
      <c r="G12" s="88"/>
      <c r="H12" s="88"/>
    </row>
    <row r="13" spans="1:9" ht="20.100000000000001" customHeight="1">
      <c r="C13" s="86"/>
      <c r="H13" s="88"/>
    </row>
    <row r="14" spans="1:9" ht="20.100000000000001" customHeight="1">
      <c r="C14" s="86"/>
    </row>
    <row r="15" spans="1:9" ht="20.100000000000001" customHeight="1">
      <c r="A15" s="85" t="s">
        <v>96</v>
      </c>
      <c r="B15" s="85"/>
      <c r="C15" s="792" t="s">
        <v>97</v>
      </c>
      <c r="D15" s="792"/>
      <c r="E15" s="792"/>
    </row>
    <row r="16" spans="1:9" ht="20.100000000000001" customHeight="1">
      <c r="A16" s="792"/>
      <c r="B16" s="792"/>
      <c r="D16" s="82"/>
      <c r="E16" s="82"/>
      <c r="H16" s="82"/>
    </row>
    <row r="17" spans="1:8" ht="27" customHeight="1">
      <c r="C17" s="799">
        <f>IF(+'EXHIBIT A'!E44&gt;=0.0499,+'EXHIBIT A'!E44,"PERCENTAGE DOES NOT MEET STATUTORY GUIDELINES")</f>
        <v>0.17969679305839922</v>
      </c>
      <c r="D17" s="799"/>
      <c r="E17" s="799"/>
      <c r="F17" s="799"/>
      <c r="G17" s="799"/>
      <c r="H17" s="82"/>
    </row>
    <row r="18" spans="1:8" ht="20.100000000000001" customHeight="1">
      <c r="A18" s="792"/>
      <c r="B18" s="792"/>
      <c r="C18" s="871" t="s">
        <v>98</v>
      </c>
      <c r="D18" s="871"/>
      <c r="E18" s="871"/>
      <c r="F18" s="871"/>
      <c r="G18" s="871"/>
      <c r="H18" s="82"/>
    </row>
    <row r="19" spans="1:8" ht="20.100000000000001" customHeight="1">
      <c r="A19" s="792"/>
      <c r="B19" s="792"/>
      <c r="C19" s="22"/>
      <c r="D19" s="22"/>
      <c r="E19" s="22"/>
      <c r="F19" s="82"/>
      <c r="G19" s="82"/>
      <c r="H19" s="82"/>
    </row>
    <row r="20" spans="1:8" ht="20.100000000000001" customHeight="1"/>
    <row r="21" spans="1:8" ht="20.100000000000001" customHeight="1">
      <c r="A21" s="85" t="s">
        <v>99</v>
      </c>
      <c r="B21" s="85"/>
      <c r="C21" s="792" t="s">
        <v>100</v>
      </c>
      <c r="D21" s="792"/>
      <c r="E21" s="792"/>
      <c r="F21" s="23"/>
      <c r="G21" s="23"/>
      <c r="H21" s="82"/>
    </row>
    <row r="22" spans="1:8" ht="20.100000000000001" customHeight="1">
      <c r="C22" s="23"/>
      <c r="D22" s="23"/>
      <c r="E22" s="23"/>
      <c r="F22" s="23"/>
      <c r="G22" s="23"/>
      <c r="H22" s="82"/>
    </row>
    <row r="23" spans="1:8" ht="20.100000000000001" customHeight="1">
      <c r="C23" s="82" t="s">
        <v>101</v>
      </c>
      <c r="H23" s="82"/>
    </row>
    <row r="24" spans="1:8" ht="20.100000000000001" customHeight="1">
      <c r="A24" s="89"/>
      <c r="B24" s="89"/>
      <c r="C24" s="82" t="s">
        <v>102</v>
      </c>
      <c r="D24" s="82"/>
      <c r="E24" s="82"/>
      <c r="F24" s="82"/>
      <c r="G24" s="82"/>
      <c r="H24" s="82"/>
    </row>
    <row r="25" spans="1:8" ht="20.100000000000001" customHeight="1">
      <c r="A25" s="85"/>
      <c r="B25" s="85"/>
      <c r="C25" s="82" t="s">
        <v>103</v>
      </c>
      <c r="D25" s="82"/>
      <c r="E25" s="90"/>
      <c r="F25" s="82"/>
      <c r="G25" s="82"/>
      <c r="H25" s="82"/>
    </row>
    <row r="26" spans="1:8" ht="20.100000000000001" customHeight="1">
      <c r="A26" s="85"/>
      <c r="B26" s="85"/>
      <c r="C26" s="82" t="s">
        <v>104</v>
      </c>
      <c r="D26" s="82"/>
      <c r="E26" s="90"/>
      <c r="F26" s="82"/>
      <c r="G26" s="82"/>
      <c r="H26" s="82"/>
    </row>
    <row r="27" spans="1:8" ht="20.100000000000001" customHeight="1">
      <c r="A27" s="85"/>
      <c r="B27" s="85"/>
      <c r="C27" s="82" t="s">
        <v>105</v>
      </c>
      <c r="D27" s="82"/>
      <c r="E27" s="82"/>
      <c r="F27" s="82"/>
      <c r="G27" s="82"/>
      <c r="H27" s="82"/>
    </row>
    <row r="28" spans="1:8" ht="20.100000000000001" customHeight="1">
      <c r="A28" s="91"/>
      <c r="B28" s="91"/>
      <c r="C28" s="82" t="s">
        <v>106</v>
      </c>
      <c r="H28" s="82"/>
    </row>
    <row r="29" spans="1:8" ht="20.100000000000001" customHeight="1">
      <c r="A29" s="91"/>
      <c r="B29" s="91"/>
      <c r="C29" s="11" t="s">
        <v>107</v>
      </c>
      <c r="D29" s="82"/>
      <c r="E29" s="82"/>
      <c r="F29" s="82"/>
      <c r="G29" s="82"/>
      <c r="H29" s="82"/>
    </row>
    <row r="30" spans="1:8" ht="20.100000000000001" customHeight="1">
      <c r="A30" s="91"/>
      <c r="B30" s="91"/>
      <c r="D30" s="82"/>
      <c r="E30" s="82"/>
      <c r="F30" s="82"/>
      <c r="G30" s="82"/>
      <c r="H30" s="82"/>
    </row>
    <row r="31" spans="1:8" ht="20.100000000000001" customHeight="1">
      <c r="A31" s="91"/>
      <c r="B31" s="91"/>
      <c r="D31" s="82"/>
      <c r="E31" s="82"/>
      <c r="F31" s="82"/>
      <c r="G31" s="82"/>
      <c r="H31" s="82"/>
    </row>
    <row r="32" spans="1:8" ht="20.100000000000001" customHeight="1">
      <c r="A32" s="91" t="s">
        <v>108</v>
      </c>
      <c r="B32" s="91"/>
      <c r="C32" s="23" t="s">
        <v>109</v>
      </c>
      <c r="D32" s="82"/>
      <c r="E32" s="82"/>
      <c r="F32" s="82"/>
      <c r="G32" s="82"/>
      <c r="H32" s="82"/>
    </row>
    <row r="33" spans="1:8" ht="20.100000000000001" customHeight="1">
      <c r="A33" s="92"/>
      <c r="B33" s="92"/>
      <c r="C33" s="86"/>
      <c r="D33" s="82"/>
      <c r="E33" s="82"/>
      <c r="F33" s="82"/>
      <c r="G33" s="82"/>
      <c r="H33" s="82"/>
    </row>
    <row r="34" spans="1:8" ht="20.100000000000001" customHeight="1">
      <c r="A34" s="92"/>
      <c r="B34" s="92"/>
      <c r="C34" s="1093" t="str">
        <f>IF(+'EXHIBIT C'!H47+'EXHIBIT C(2)'!E31='EXHIBIT D'!G45,"Equal","Not Equal")</f>
        <v>Equal</v>
      </c>
      <c r="D34" s="82"/>
      <c r="E34" s="82"/>
      <c r="F34" s="82"/>
      <c r="G34" s="82"/>
      <c r="H34" s="82"/>
    </row>
    <row r="35" spans="1:8" ht="20.100000000000001" customHeight="1">
      <c r="A35" s="92"/>
      <c r="B35" s="92"/>
      <c r="C35" s="93"/>
      <c r="D35" s="82"/>
      <c r="E35" s="82"/>
      <c r="F35" s="82"/>
      <c r="G35" s="82"/>
      <c r="H35" s="82"/>
    </row>
    <row r="36" spans="1:8" ht="20.100000000000001" customHeight="1">
      <c r="E36" s="82"/>
      <c r="F36" s="82"/>
      <c r="G36" s="82"/>
      <c r="H36" s="82"/>
    </row>
    <row r="37" spans="1:8" ht="20.100000000000001" customHeight="1">
      <c r="A37" s="85" t="s">
        <v>110</v>
      </c>
      <c r="B37" s="85"/>
      <c r="C37" s="23" t="s">
        <v>111</v>
      </c>
      <c r="D37" s="82"/>
      <c r="E37" s="82"/>
      <c r="F37" s="94"/>
      <c r="G37" s="82"/>
      <c r="H37" s="82"/>
    </row>
    <row r="38" spans="1:8" ht="20.100000000000001" customHeight="1">
      <c r="C38" s="23" t="s">
        <v>112</v>
      </c>
      <c r="D38" s="82"/>
      <c r="E38" s="82"/>
      <c r="F38" s="95"/>
      <c r="G38" s="82"/>
      <c r="H38" s="82"/>
    </row>
    <row r="39" spans="1:8" ht="20.100000000000001" customHeight="1" thickBot="1">
      <c r="G39" s="82"/>
      <c r="H39" s="82"/>
    </row>
    <row r="40" spans="1:8" ht="20.100000000000001" customHeight="1">
      <c r="C40" s="96"/>
      <c r="D40" s="97" t="s">
        <v>743</v>
      </c>
      <c r="E40" s="97" t="str">
        <f>D40</f>
        <v>2025-26</v>
      </c>
      <c r="F40" s="98"/>
      <c r="G40" s="99"/>
      <c r="H40" s="82"/>
    </row>
    <row r="41" spans="1:8" ht="20.100000000000001" customHeight="1">
      <c r="C41" s="100"/>
      <c r="D41" s="101" t="s">
        <v>113</v>
      </c>
      <c r="E41" s="102" t="s">
        <v>114</v>
      </c>
      <c r="F41" s="102"/>
      <c r="G41" s="103" t="s">
        <v>115</v>
      </c>
      <c r="H41" s="82"/>
    </row>
    <row r="42" spans="1:8" ht="20.100000000000001" customHeight="1">
      <c r="C42" s="104"/>
      <c r="D42" s="101" t="s">
        <v>116</v>
      </c>
      <c r="E42" s="102" t="s">
        <v>117</v>
      </c>
      <c r="F42" s="102" t="s">
        <v>118</v>
      </c>
      <c r="G42" s="103" t="s">
        <v>119</v>
      </c>
      <c r="H42" s="82"/>
    </row>
    <row r="43" spans="1:8" ht="20.100000000000001" customHeight="1" thickBot="1">
      <c r="C43" s="100" t="s">
        <v>120</v>
      </c>
      <c r="D43" s="101" t="s">
        <v>121</v>
      </c>
      <c r="E43" s="102" t="s">
        <v>122</v>
      </c>
      <c r="F43" s="102" t="s">
        <v>115</v>
      </c>
      <c r="G43" s="105" t="s">
        <v>123</v>
      </c>
      <c r="H43" s="82"/>
    </row>
    <row r="44" spans="1:8" ht="20.100000000000001" customHeight="1">
      <c r="C44" s="106" t="s">
        <v>124</v>
      </c>
      <c r="D44" s="107">
        <f>VLOOKUP($D$7,VLOOKUP!$A$109:$S$137,2)*30+D59</f>
        <v>7980</v>
      </c>
      <c r="E44" s="108">
        <f>+'EXHIBIT C'!F10</f>
        <v>7830</v>
      </c>
      <c r="F44" s="109">
        <f t="shared" ref="F44:F50" si="0">IF(D44=0,"0",(E44/D44-1))</f>
        <v>-1.8796992481203034E-2</v>
      </c>
      <c r="G44" s="110" t="str">
        <f t="shared" ref="G44:G50" si="1">IF(OR(F44&gt;3%, F44&lt;-3%),"YES","NO")</f>
        <v>NO</v>
      </c>
      <c r="H44" s="82"/>
    </row>
    <row r="45" spans="1:8" ht="20.100000000000001" customHeight="1">
      <c r="C45" s="111" t="s">
        <v>125</v>
      </c>
      <c r="D45" s="621">
        <f>VLOOKUP($D$7,VLOOKUP!$A$109:$S$137,5)*30+D60</f>
        <v>88495.07486101173</v>
      </c>
      <c r="E45" s="112">
        <f>+'EXHIBIT C'!F11</f>
        <v>87630</v>
      </c>
      <c r="F45" s="622">
        <f t="shared" si="0"/>
        <v>-9.7754012002407853E-3</v>
      </c>
      <c r="G45" s="623" t="str">
        <f t="shared" si="1"/>
        <v>NO</v>
      </c>
      <c r="H45" s="82"/>
    </row>
    <row r="46" spans="1:8" ht="20.100000000000001" customHeight="1">
      <c r="C46" s="624" t="s">
        <v>126</v>
      </c>
      <c r="D46" s="625">
        <f>VLOOKUP($D$7,VLOOKUP!$A$109:$S$137,8)*30</f>
        <v>47109.660045172874</v>
      </c>
      <c r="E46" s="626">
        <f>+'EXHIBIT C'!F12</f>
        <v>48420</v>
      </c>
      <c r="F46" s="622">
        <f t="shared" si="0"/>
        <v>2.7814676513705727E-2</v>
      </c>
      <c r="G46" s="623" t="str">
        <f t="shared" si="1"/>
        <v>NO</v>
      </c>
      <c r="H46" s="82"/>
    </row>
    <row r="47" spans="1:8" ht="20.100000000000001" customHeight="1">
      <c r="C47" s="624" t="s">
        <v>75</v>
      </c>
      <c r="D47" s="625">
        <f>VLOOKUP($D$7,VLOOKUP!$A$109:$S$137,17)*30</f>
        <v>6601.9745801180206</v>
      </c>
      <c r="E47" s="626">
        <f>+'EXHIBIT C'!F13</f>
        <v>7860</v>
      </c>
      <c r="F47" s="622">
        <f t="shared" si="0"/>
        <v>0.19055290271346226</v>
      </c>
      <c r="G47" s="623" t="str">
        <f t="shared" si="1"/>
        <v>YES</v>
      </c>
      <c r="H47" s="82"/>
    </row>
    <row r="48" spans="1:8" ht="20.100000000000001" customHeight="1">
      <c r="C48" s="624" t="s">
        <v>127</v>
      </c>
      <c r="D48" s="625">
        <f>VLOOKUP($D$7,VLOOKUP!$A$109:$S$137,11)*30</f>
        <v>2307.5255102040819</v>
      </c>
      <c r="E48" s="626">
        <f>+'EXHIBIT C'!F14</f>
        <v>3270</v>
      </c>
      <c r="F48" s="622">
        <f t="shared" si="0"/>
        <v>0.41710242662097152</v>
      </c>
      <c r="G48" s="623" t="str">
        <f t="shared" si="1"/>
        <v>YES</v>
      </c>
      <c r="H48" s="82"/>
    </row>
    <row r="49" spans="3:8" ht="20.100000000000001" customHeight="1" thickBot="1">
      <c r="C49" s="627" t="s">
        <v>128</v>
      </c>
      <c r="D49" s="628">
        <f>VLOOKUP($D$7,VLOOKUP!$A$109:$S$137,14)*30</f>
        <v>360</v>
      </c>
      <c r="E49" s="629">
        <f>+'EXHIBIT C'!F15</f>
        <v>360</v>
      </c>
      <c r="F49" s="630">
        <f t="shared" si="0"/>
        <v>0</v>
      </c>
      <c r="G49" s="631" t="str">
        <f t="shared" si="1"/>
        <v>NO</v>
      </c>
      <c r="H49" s="82"/>
    </row>
    <row r="50" spans="3:8" ht="20.100000000000001" customHeight="1" thickBot="1">
      <c r="C50" s="113" t="s">
        <v>48</v>
      </c>
      <c r="D50" s="114">
        <f>SUM(D44:D49)</f>
        <v>152854.23499650671</v>
      </c>
      <c r="E50" s="115">
        <f>+'EXHIBIT C'!F17</f>
        <v>155370</v>
      </c>
      <c r="F50" s="116">
        <f t="shared" si="0"/>
        <v>1.645858882189799E-2</v>
      </c>
      <c r="G50" s="117" t="str">
        <f t="shared" si="1"/>
        <v>NO</v>
      </c>
      <c r="H50" s="82"/>
    </row>
    <row r="51" spans="3:8" ht="46.5" customHeight="1" thickBot="1">
      <c r="C51" s="872" t="s">
        <v>129</v>
      </c>
      <c r="D51" s="873"/>
      <c r="E51" s="873"/>
      <c r="F51" s="873"/>
      <c r="G51" s="874"/>
      <c r="H51" s="82"/>
    </row>
    <row r="52" spans="3:8" ht="24.6" customHeight="1" thickBot="1">
      <c r="C52" s="796" t="s">
        <v>705</v>
      </c>
      <c r="D52" s="797"/>
      <c r="E52" s="797"/>
      <c r="F52" s="797"/>
      <c r="G52" s="798"/>
      <c r="H52" s="118"/>
    </row>
    <row r="53" spans="3:8" ht="205.5" customHeight="1" thickBot="1">
      <c r="C53" s="1048" t="s">
        <v>788</v>
      </c>
      <c r="D53" s="1049"/>
      <c r="E53" s="1049"/>
      <c r="F53" s="1049"/>
      <c r="G53" s="1050"/>
      <c r="H53" s="118"/>
    </row>
    <row r="54" spans="3:8" ht="20.100000000000001" customHeight="1" thickBot="1">
      <c r="C54" s="92"/>
      <c r="D54" s="94"/>
      <c r="E54" s="82"/>
      <c r="F54" s="82"/>
      <c r="G54" s="119"/>
    </row>
    <row r="55" spans="3:8" ht="20.100000000000001" customHeight="1">
      <c r="C55" s="96"/>
      <c r="D55" s="97" t="str">
        <f>D40</f>
        <v>2025-26</v>
      </c>
      <c r="E55" s="97" t="str">
        <f>E40</f>
        <v>2025-26</v>
      </c>
      <c r="F55" s="98"/>
      <c r="G55" s="99"/>
      <c r="H55" s="118"/>
    </row>
    <row r="56" spans="3:8" ht="20.100000000000001" customHeight="1">
      <c r="C56" s="100"/>
      <c r="D56" s="101" t="s">
        <v>130</v>
      </c>
      <c r="E56" s="102" t="s">
        <v>131</v>
      </c>
      <c r="F56" s="102"/>
      <c r="G56" s="105" t="s">
        <v>115</v>
      </c>
      <c r="H56" s="118"/>
    </row>
    <row r="57" spans="3:8" ht="20.100000000000001" customHeight="1">
      <c r="C57" s="104"/>
      <c r="D57" s="101" t="s">
        <v>116</v>
      </c>
      <c r="E57" s="102" t="s">
        <v>117</v>
      </c>
      <c r="F57" s="102" t="s">
        <v>118</v>
      </c>
      <c r="G57" s="105" t="s">
        <v>119</v>
      </c>
      <c r="H57" s="118"/>
    </row>
    <row r="58" spans="3:8" ht="20.100000000000001" customHeight="1" thickBot="1">
      <c r="C58" s="120" t="s">
        <v>132</v>
      </c>
      <c r="D58" s="121" t="s">
        <v>121</v>
      </c>
      <c r="E58" s="122" t="s">
        <v>122</v>
      </c>
      <c r="F58" s="122" t="s">
        <v>115</v>
      </c>
      <c r="G58" s="123" t="s">
        <v>133</v>
      </c>
      <c r="H58" s="118"/>
    </row>
    <row r="59" spans="3:8" ht="20.100000000000001" customHeight="1">
      <c r="C59" s="106" t="s">
        <v>124</v>
      </c>
      <c r="D59" s="632">
        <f>VLOOKUP($D$7,VLOOKUP!$A$109:$S$137,3)*30</f>
        <v>0</v>
      </c>
      <c r="E59" s="124">
        <f>+'EXHIBIT C'!D19</f>
        <v>0</v>
      </c>
      <c r="F59" s="633" t="str">
        <f t="shared" ref="F59:F65" si="2">IF(D59=0,"0",(E59/D59-1))</f>
        <v>0</v>
      </c>
      <c r="G59" s="634" t="str">
        <f>IF(OR(F59&gt;5%, F59&lt;-5%),"YES","NO")</f>
        <v>NO</v>
      </c>
    </row>
    <row r="60" spans="3:8" ht="20.100000000000001" customHeight="1">
      <c r="C60" s="111" t="s">
        <v>125</v>
      </c>
      <c r="D60" s="632">
        <f>VLOOKUP($D$7,VLOOKUP!$A$109:$S$137,6)*30</f>
        <v>641.33979193042342</v>
      </c>
      <c r="E60" s="125">
        <f>+'EXHIBIT C'!D20</f>
        <v>1050</v>
      </c>
      <c r="F60" s="633">
        <f t="shared" si="2"/>
        <v>0.63719764968818682</v>
      </c>
      <c r="G60" s="634" t="str">
        <f t="shared" ref="G60:G65" si="3">IF(OR(F60&gt;5%, F60&lt;-5%),"YES","NO")</f>
        <v>YES</v>
      </c>
      <c r="H60" s="82"/>
    </row>
    <row r="61" spans="3:8" ht="20.100000000000001" customHeight="1">
      <c r="C61" s="624" t="s">
        <v>126</v>
      </c>
      <c r="D61" s="635">
        <f>VLOOKUP($D$7,VLOOKUP!$A$109:$S$137,9)*30</f>
        <v>289.90560027798693</v>
      </c>
      <c r="E61" s="636">
        <f>+'EXHIBIT C'!D21</f>
        <v>600</v>
      </c>
      <c r="F61" s="633">
        <f t="shared" si="2"/>
        <v>1.0696392185065324</v>
      </c>
      <c r="G61" s="634" t="str">
        <f t="shared" si="3"/>
        <v>YES</v>
      </c>
      <c r="H61" s="82"/>
    </row>
    <row r="62" spans="3:8" ht="20.100000000000001" customHeight="1">
      <c r="C62" s="624" t="s">
        <v>75</v>
      </c>
      <c r="D62" s="635">
        <f>VLOOKUP($D$7,VLOOKUP!$A$109:$S$137,18)*30</f>
        <v>147.20835224693599</v>
      </c>
      <c r="E62" s="636">
        <f>+'EXHIBIT C'!D22</f>
        <v>90</v>
      </c>
      <c r="F62" s="633">
        <f t="shared" si="2"/>
        <v>-0.38862164662349674</v>
      </c>
      <c r="G62" s="634" t="str">
        <f t="shared" si="3"/>
        <v>YES</v>
      </c>
      <c r="H62" s="82"/>
    </row>
    <row r="63" spans="3:8" ht="20.100000000000001" customHeight="1">
      <c r="C63" s="624" t="s">
        <v>127</v>
      </c>
      <c r="D63" s="635">
        <f>VLOOKUP($D$7,VLOOKUP!$A$109:$S$137,12)*30</f>
        <v>62.474489795918366</v>
      </c>
      <c r="E63" s="636">
        <f>+'EXHIBIT C'!D23</f>
        <v>90</v>
      </c>
      <c r="F63" s="633">
        <f t="shared" si="2"/>
        <v>0.44058799510004087</v>
      </c>
      <c r="G63" s="634" t="str">
        <f t="shared" si="3"/>
        <v>YES</v>
      </c>
      <c r="H63" s="82"/>
    </row>
    <row r="64" spans="3:8" ht="20.100000000000001" customHeight="1" thickBot="1">
      <c r="C64" s="627" t="s">
        <v>128</v>
      </c>
      <c r="D64" s="637">
        <f>VLOOKUP($D$7,VLOOKUP!$A$109:$S$137,15)*30</f>
        <v>0</v>
      </c>
      <c r="E64" s="638">
        <f>+'EXHIBIT C'!D24</f>
        <v>0</v>
      </c>
      <c r="F64" s="639" t="str">
        <f t="shared" si="2"/>
        <v>0</v>
      </c>
      <c r="G64" s="640" t="str">
        <f t="shared" si="3"/>
        <v>NO</v>
      </c>
      <c r="H64" s="82"/>
    </row>
    <row r="65" spans="1:8" ht="20.100000000000001" customHeight="1" thickBot="1">
      <c r="C65" s="113" t="s">
        <v>48</v>
      </c>
      <c r="D65" s="126">
        <f>SUM(D59:D64)</f>
        <v>1140.9282342512645</v>
      </c>
      <c r="E65" s="127">
        <f>SUM(E59:E64)</f>
        <v>1830</v>
      </c>
      <c r="F65" s="128">
        <f t="shared" si="2"/>
        <v>0.60395715090786561</v>
      </c>
      <c r="G65" s="129" t="str">
        <f t="shared" si="3"/>
        <v>YES</v>
      </c>
      <c r="H65" s="82"/>
    </row>
    <row r="66" spans="1:8" ht="42" customHeight="1" thickBot="1">
      <c r="C66" s="872" t="s">
        <v>134</v>
      </c>
      <c r="D66" s="873"/>
      <c r="E66" s="873"/>
      <c r="F66" s="873"/>
      <c r="G66" s="874"/>
      <c r="H66" s="82"/>
    </row>
    <row r="67" spans="1:8" ht="24.6" customHeight="1" thickBot="1">
      <c r="A67" s="92"/>
      <c r="B67" s="92"/>
      <c r="C67" s="793" t="s">
        <v>705</v>
      </c>
      <c r="D67" s="794"/>
      <c r="E67" s="794"/>
      <c r="F67" s="794"/>
      <c r="G67" s="795"/>
      <c r="H67" s="82"/>
    </row>
    <row r="68" spans="1:8" ht="227.25" customHeight="1" thickBot="1">
      <c r="A68" s="92"/>
      <c r="B68" s="92"/>
      <c r="C68" s="1051" t="s">
        <v>788</v>
      </c>
      <c r="D68" s="1052"/>
      <c r="E68" s="1052"/>
      <c r="F68" s="1052"/>
      <c r="G68" s="1053"/>
      <c r="H68" s="82"/>
    </row>
    <row r="69" spans="1:8" ht="20.100000000000001" customHeight="1">
      <c r="C69" s="11" t="s">
        <v>10</v>
      </c>
      <c r="H69" s="82"/>
    </row>
    <row r="70" spans="1:8" ht="20.100000000000001" customHeight="1">
      <c r="H70" s="82"/>
    </row>
    <row r="71" spans="1:8" ht="20.100000000000001" customHeight="1">
      <c r="A71" s="91" t="s">
        <v>135</v>
      </c>
      <c r="B71" s="91"/>
      <c r="C71" s="23" t="s">
        <v>136</v>
      </c>
      <c r="D71" s="82"/>
      <c r="E71" s="82"/>
      <c r="F71" s="82"/>
      <c r="G71" s="82"/>
      <c r="H71" s="82"/>
    </row>
    <row r="72" spans="1:8" ht="20.100000000000001" customHeight="1">
      <c r="A72" s="92"/>
      <c r="B72" s="92"/>
      <c r="C72" s="82"/>
      <c r="D72" s="82"/>
      <c r="E72" s="82"/>
      <c r="F72" s="82"/>
      <c r="G72" s="82"/>
      <c r="H72" s="82"/>
    </row>
    <row r="73" spans="1:8" ht="20.100000000000001" customHeight="1">
      <c r="A73" s="92"/>
      <c r="B73" s="92"/>
      <c r="C73" s="130" t="s">
        <v>137</v>
      </c>
      <c r="D73" s="82"/>
      <c r="E73" s="82"/>
      <c r="F73" s="82"/>
      <c r="G73" s="82"/>
      <c r="H73" s="82"/>
    </row>
    <row r="74" spans="1:8" ht="20.100000000000001" customHeight="1">
      <c r="A74" s="92"/>
      <c r="B74" s="92"/>
      <c r="C74" s="644" t="str">
        <f>IF(+'EXHIBIT A'!E19='EXHIBIT C'!B70,"Equal","Not Equal")</f>
        <v>Equal</v>
      </c>
      <c r="D74" s="82" t="s">
        <v>138</v>
      </c>
      <c r="E74" s="82"/>
      <c r="F74" s="82"/>
      <c r="G74" s="82"/>
      <c r="H74" s="82"/>
    </row>
    <row r="75" spans="1:8" ht="20.100000000000001" customHeight="1">
      <c r="A75" s="92"/>
      <c r="B75" s="92"/>
      <c r="C75" s="1094" t="str">
        <f>IF('EXHIBIT C'!B70=SUM('EXHIBIT D'!G133+'EXHIBIT D'!G134),"Equal","Not Equal")</f>
        <v>Equal</v>
      </c>
      <c r="D75" s="82" t="s">
        <v>139</v>
      </c>
      <c r="E75" s="82"/>
      <c r="F75" s="82"/>
      <c r="G75" s="82"/>
    </row>
    <row r="76" spans="1:8" ht="20.100000000000001" customHeight="1">
      <c r="A76" s="92"/>
      <c r="B76" s="92"/>
      <c r="C76" s="131" t="s">
        <v>140</v>
      </c>
      <c r="D76" s="82"/>
      <c r="E76" s="82"/>
      <c r="F76" s="82"/>
      <c r="G76" s="82"/>
    </row>
    <row r="77" spans="1:8" ht="20.100000000000001" customHeight="1">
      <c r="C77" s="644" t="str">
        <f>IF((+'EXHIBIT A'!E26)='EXHIBIT C'!B61,"Equal","Not Equal")</f>
        <v>Equal</v>
      </c>
      <c r="D77" s="82" t="s">
        <v>141</v>
      </c>
      <c r="E77" s="82"/>
      <c r="F77" s="82"/>
      <c r="G77" s="82"/>
      <c r="H77" s="82"/>
    </row>
    <row r="78" spans="1:8" ht="20.100000000000001" customHeight="1">
      <c r="A78" s="92"/>
      <c r="B78" s="92"/>
      <c r="C78" s="1094" t="str">
        <f>IF('EXHIBIT C'!B61=SUM('EXHIBIT D'!G222+'EXHIBIT D'!G223),"Equal","Not Equal")</f>
        <v>Equal</v>
      </c>
      <c r="D78" s="82" t="s">
        <v>142</v>
      </c>
      <c r="E78" s="82"/>
      <c r="F78" s="82"/>
      <c r="G78" s="82"/>
      <c r="H78" s="82"/>
    </row>
    <row r="79" spans="1:8" ht="20.100000000000001" customHeight="1">
      <c r="A79" s="91"/>
      <c r="B79" s="91"/>
      <c r="C79" s="132"/>
      <c r="D79" s="82"/>
      <c r="E79" s="82"/>
      <c r="F79" s="82"/>
      <c r="G79" s="82"/>
      <c r="H79" s="82"/>
    </row>
    <row r="80" spans="1:8" ht="20.100000000000001" customHeight="1">
      <c r="A80" s="91"/>
      <c r="B80" s="91"/>
      <c r="C80" s="132"/>
      <c r="D80" s="82"/>
      <c r="E80" s="82"/>
      <c r="F80" s="82"/>
      <c r="G80" s="82"/>
      <c r="H80" s="82"/>
    </row>
    <row r="81" spans="1:8" ht="21.6" customHeight="1">
      <c r="A81" s="133" t="s">
        <v>143</v>
      </c>
      <c r="B81" s="91"/>
      <c r="C81" s="875" t="s">
        <v>144</v>
      </c>
      <c r="D81" s="875"/>
      <c r="E81" s="875"/>
      <c r="F81" s="875"/>
      <c r="G81" s="875"/>
      <c r="H81" s="791"/>
    </row>
    <row r="82" spans="1:8" ht="20.100000000000001" customHeight="1" thickBot="1">
      <c r="A82" s="92"/>
      <c r="B82" s="92"/>
      <c r="C82" s="82"/>
      <c r="D82" s="82"/>
      <c r="E82" s="134"/>
      <c r="F82" s="82"/>
      <c r="G82" s="82"/>
      <c r="H82" s="82"/>
    </row>
    <row r="83" spans="1:8" ht="38.1" customHeight="1">
      <c r="A83" s="92"/>
      <c r="B83" s="92"/>
      <c r="C83" s="135" t="s">
        <v>145</v>
      </c>
      <c r="D83" s="136" t="s">
        <v>146</v>
      </c>
      <c r="E83" s="135" t="s">
        <v>147</v>
      </c>
      <c r="F83" s="135" t="s">
        <v>115</v>
      </c>
      <c r="G83" s="82"/>
      <c r="H83" s="82"/>
    </row>
    <row r="84" spans="1:8" ht="20.100000000000001" customHeight="1">
      <c r="A84" s="92"/>
      <c r="B84" s="92"/>
      <c r="C84" s="641" t="s">
        <v>148</v>
      </c>
      <c r="D84" s="642">
        <f>VLOOKUP($D$7,VLOOKUP!$A$7:$E$35,2)</f>
        <v>43644249.785152897</v>
      </c>
      <c r="E84" s="1089">
        <f>+'EXHIBIT D'!G77</f>
        <v>43644249.785152897</v>
      </c>
      <c r="F84" s="1089">
        <f>D84-E84</f>
        <v>0</v>
      </c>
      <c r="G84" s="82"/>
      <c r="H84" s="82"/>
    </row>
    <row r="85" spans="1:8" ht="20.100000000000001" customHeight="1">
      <c r="A85" s="92"/>
      <c r="B85" s="92"/>
      <c r="C85" s="643" t="s">
        <v>149</v>
      </c>
      <c r="D85" s="642">
        <f>VLOOKUP($D$7,VLOOKUP!$A$150:$B$178,2)</f>
        <v>656969</v>
      </c>
      <c r="E85" s="1089">
        <f>'EXHIBIT D'!G79</f>
        <v>656969</v>
      </c>
      <c r="F85" s="1089">
        <f>D85-E85</f>
        <v>0</v>
      </c>
      <c r="G85" s="82"/>
      <c r="H85" s="82"/>
    </row>
    <row r="86" spans="1:8" ht="20.100000000000001" customHeight="1">
      <c r="A86" s="92"/>
      <c r="B86" s="92"/>
      <c r="C86" s="643" t="s">
        <v>150</v>
      </c>
      <c r="D86" s="642">
        <f>VLOOKUP($D$7,VLOOKUP!$A$7:$E$35,3)</f>
        <v>6373548.2148470599</v>
      </c>
      <c r="E86" s="1089">
        <f>'EXHIBIT D'!G82</f>
        <v>6373548.2148470599</v>
      </c>
      <c r="F86" s="1089">
        <f>D86-E86</f>
        <v>0</v>
      </c>
      <c r="G86" s="82"/>
      <c r="H86" s="82"/>
    </row>
    <row r="87" spans="1:8" ht="20.100000000000001" customHeight="1" thickBot="1">
      <c r="A87" s="91"/>
      <c r="B87" s="91"/>
      <c r="C87" s="137" t="s">
        <v>688</v>
      </c>
      <c r="D87" s="642">
        <f>VLOOKUP($D$7,VLOOKUP!$A$185:$B$213,2)</f>
        <v>2453045</v>
      </c>
      <c r="E87" s="1090">
        <f>'EXHIBIT D'!G78</f>
        <v>2453045</v>
      </c>
      <c r="F87" s="1089">
        <f>D87-E87</f>
        <v>0</v>
      </c>
      <c r="G87" s="82"/>
      <c r="H87" s="82"/>
    </row>
    <row r="88" spans="1:8" ht="20.100000000000001" customHeight="1" thickBot="1">
      <c r="A88" s="91"/>
      <c r="B88" s="91"/>
      <c r="C88" s="138" t="s">
        <v>151</v>
      </c>
      <c r="D88" s="139">
        <f>SUM(D84:D87)</f>
        <v>53127811.999999955</v>
      </c>
      <c r="E88" s="139">
        <f>SUM(E84:E87)</f>
        <v>53127811.999999955</v>
      </c>
      <c r="F88" s="139">
        <f>SUM(F84:F87)</f>
        <v>0</v>
      </c>
      <c r="G88" s="82"/>
      <c r="H88" s="82"/>
    </row>
    <row r="89" spans="1:8">
      <c r="A89" s="91"/>
      <c r="B89" s="91"/>
      <c r="C89" s="140"/>
      <c r="D89" s="140"/>
      <c r="E89" s="140"/>
      <c r="F89" s="82"/>
      <c r="G89" s="82"/>
      <c r="H89" s="82"/>
    </row>
    <row r="90" spans="1:8" ht="20.100000000000001" customHeight="1">
      <c r="A90" s="91"/>
      <c r="B90" s="91"/>
      <c r="C90" s="140"/>
      <c r="D90" s="140"/>
      <c r="E90" s="140"/>
      <c r="F90" s="82"/>
      <c r="G90" s="82"/>
      <c r="H90" s="82"/>
    </row>
    <row r="91" spans="1:8" ht="20.100000000000001" customHeight="1">
      <c r="A91" s="91" t="s">
        <v>152</v>
      </c>
      <c r="B91" s="91"/>
      <c r="C91" s="91" t="s">
        <v>153</v>
      </c>
      <c r="D91" s="82"/>
      <c r="E91" s="82"/>
      <c r="F91" s="82"/>
      <c r="G91" s="82"/>
      <c r="H91" s="82"/>
    </row>
    <row r="92" spans="1:8" ht="20.100000000000001" customHeight="1">
      <c r="A92" s="92"/>
      <c r="B92" s="92"/>
      <c r="C92" s="91"/>
      <c r="D92" s="82"/>
      <c r="E92" s="82"/>
      <c r="F92" s="82"/>
      <c r="G92" s="82"/>
      <c r="H92" s="82"/>
    </row>
    <row r="93" spans="1:8" ht="20.100000000000001" customHeight="1">
      <c r="A93" s="92"/>
      <c r="B93" s="92"/>
      <c r="C93" s="644" t="str">
        <f>IF(+'EXHIBIT E'!B21=+'EXHIBIT D'!G194,"Equal","Not Equal")</f>
        <v>Equal</v>
      </c>
      <c r="D93" s="82" t="s">
        <v>154</v>
      </c>
      <c r="E93" s="82"/>
      <c r="F93" s="82"/>
      <c r="G93" s="87"/>
      <c r="H93" s="82"/>
    </row>
    <row r="94" spans="1:8" ht="20.100000000000001" customHeight="1">
      <c r="A94" s="92"/>
      <c r="B94" s="92"/>
      <c r="C94" s="644" t="str">
        <f>IF(+'EXHIBIT E'!C21=+'EXHIBIT D'!G228,"Equal","Not Equal")</f>
        <v>Equal</v>
      </c>
      <c r="D94" s="82" t="s">
        <v>155</v>
      </c>
      <c r="E94" s="141"/>
      <c r="F94" s="82"/>
      <c r="G94" s="87"/>
      <c r="H94" s="82"/>
    </row>
    <row r="95" spans="1:8" ht="20.100000000000001" customHeight="1">
      <c r="C95" s="644" t="str">
        <f>IF(+'EXHIBIT E'!D21=+'EXHIBIT D'!G246,"Equal","Not Equal")</f>
        <v>Equal</v>
      </c>
      <c r="D95" s="82" t="s">
        <v>156</v>
      </c>
      <c r="E95" s="141"/>
      <c r="F95" s="82"/>
      <c r="G95" s="82"/>
      <c r="H95" s="82"/>
    </row>
    <row r="96" spans="1:8" ht="20.100000000000001" customHeight="1">
      <c r="A96" s="91"/>
      <c r="B96" s="91"/>
      <c r="C96" s="644" t="str">
        <f>IF(+'EXHIBIT E'!E21=+'EXHIBIT D'!G248,"Equal","Not Equal")</f>
        <v>Equal</v>
      </c>
      <c r="D96" s="142" t="s">
        <v>48</v>
      </c>
      <c r="E96" s="141"/>
      <c r="F96" s="82"/>
      <c r="G96" s="87"/>
      <c r="H96" s="82"/>
    </row>
    <row r="97" spans="1:8" ht="20.100000000000001" customHeight="1">
      <c r="A97" s="92"/>
      <c r="B97" s="92"/>
      <c r="E97" s="82"/>
      <c r="F97" s="82"/>
      <c r="G97" s="118"/>
      <c r="H97" s="82"/>
    </row>
    <row r="98" spans="1:8" ht="20.100000000000001" customHeight="1">
      <c r="A98" s="92"/>
      <c r="B98" s="92"/>
      <c r="E98" s="82"/>
      <c r="F98" s="82"/>
      <c r="G98" s="82"/>
      <c r="H98" s="82"/>
    </row>
    <row r="99" spans="1:8" ht="42" customHeight="1">
      <c r="A99" s="143" t="s">
        <v>157</v>
      </c>
      <c r="B99" s="144"/>
      <c r="C99" s="876" t="s">
        <v>715</v>
      </c>
      <c r="D99" s="876"/>
      <c r="E99" s="876"/>
      <c r="F99" s="876"/>
      <c r="G99" s="800"/>
      <c r="H99" s="800"/>
    </row>
    <row r="100" spans="1:8" ht="20.100000000000001" customHeight="1">
      <c r="A100" s="143"/>
      <c r="B100" s="144"/>
      <c r="C100" s="800"/>
      <c r="D100" s="800"/>
      <c r="E100" s="800"/>
      <c r="F100" s="800"/>
      <c r="G100" s="82"/>
      <c r="H100" s="82"/>
    </row>
    <row r="101" spans="1:8" ht="20.100000000000001" customHeight="1">
      <c r="C101" s="645">
        <f>+'EXHIBIT A'!E40</f>
        <v>15674334</v>
      </c>
      <c r="D101" s="787" t="s">
        <v>744</v>
      </c>
      <c r="E101" s="787"/>
      <c r="F101" s="787"/>
      <c r="G101" s="82"/>
      <c r="H101" s="82"/>
    </row>
    <row r="102" spans="1:8" ht="20.100000000000001" customHeight="1">
      <c r="A102" s="89"/>
      <c r="B102" s="89"/>
      <c r="C102" s="645">
        <f>'EXHIBIT D'!G266-'EXHIBIT D'!G252-'EXHIBIT D'!G264</f>
        <v>15674334</v>
      </c>
      <c r="D102" s="789" t="s">
        <v>745</v>
      </c>
      <c r="E102" s="789"/>
      <c r="F102" s="789"/>
      <c r="G102" s="82"/>
      <c r="H102" s="82"/>
    </row>
    <row r="103" spans="1:8" ht="66.599999999999994" customHeight="1">
      <c r="A103" s="145"/>
      <c r="B103" s="145"/>
      <c r="C103" s="646">
        <f>C101-C102</f>
        <v>0</v>
      </c>
      <c r="D103" s="877" t="s">
        <v>697</v>
      </c>
      <c r="E103" s="877"/>
      <c r="F103" s="877"/>
      <c r="G103" s="877"/>
      <c r="H103" s="82"/>
    </row>
    <row r="104" spans="1:8" ht="20.100000000000001" customHeight="1">
      <c r="C104" s="146"/>
      <c r="E104" s="82"/>
      <c r="F104" s="82"/>
      <c r="G104" s="82"/>
      <c r="H104" s="82"/>
    </row>
    <row r="105" spans="1:8" ht="20.100000000000001" customHeight="1">
      <c r="C105" s="146"/>
      <c r="D105" s="82"/>
      <c r="E105" s="82"/>
      <c r="F105" s="82"/>
      <c r="G105" s="82"/>
      <c r="H105" s="82"/>
    </row>
    <row r="106" spans="1:8" ht="63" customHeight="1">
      <c r="A106" s="147" t="s">
        <v>158</v>
      </c>
      <c r="B106" s="89"/>
      <c r="C106" s="870" t="s">
        <v>702</v>
      </c>
      <c r="D106" s="870"/>
      <c r="E106" s="870"/>
      <c r="F106" s="870"/>
      <c r="G106" s="870"/>
      <c r="H106" s="788"/>
    </row>
    <row r="107" spans="1:8" ht="20.100000000000001" customHeight="1">
      <c r="A107" s="145"/>
      <c r="B107" s="145"/>
    </row>
    <row r="108" spans="1:8" ht="24.75" customHeight="1">
      <c r="A108" s="145"/>
      <c r="B108" s="145"/>
      <c r="C108" s="148">
        <f>'EXHIBIT A'!E14</f>
        <v>31015144.190000001</v>
      </c>
      <c r="D108" s="11" t="s">
        <v>746</v>
      </c>
    </row>
    <row r="109" spans="1:8" ht="26.25" customHeight="1">
      <c r="A109" s="145"/>
      <c r="B109" s="145"/>
      <c r="C109" s="647">
        <f>'EXHIBIT A'!E36</f>
        <v>31779723.190000001</v>
      </c>
      <c r="D109" s="11" t="s">
        <v>747</v>
      </c>
    </row>
    <row r="110" spans="1:8" ht="26.1" customHeight="1">
      <c r="A110" s="145"/>
      <c r="B110" s="145"/>
      <c r="C110" s="648">
        <f>C108-C109</f>
        <v>-764579</v>
      </c>
      <c r="D110" s="83" t="s">
        <v>159</v>
      </c>
      <c r="E110" s="83"/>
      <c r="F110" s="83"/>
      <c r="G110" s="83"/>
    </row>
    <row r="111" spans="1:8" ht="20.100000000000001" customHeight="1">
      <c r="A111" s="145"/>
      <c r="B111" s="145"/>
      <c r="C111" s="148"/>
    </row>
    <row r="112" spans="1:8" ht="26.1" customHeight="1">
      <c r="A112" s="145"/>
      <c r="B112" s="145"/>
      <c r="C112" s="646">
        <f>'EXHIBIT D'!G186</f>
        <v>764579</v>
      </c>
      <c r="D112" s="142" t="s">
        <v>160</v>
      </c>
      <c r="E112" s="86"/>
      <c r="F112" s="86"/>
    </row>
    <row r="113" spans="1:8" ht="20.100000000000001" customHeight="1"/>
    <row r="114" spans="1:8" ht="38.450000000000003" customHeight="1">
      <c r="C114" s="1092">
        <f>C110+C112</f>
        <v>0</v>
      </c>
      <c r="D114" s="877" t="s">
        <v>698</v>
      </c>
      <c r="E114" s="877"/>
      <c r="F114" s="877"/>
      <c r="G114" s="877"/>
    </row>
    <row r="115" spans="1:8" ht="20.100000000000001" customHeight="1">
      <c r="C115" s="148"/>
      <c r="D115" s="10"/>
    </row>
    <row r="116" spans="1:8" ht="20.100000000000001" customHeight="1">
      <c r="A116" s="22"/>
      <c r="B116" s="22"/>
      <c r="C116" s="22"/>
    </row>
    <row r="117" spans="1:8" ht="39" customHeight="1">
      <c r="A117" s="149" t="s">
        <v>161</v>
      </c>
      <c r="B117" s="22"/>
      <c r="C117" s="870" t="s">
        <v>162</v>
      </c>
      <c r="D117" s="870"/>
      <c r="E117" s="870"/>
      <c r="F117" s="870"/>
      <c r="G117" s="870"/>
      <c r="H117" s="788"/>
    </row>
    <row r="118" spans="1:8" ht="20.100000000000001" customHeight="1"/>
    <row r="119" spans="1:8" ht="20.100000000000001" customHeight="1">
      <c r="C119" s="150">
        <f>IF('EXHIBIT G'!D117=0,"No Credit Hours or Not Applicable",('EXHIBIT G'!D117/'EXHIBIT C'!F10))</f>
        <v>91.790038314176243</v>
      </c>
      <c r="D119" s="11" t="s">
        <v>80</v>
      </c>
    </row>
    <row r="120" spans="1:8" ht="20.100000000000001" customHeight="1">
      <c r="C120" s="151"/>
    </row>
    <row r="121" spans="1:8" ht="20.100000000000001" customHeight="1">
      <c r="C121" s="152" t="str">
        <f>IF('EXHIBIT G'!D118=0,"No Credit Hours or Not Applicable",('EXHIBIT G'!D118/'EXHIBIT C'!D19))</f>
        <v>No Credit Hours or Not Applicable</v>
      </c>
      <c r="D121" s="11" t="s">
        <v>163</v>
      </c>
      <c r="F121" s="22"/>
      <c r="G121" s="22"/>
      <c r="H121" s="22"/>
    </row>
    <row r="122" spans="1:8" ht="20.100000000000001" customHeight="1">
      <c r="C122" s="153"/>
      <c r="F122" s="22"/>
      <c r="G122" s="22"/>
      <c r="H122" s="22"/>
    </row>
    <row r="123" spans="1:8" ht="20.100000000000001" customHeight="1">
      <c r="C123" s="802"/>
      <c r="D123" s="803"/>
      <c r="E123" s="803"/>
    </row>
    <row r="124" spans="1:8" ht="20.100000000000001" customHeight="1">
      <c r="A124" s="22" t="s">
        <v>164</v>
      </c>
      <c r="B124" s="22"/>
      <c r="C124" s="22" t="s">
        <v>165</v>
      </c>
    </row>
    <row r="125" spans="1:8" ht="20.100000000000001" customHeight="1"/>
    <row r="126" spans="1:8" ht="42.6" customHeight="1">
      <c r="C126" s="1091" t="str">
        <f>IF(+'EXHIBIT G'!D117='EXHIBIT C'!H10,"Equal","Not Equal")</f>
        <v>Equal</v>
      </c>
      <c r="D126" s="878" t="s">
        <v>699</v>
      </c>
      <c r="E126" s="878"/>
      <c r="F126" s="878"/>
      <c r="G126" s="878"/>
    </row>
    <row r="127" spans="1:8" ht="20.100000000000001" customHeight="1">
      <c r="C127" s="151"/>
      <c r="D127" s="84"/>
      <c r="E127" s="84"/>
      <c r="F127" s="84"/>
      <c r="G127" s="84"/>
    </row>
    <row r="128" spans="1:8" ht="20.100000000000001" customHeight="1"/>
    <row r="129" spans="1:8" ht="58.35" customHeight="1">
      <c r="C129" s="1091" t="str">
        <f>IF(+'EXHIBIT G'!D118='EXHIBIT C'!F19,"Equal","Not Equal")</f>
        <v>Equal</v>
      </c>
      <c r="D129" s="878" t="s">
        <v>700</v>
      </c>
      <c r="E129" s="878"/>
      <c r="F129" s="878"/>
      <c r="G129" s="878"/>
    </row>
    <row r="130" spans="1:8" ht="20.100000000000001" customHeight="1">
      <c r="C130" s="151"/>
      <c r="D130" s="84"/>
      <c r="E130" s="84"/>
      <c r="F130" s="84"/>
      <c r="G130" s="84"/>
    </row>
    <row r="131" spans="1:8" ht="20.100000000000001" customHeight="1">
      <c r="C131" s="151"/>
      <c r="D131" s="801"/>
      <c r="E131" s="801"/>
      <c r="F131" s="801"/>
      <c r="G131" s="801"/>
    </row>
    <row r="132" spans="1:8" ht="20.100000000000001" customHeight="1">
      <c r="C132" s="10"/>
      <c r="D132" s="801"/>
      <c r="E132" s="801"/>
      <c r="F132" s="801"/>
      <c r="G132" s="801"/>
    </row>
    <row r="133" spans="1:8" ht="62.1" customHeight="1">
      <c r="A133" s="149" t="s">
        <v>166</v>
      </c>
      <c r="B133" s="22"/>
      <c r="C133" s="870" t="s">
        <v>701</v>
      </c>
      <c r="D133" s="870"/>
      <c r="E133" s="870"/>
      <c r="F133" s="870"/>
      <c r="G133" s="870"/>
      <c r="H133" s="788"/>
    </row>
    <row r="134" spans="1:8" ht="20.100000000000001" customHeight="1"/>
    <row r="135" spans="1:8" ht="20.100000000000001" customHeight="1">
      <c r="C135" s="1091" t="str">
        <f>IF(+'EXHIBIT G'!F112='EXHIBIT G'!F128,"Equal","Not Equal")</f>
        <v>Equal</v>
      </c>
      <c r="D135" s="787" t="s">
        <v>167</v>
      </c>
      <c r="E135" s="787"/>
      <c r="F135" s="787"/>
    </row>
    <row r="136" spans="1:8" ht="20.100000000000001" customHeight="1" thickBot="1">
      <c r="C136" s="10"/>
    </row>
    <row r="137" spans="1:8" ht="24.6" customHeight="1" thickBot="1">
      <c r="C137" s="796" t="s">
        <v>706</v>
      </c>
      <c r="D137" s="797"/>
      <c r="E137" s="797"/>
      <c r="F137" s="797"/>
      <c r="G137" s="798"/>
      <c r="H137" s="22"/>
    </row>
    <row r="138" spans="1:8" ht="199.5" customHeight="1" thickBot="1">
      <c r="C138" s="1054" t="s">
        <v>792</v>
      </c>
      <c r="D138" s="1055"/>
      <c r="E138" s="1055"/>
      <c r="F138" s="1055"/>
      <c r="G138" s="1056"/>
      <c r="H138" s="154"/>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98Ew7BuuX0Q04h4lcrkfRD2xzFyLkVpom/xbmr7aPXLVO2z7HoX6iuyVx9ozMDkTjliGl8HWHjdIdaP3Ng7ooA==" saltValue="jcL1hHT63pC94k5bMGLQx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1"/>
    <col min="2" max="2" width="21.28515625" style="11" customWidth="1"/>
    <col min="3" max="3" width="75.140625" style="11" customWidth="1"/>
    <col min="4" max="4" width="40.28515625" style="11" customWidth="1"/>
    <col min="5" max="5" width="24" style="11" customWidth="1"/>
    <col min="6" max="6" width="3" style="11" customWidth="1"/>
    <col min="7" max="9" width="9.140625" style="11"/>
    <col min="10" max="10" width="16.7109375" style="11" customWidth="1"/>
    <col min="11" max="16384" width="9.140625" style="11"/>
  </cols>
  <sheetData>
    <row r="1" spans="2:7" ht="26.25">
      <c r="B1" s="879" t="s">
        <v>168</v>
      </c>
      <c r="C1" s="879"/>
      <c r="D1" s="879"/>
      <c r="E1" s="879"/>
      <c r="F1" s="274"/>
      <c r="G1" s="274"/>
    </row>
    <row r="2" spans="2:7" ht="26.25">
      <c r="B2" s="879" t="s">
        <v>11</v>
      </c>
      <c r="C2" s="879"/>
      <c r="D2" s="879"/>
      <c r="E2" s="879"/>
      <c r="F2" s="476"/>
      <c r="G2" s="476"/>
    </row>
    <row r="3" spans="2:7" ht="26.25">
      <c r="B3" s="879" t="s">
        <v>169</v>
      </c>
      <c r="C3" s="879"/>
      <c r="D3" s="879"/>
      <c r="E3" s="879"/>
      <c r="F3" s="476"/>
      <c r="G3" s="476"/>
    </row>
    <row r="4" spans="2:7" ht="26.25">
      <c r="B4" s="879" t="s">
        <v>170</v>
      </c>
      <c r="C4" s="879"/>
      <c r="D4" s="879"/>
      <c r="E4" s="879"/>
      <c r="F4" s="476"/>
      <c r="G4" s="476"/>
    </row>
    <row r="5" spans="2:7" ht="26.25">
      <c r="B5" s="879" t="s">
        <v>748</v>
      </c>
      <c r="C5" s="879"/>
      <c r="D5" s="879"/>
      <c r="E5" s="879"/>
      <c r="F5" s="476"/>
      <c r="G5" s="476"/>
    </row>
    <row r="6" spans="2:7" ht="25.35" customHeight="1">
      <c r="B6" s="476"/>
      <c r="C6" s="476"/>
      <c r="D6" s="476"/>
      <c r="E6" s="476"/>
      <c r="F6" s="476"/>
      <c r="G6" s="476"/>
    </row>
    <row r="7" spans="2:7" ht="25.35" customHeight="1">
      <c r="B7" s="274"/>
      <c r="C7" s="476"/>
      <c r="D7" s="274"/>
      <c r="E7" s="274"/>
      <c r="F7" s="274"/>
      <c r="G7" s="274"/>
    </row>
    <row r="8" spans="2:7" ht="25.35" customHeight="1">
      <c r="B8" s="326" t="s">
        <v>171</v>
      </c>
      <c r="C8" s="804" t="str">
        <f>'CHECK SHEET'!D7</f>
        <v>Pasco-Hernando State College</v>
      </c>
      <c r="D8" s="804"/>
      <c r="E8" s="804"/>
      <c r="F8" s="273"/>
      <c r="G8" s="273"/>
    </row>
    <row r="9" spans="2:7" ht="25.35" customHeight="1"/>
    <row r="10" spans="2:7" ht="41.45" customHeight="1">
      <c r="E10" s="555" t="s">
        <v>172</v>
      </c>
    </row>
    <row r="11" spans="2:7" ht="25.35" customHeight="1">
      <c r="B11" s="22" t="s">
        <v>749</v>
      </c>
      <c r="D11" s="22"/>
      <c r="E11" s="155"/>
    </row>
    <row r="12" spans="2:7" ht="25.35" customHeight="1">
      <c r="B12" s="22"/>
      <c r="C12" s="22"/>
      <c r="D12" s="22"/>
    </row>
    <row r="13" spans="2:7" ht="25.35" customHeight="1">
      <c r="B13" s="11" t="s">
        <v>750</v>
      </c>
      <c r="C13" s="22"/>
      <c r="D13" s="22"/>
      <c r="E13" s="1097">
        <v>-15444723.190000001</v>
      </c>
    </row>
    <row r="14" spans="2:7" ht="25.35" customHeight="1">
      <c r="B14" s="11" t="s">
        <v>173</v>
      </c>
      <c r="D14" s="22"/>
      <c r="E14" s="1161">
        <f>-+'EXHIBIT D'!G264-764579</f>
        <v>31015144.190000001</v>
      </c>
    </row>
    <row r="15" spans="2:7" ht="25.35" customHeight="1">
      <c r="B15" s="22"/>
      <c r="D15" s="22"/>
      <c r="E15" s="156"/>
    </row>
    <row r="16" spans="2:7" ht="25.35" customHeight="1">
      <c r="B16" s="11" t="s">
        <v>751</v>
      </c>
      <c r="C16" s="22"/>
      <c r="D16" s="22"/>
      <c r="E16" s="556">
        <f>+E14+E13</f>
        <v>15570421</v>
      </c>
    </row>
    <row r="17" spans="2:7" ht="25.35" customHeight="1">
      <c r="B17" s="22"/>
      <c r="C17" s="22"/>
      <c r="D17" s="22"/>
      <c r="E17" s="157"/>
    </row>
    <row r="18" spans="2:7" ht="25.35" customHeight="1">
      <c r="B18" s="11" t="s">
        <v>174</v>
      </c>
      <c r="C18" s="22"/>
      <c r="D18" s="22"/>
      <c r="E18" s="167">
        <f>+'EXHIBIT D'!G143-SUM(+'EXHIBIT D'!G133+'EXHIBIT D'!G134)</f>
        <v>71645643.999999955</v>
      </c>
      <c r="G18" s="132"/>
    </row>
    <row r="19" spans="2:7" ht="25.35" customHeight="1">
      <c r="B19" s="11" t="s">
        <v>175</v>
      </c>
      <c r="D19" s="22"/>
      <c r="E19" s="556">
        <f>+'EXHIBIT D'!G133+'EXHIBIT D'!G134</f>
        <v>10500</v>
      </c>
    </row>
    <row r="20" spans="2:7" ht="25.35" customHeight="1">
      <c r="B20" s="22"/>
      <c r="D20" s="22"/>
      <c r="E20" s="162"/>
    </row>
    <row r="21" spans="2:7" ht="25.35" customHeight="1">
      <c r="B21" s="11" t="s">
        <v>176</v>
      </c>
      <c r="C21" s="22"/>
      <c r="D21" s="22"/>
      <c r="E21" s="557">
        <f>+E19+E18</f>
        <v>71656143.999999955</v>
      </c>
    </row>
    <row r="22" spans="2:7" ht="25.35" customHeight="1">
      <c r="B22" s="22"/>
      <c r="C22" s="22"/>
      <c r="D22" s="22"/>
      <c r="E22" s="162"/>
    </row>
    <row r="23" spans="2:7" ht="25.35" customHeight="1">
      <c r="B23" s="22" t="s">
        <v>177</v>
      </c>
      <c r="C23" s="22"/>
      <c r="D23" s="22"/>
      <c r="E23" s="557">
        <f>+E21+E16</f>
        <v>87226564.999999955</v>
      </c>
    </row>
    <row r="24" spans="2:7" ht="25.35" customHeight="1">
      <c r="B24" s="22"/>
      <c r="C24" s="22"/>
      <c r="D24" s="22"/>
      <c r="E24" s="162"/>
    </row>
    <row r="25" spans="2:7" ht="25.35" customHeight="1">
      <c r="B25" s="11" t="s">
        <v>178</v>
      </c>
      <c r="C25" s="22"/>
      <c r="D25" s="22"/>
      <c r="E25" s="168">
        <f>'EXHIBIT D'!G248-SUM(+'EXHIBIT D'!G222+'EXHIBIT D'!G223)</f>
        <v>72905478</v>
      </c>
    </row>
    <row r="26" spans="2:7" ht="25.35" customHeight="1">
      <c r="B26" s="11" t="s">
        <v>179</v>
      </c>
      <c r="D26" s="22"/>
      <c r="E26" s="556">
        <f>'EXHIBIT D'!G222+'EXHIBIT D'!G223</f>
        <v>125000</v>
      </c>
    </row>
    <row r="27" spans="2:7" ht="25.35" customHeight="1">
      <c r="B27" s="22"/>
      <c r="D27" s="22"/>
      <c r="E27" s="162"/>
    </row>
    <row r="28" spans="2:7" ht="25.35" customHeight="1">
      <c r="B28" s="22" t="s">
        <v>180</v>
      </c>
      <c r="C28" s="22"/>
      <c r="D28" s="22"/>
      <c r="E28" s="558">
        <f>+E26+E25</f>
        <v>73030478</v>
      </c>
    </row>
    <row r="29" spans="2:7" ht="25.35" customHeight="1">
      <c r="B29" s="22"/>
      <c r="C29" s="22"/>
      <c r="D29" s="22"/>
      <c r="E29" s="158"/>
    </row>
    <row r="30" spans="2:7" ht="25.35" customHeight="1">
      <c r="B30" s="22" t="s">
        <v>752</v>
      </c>
      <c r="C30" s="22"/>
      <c r="D30" s="22"/>
      <c r="E30" s="158"/>
    </row>
    <row r="31" spans="2:7" ht="25.35" customHeight="1">
      <c r="B31" s="22"/>
      <c r="C31" s="22"/>
      <c r="D31" s="22"/>
      <c r="E31" s="158"/>
    </row>
    <row r="32" spans="2:7" ht="25.35" customHeight="1">
      <c r="B32" s="11" t="s">
        <v>181</v>
      </c>
      <c r="C32" s="22"/>
      <c r="D32" s="159">
        <f>+E23-E28</f>
        <v>14196086.999999955</v>
      </c>
      <c r="E32" s="158"/>
    </row>
    <row r="33" spans="2:10" ht="25.35" customHeight="1">
      <c r="B33" s="11" t="s">
        <v>182</v>
      </c>
      <c r="C33" s="22"/>
      <c r="D33" s="559">
        <f>+'EXHIBIT D'!G186</f>
        <v>764579</v>
      </c>
      <c r="E33" s="158"/>
    </row>
    <row r="34" spans="2:10" ht="25.35" customHeight="1">
      <c r="B34" s="22"/>
      <c r="D34" s="22"/>
      <c r="E34" s="158"/>
      <c r="J34" s="160"/>
    </row>
    <row r="35" spans="2:10" ht="25.35" customHeight="1">
      <c r="B35" s="11" t="s">
        <v>753</v>
      </c>
      <c r="C35" s="22"/>
      <c r="D35" s="22"/>
      <c r="E35" s="161">
        <f>+D32+D33</f>
        <v>14960665.999999955</v>
      </c>
    </row>
    <row r="36" spans="2:10" ht="25.35" customHeight="1">
      <c r="B36" s="11" t="s">
        <v>754</v>
      </c>
      <c r="C36" s="22"/>
      <c r="D36" s="22"/>
      <c r="E36" s="557">
        <f>-'EXHIBIT D'!G264</f>
        <v>31779723.190000001</v>
      </c>
      <c r="J36" s="42"/>
    </row>
    <row r="37" spans="2:10" ht="25.35" customHeight="1">
      <c r="D37" s="22"/>
      <c r="E37" s="161"/>
    </row>
    <row r="38" spans="2:10" ht="25.35" customHeight="1">
      <c r="B38" s="22" t="s">
        <v>755</v>
      </c>
      <c r="D38" s="22"/>
      <c r="E38" s="556">
        <f>+E35-E36</f>
        <v>-16819057.190000046</v>
      </c>
    </row>
    <row r="39" spans="2:10" ht="25.35" customHeight="1">
      <c r="B39" s="22"/>
      <c r="C39" s="22"/>
      <c r="D39" s="22"/>
      <c r="E39" s="162"/>
    </row>
    <row r="40" spans="2:10" ht="25.35" customHeight="1">
      <c r="B40" s="11" t="s">
        <v>756</v>
      </c>
      <c r="C40" s="22"/>
      <c r="D40" s="22"/>
      <c r="E40" s="558">
        <f>'EXHIBIT D'!G253+'EXHIBIT D'!G254+'EXHIBIT D'!G255+'EXHIBIT D'!G256+'EXHIBIT D'!G257+'EXHIBIT D'!G258+'EXHIBIT D'!G259+'EXHIBIT D'!G260</f>
        <v>15674334</v>
      </c>
    </row>
    <row r="41" spans="2:10" ht="25.35" customHeight="1">
      <c r="B41" s="11" t="s">
        <v>183</v>
      </c>
      <c r="D41" s="22"/>
      <c r="E41" s="163"/>
    </row>
    <row r="42" spans="2:10" ht="25.35" customHeight="1">
      <c r="D42" s="22"/>
      <c r="E42" s="164"/>
    </row>
    <row r="43" spans="2:10" ht="25.35" customHeight="1">
      <c r="B43" s="22" t="s">
        <v>184</v>
      </c>
      <c r="D43" s="22"/>
      <c r="E43" s="164"/>
    </row>
    <row r="44" spans="2:10" ht="25.35" customHeight="1">
      <c r="B44" s="22" t="s">
        <v>757</v>
      </c>
      <c r="C44" s="22"/>
      <c r="D44" s="22"/>
      <c r="E44" s="560">
        <f>+E40/E23</f>
        <v>0.17969679305839922</v>
      </c>
    </row>
    <row r="45" spans="2:10" ht="25.35" customHeight="1">
      <c r="B45" s="22"/>
      <c r="C45" s="22"/>
      <c r="D45" s="22"/>
      <c r="E45" s="164"/>
    </row>
    <row r="46" spans="2:10" ht="25.35" customHeight="1">
      <c r="B46" s="22" t="s">
        <v>185</v>
      </c>
      <c r="C46" s="22"/>
      <c r="D46" s="22"/>
      <c r="E46" s="164"/>
    </row>
    <row r="47" spans="2:10" ht="25.35" customHeight="1">
      <c r="B47" s="22"/>
      <c r="C47" s="22"/>
      <c r="D47" s="22"/>
      <c r="E47" s="164"/>
    </row>
    <row r="48" spans="2:10" ht="25.35" customHeight="1">
      <c r="B48" s="22"/>
      <c r="C48" s="22"/>
      <c r="D48" s="22"/>
      <c r="E48" s="164"/>
    </row>
    <row r="49" spans="2:5" ht="25.35" customHeight="1">
      <c r="B49" s="22"/>
      <c r="C49" s="22"/>
      <c r="D49" s="22"/>
      <c r="E49" s="164"/>
    </row>
    <row r="50" spans="2:5" ht="25.35" customHeight="1">
      <c r="B50" s="561"/>
      <c r="C50" s="561"/>
      <c r="D50" s="22"/>
      <c r="E50" s="562"/>
    </row>
    <row r="51" spans="2:5" ht="25.35" customHeight="1">
      <c r="B51" s="22" t="s">
        <v>186</v>
      </c>
      <c r="E51" s="165" t="s">
        <v>187</v>
      </c>
    </row>
    <row r="52" spans="2:5" ht="15.75" customHeight="1">
      <c r="C52" s="22"/>
      <c r="E52" s="166"/>
    </row>
    <row r="53" spans="2:5" ht="15.75" customHeight="1">
      <c r="E53" s="16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s="11" customFormat="1" ht="15.75" customHeight="1"/>
    <row r="66" s="11" customFormat="1" ht="15.75" customHeight="1"/>
    <row r="67" s="11" customFormat="1" ht="15.75" customHeight="1"/>
    <row r="68" s="11" customFormat="1" ht="15.75" customHeight="1"/>
    <row r="69" s="11" customFormat="1" ht="15.75" customHeight="1"/>
    <row r="70" s="11" customFormat="1" ht="15.75" customHeight="1"/>
    <row r="71" s="11" customFormat="1" ht="15.75" customHeight="1"/>
    <row r="72" s="11" customFormat="1" ht="15.75" customHeight="1"/>
    <row r="73" s="11" customFormat="1" ht="15.75" customHeight="1"/>
    <row r="74" s="11" customFormat="1" ht="15.75" customHeight="1"/>
    <row r="75" s="11" customFormat="1" ht="15.75" customHeight="1"/>
    <row r="76" s="11" customFormat="1" ht="15.75" customHeight="1"/>
    <row r="77" s="11" customFormat="1" ht="15.75" customHeight="1"/>
    <row r="78" s="11" customFormat="1" ht="15.75" customHeight="1"/>
    <row r="79" s="11" customFormat="1" ht="15.75" customHeight="1"/>
    <row r="80" s="11" customFormat="1" ht="15.75" customHeight="1"/>
    <row r="81" s="11" customFormat="1" ht="15.75" customHeight="1"/>
    <row r="82" s="11" customFormat="1" ht="15.75" customHeight="1"/>
    <row r="83" s="11" customFormat="1" ht="15.75" customHeight="1"/>
    <row r="84" s="11" customFormat="1" ht="15.75" customHeight="1"/>
    <row r="85" s="11" customFormat="1" ht="15.75" customHeight="1"/>
    <row r="86" s="11" customFormat="1" ht="18" customHeight="1"/>
    <row r="87" s="11" customFormat="1" ht="18" customHeight="1"/>
    <row r="88" s="11" customFormat="1" ht="18" customHeight="1"/>
    <row r="89" s="11" customFormat="1" ht="18" customHeight="1"/>
    <row r="90" s="11" customFormat="1" ht="18" customHeight="1"/>
    <row r="91" s="11" customFormat="1" ht="18" customHeight="1"/>
  </sheetData>
  <sheetProtection algorithmName="SHA-512" hashValue="U2tm491oTk/WkHiJF5KxEaWLT4XmacnLx86TIv8pxJ7vYO/O/WFqBuCsRybaBB0rw/2CVI4pOB4BNGCoFbtHvQ==" saltValue="t+SGgf/yzCsRtK4ktqQv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70" zoomScaleNormal="70" zoomScalePageLayoutView="50" workbookViewId="0"/>
  </sheetViews>
  <sheetFormatPr defaultColWidth="9.140625" defaultRowHeight="12.75"/>
  <cols>
    <col min="1" max="1" width="98.28515625" style="172" customWidth="1"/>
    <col min="2" max="2" width="18" style="172" customWidth="1"/>
    <col min="3" max="4" width="16.42578125" style="172" customWidth="1"/>
    <col min="5" max="6" width="22.42578125" style="172" customWidth="1"/>
    <col min="7" max="7" width="21.28515625" style="172" customWidth="1"/>
    <col min="8" max="8" width="20.28515625" style="172" bestFit="1" customWidth="1"/>
    <col min="9" max="9" width="20.28515625" style="172" customWidth="1"/>
    <col min="10" max="10" width="2" style="172" customWidth="1"/>
    <col min="11" max="11" width="21" style="172" bestFit="1" customWidth="1"/>
    <col min="12" max="12" width="19.140625" style="172" customWidth="1"/>
    <col min="13" max="13" width="5.7109375" style="172" customWidth="1"/>
    <col min="14" max="16384" width="9.140625" style="172"/>
  </cols>
  <sheetData>
    <row r="1" spans="1:18" s="274" customFormat="1" ht="23.1" customHeight="1">
      <c r="I1" s="324" t="s">
        <v>188</v>
      </c>
      <c r="L1" s="324"/>
      <c r="M1" s="324"/>
      <c r="N1" s="324"/>
      <c r="O1" s="324"/>
      <c r="P1" s="324"/>
      <c r="Q1" s="324"/>
      <c r="R1" s="324"/>
    </row>
    <row r="2" spans="1:18" s="274" customFormat="1" ht="20.100000000000001" customHeight="1"/>
    <row r="3" spans="1:18" s="274" customFormat="1" ht="20.100000000000001" customHeight="1">
      <c r="A3" s="879" t="s">
        <v>11</v>
      </c>
      <c r="B3" s="879"/>
      <c r="C3" s="879"/>
      <c r="D3" s="879"/>
      <c r="E3" s="879"/>
      <c r="F3" s="879"/>
      <c r="G3" s="879"/>
      <c r="H3" s="879"/>
      <c r="I3" s="476"/>
      <c r="J3" s="273"/>
      <c r="K3" s="273"/>
    </row>
    <row r="4" spans="1:18" s="274" customFormat="1" ht="20.100000000000001" customHeight="1">
      <c r="A4" s="879" t="s">
        <v>169</v>
      </c>
      <c r="B4" s="879"/>
      <c r="C4" s="879"/>
      <c r="D4" s="879"/>
      <c r="E4" s="879"/>
      <c r="F4" s="879"/>
      <c r="G4" s="879"/>
      <c r="H4" s="879"/>
      <c r="I4" s="476"/>
    </row>
    <row r="5" spans="1:18" s="274" customFormat="1" ht="24" customHeight="1">
      <c r="A5" s="879" t="s">
        <v>758</v>
      </c>
      <c r="B5" s="879"/>
      <c r="C5" s="879"/>
      <c r="D5" s="879"/>
      <c r="E5" s="879"/>
      <c r="F5" s="879"/>
      <c r="G5" s="879"/>
      <c r="H5" s="879"/>
      <c r="I5" s="476"/>
    </row>
    <row r="6" spans="1:18" s="274" customFormat="1" ht="24" customHeight="1">
      <c r="A6" s="879" t="s">
        <v>189</v>
      </c>
      <c r="B6" s="879"/>
      <c r="C6" s="879"/>
      <c r="D6" s="879"/>
      <c r="E6" s="879"/>
      <c r="F6" s="879"/>
      <c r="G6" s="879"/>
      <c r="H6" s="879"/>
      <c r="I6" s="476"/>
    </row>
    <row r="7" spans="1:18" s="274" customFormat="1" ht="20.100000000000001" customHeight="1">
      <c r="A7" s="879"/>
      <c r="B7" s="879"/>
      <c r="C7" s="879"/>
      <c r="D7" s="879"/>
      <c r="E7" s="879"/>
      <c r="F7" s="879"/>
      <c r="G7" s="879"/>
      <c r="H7" s="879"/>
      <c r="I7" s="476"/>
    </row>
    <row r="8" spans="1:18" s="274" customFormat="1" ht="25.35" customHeight="1" thickBot="1">
      <c r="A8" s="879"/>
      <c r="B8" s="881"/>
      <c r="C8" s="879" t="s">
        <v>171</v>
      </c>
      <c r="D8" s="882" t="str">
        <f>'CHECK SHEET'!D7</f>
        <v>Pasco-Hernando State College</v>
      </c>
      <c r="E8" s="882"/>
      <c r="F8" s="882"/>
      <c r="G8" s="882"/>
      <c r="H8" s="882"/>
    </row>
    <row r="9" spans="1:18" s="11" customFormat="1" ht="20.100000000000001" customHeight="1"/>
    <row r="10" spans="1:18" s="11" customFormat="1" ht="20.100000000000001" customHeight="1">
      <c r="B10" s="22"/>
      <c r="C10" s="22"/>
      <c r="D10" s="22"/>
      <c r="E10" s="880"/>
      <c r="F10" s="25"/>
      <c r="G10" s="25"/>
    </row>
    <row r="11" spans="1:18" s="11" customFormat="1" ht="20.100000000000001" customHeight="1">
      <c r="B11" s="805" t="s">
        <v>190</v>
      </c>
      <c r="C11" s="805"/>
      <c r="D11" s="22"/>
      <c r="E11" s="22"/>
    </row>
    <row r="12" spans="1:18" s="11" customFormat="1" ht="20.100000000000001" customHeight="1" thickBot="1">
      <c r="B12" s="806" t="s">
        <v>191</v>
      </c>
      <c r="C12" s="806"/>
      <c r="D12" s="806"/>
      <c r="E12" s="806"/>
      <c r="J12" s="22"/>
    </row>
    <row r="13" spans="1:18" s="11" customFormat="1" ht="105.75" customHeight="1" thickBot="1">
      <c r="A13" s="327" t="s">
        <v>192</v>
      </c>
      <c r="B13" s="295" t="s">
        <v>193</v>
      </c>
      <c r="C13" s="810" t="s">
        <v>194</v>
      </c>
      <c r="D13" s="295" t="s">
        <v>195</v>
      </c>
      <c r="E13" s="295" t="s">
        <v>196</v>
      </c>
      <c r="F13" s="809" t="s">
        <v>197</v>
      </c>
      <c r="G13" s="295" t="s">
        <v>48</v>
      </c>
      <c r="H13" s="810" t="s">
        <v>198</v>
      </c>
      <c r="J13" s="22"/>
    </row>
    <row r="14" spans="1:18" s="11" customFormat="1" ht="20.100000000000001" customHeight="1">
      <c r="A14" s="22" t="s">
        <v>199</v>
      </c>
      <c r="B14" s="930">
        <v>91.79</v>
      </c>
      <c r="C14" s="930">
        <v>4.59</v>
      </c>
      <c r="D14" s="930">
        <v>9.18</v>
      </c>
      <c r="E14" s="930">
        <v>15.93</v>
      </c>
      <c r="F14" s="930">
        <v>4.59</v>
      </c>
      <c r="G14" s="650">
        <f>SUM(B14:F14)</f>
        <v>126.08000000000001</v>
      </c>
      <c r="H14" s="355">
        <f>G14*30</f>
        <v>3782.4000000000005</v>
      </c>
    </row>
    <row r="15" spans="1:18" s="11" customFormat="1" ht="20.100000000000001" customHeight="1">
      <c r="A15" s="22" t="s">
        <v>200</v>
      </c>
      <c r="B15" s="931">
        <v>76.569999999999993</v>
      </c>
      <c r="C15" s="931">
        <v>3.83</v>
      </c>
      <c r="D15" s="931">
        <v>7.66</v>
      </c>
      <c r="E15" s="931">
        <v>13.29</v>
      </c>
      <c r="F15" s="931">
        <v>3.83</v>
      </c>
      <c r="G15" s="650">
        <f>SUM(B15:F15)</f>
        <v>105.17999999999999</v>
      </c>
      <c r="H15" s="328">
        <f>G15*30</f>
        <v>3155.3999999999996</v>
      </c>
    </row>
    <row r="16" spans="1:18" s="11" customFormat="1" ht="20.100000000000001" customHeight="1" thickBot="1">
      <c r="A16" s="22" t="s">
        <v>75</v>
      </c>
      <c r="B16" s="932">
        <v>73.400000000000006</v>
      </c>
      <c r="C16" s="932">
        <v>7.34</v>
      </c>
      <c r="D16" s="933"/>
      <c r="E16" s="932">
        <v>3.67</v>
      </c>
      <c r="F16" s="932">
        <v>3.67</v>
      </c>
      <c r="G16" s="329">
        <f>SUM(B16:F16)</f>
        <v>88.080000000000013</v>
      </c>
      <c r="H16" s="651">
        <f>G16*30</f>
        <v>2642.4000000000005</v>
      </c>
    </row>
    <row r="17" spans="1:11" s="11" customFormat="1" ht="20.100000000000001" customHeight="1" thickBot="1">
      <c r="A17" s="283"/>
      <c r="B17" s="348"/>
      <c r="C17" s="514"/>
      <c r="D17" s="514"/>
      <c r="E17" s="514"/>
      <c r="F17" s="514"/>
      <c r="G17" s="354"/>
      <c r="H17" s="330"/>
    </row>
    <row r="18" spans="1:11" s="11" customFormat="1" ht="65.099999999999994" customHeight="1" thickBot="1">
      <c r="A18" s="338" t="s">
        <v>192</v>
      </c>
      <c r="B18" s="295" t="s">
        <v>201</v>
      </c>
      <c r="C18" s="357"/>
      <c r="D18" s="357"/>
      <c r="E18" s="357"/>
      <c r="F18" s="357"/>
      <c r="G18" s="353" t="s">
        <v>48</v>
      </c>
      <c r="H18" s="810" t="s">
        <v>202</v>
      </c>
    </row>
    <row r="19" spans="1:11" s="11" customFormat="1" ht="20.100000000000001" customHeight="1">
      <c r="A19" s="22" t="s">
        <v>203</v>
      </c>
      <c r="B19" s="649">
        <v>0</v>
      </c>
      <c r="C19" s="356"/>
      <c r="D19" s="356"/>
      <c r="E19" s="356"/>
      <c r="F19" s="356"/>
      <c r="G19" s="650">
        <f>B19</f>
        <v>0</v>
      </c>
      <c r="H19" s="578">
        <f>G19*3</f>
        <v>0</v>
      </c>
    </row>
    <row r="20" spans="1:11" s="11" customFormat="1" ht="20.100000000000001" customHeight="1" thickBot="1">
      <c r="A20" s="22" t="s">
        <v>204</v>
      </c>
      <c r="B20" s="569">
        <v>0</v>
      </c>
      <c r="C20" s="310"/>
      <c r="D20" s="310"/>
      <c r="E20" s="310"/>
      <c r="F20" s="310"/>
      <c r="G20" s="331">
        <f>B20</f>
        <v>0</v>
      </c>
      <c r="H20" s="544">
        <f>G20*3</f>
        <v>0</v>
      </c>
    </row>
    <row r="21" spans="1:11" s="11" customFormat="1" ht="20.100000000000001" customHeight="1" thickBot="1">
      <c r="A21" s="332"/>
      <c r="B21" s="348"/>
      <c r="C21" s="283"/>
      <c r="D21" s="283"/>
      <c r="E21" s="283"/>
      <c r="F21" s="283"/>
      <c r="G21" s="354"/>
      <c r="H21" s="330"/>
    </row>
    <row r="22" spans="1:11" s="11" customFormat="1" ht="20.100000000000001" customHeight="1">
      <c r="A22" s="22" t="s">
        <v>205</v>
      </c>
      <c r="B22" s="425">
        <v>0</v>
      </c>
      <c r="C22" s="515"/>
      <c r="D22" s="515"/>
      <c r="E22" s="515"/>
      <c r="F22" s="515"/>
      <c r="G22" s="333">
        <f>B22</f>
        <v>0</v>
      </c>
      <c r="H22" s="352">
        <f>G22*2</f>
        <v>0</v>
      </c>
    </row>
    <row r="23" spans="1:11" s="11" customFormat="1" ht="20.100000000000001" customHeight="1" thickBot="1">
      <c r="A23" s="22" t="s">
        <v>206</v>
      </c>
      <c r="B23" s="652">
        <v>0</v>
      </c>
      <c r="C23" s="310"/>
      <c r="D23" s="310"/>
      <c r="E23" s="310"/>
      <c r="F23" s="310"/>
      <c r="G23" s="653">
        <f>B23</f>
        <v>0</v>
      </c>
      <c r="H23" s="651">
        <f>G23*2</f>
        <v>0</v>
      </c>
      <c r="J23" s="334"/>
      <c r="K23" s="334"/>
    </row>
    <row r="24" spans="1:11" s="11" customFormat="1" ht="25.35" customHeight="1">
      <c r="B24" s="334"/>
      <c r="C24" s="22"/>
      <c r="D24" s="22"/>
      <c r="E24" s="22"/>
      <c r="F24" s="22"/>
      <c r="G24" s="334"/>
      <c r="H24" s="334"/>
      <c r="I24" s="334"/>
      <c r="J24" s="334"/>
      <c r="K24" s="334"/>
    </row>
    <row r="25" spans="1:11" s="11" customFormat="1" ht="13.5" customHeight="1">
      <c r="A25" s="22"/>
      <c r="B25" s="334"/>
      <c r="C25" s="334"/>
      <c r="D25" s="334"/>
      <c r="E25" s="334"/>
      <c r="F25" s="334"/>
      <c r="G25" s="334"/>
      <c r="H25" s="334"/>
      <c r="I25" s="334"/>
      <c r="J25" s="334"/>
      <c r="K25" s="334"/>
    </row>
    <row r="26" spans="1:11" s="11" customFormat="1" ht="20.100000000000001" customHeight="1">
      <c r="B26" s="22" t="s">
        <v>207</v>
      </c>
      <c r="C26" s="22"/>
      <c r="D26" s="22"/>
      <c r="E26" s="22"/>
      <c r="F26" s="334"/>
      <c r="G26" s="334"/>
      <c r="H26" s="334"/>
      <c r="I26" s="334"/>
      <c r="J26" s="334"/>
      <c r="K26" s="334"/>
    </row>
    <row r="27" spans="1:11" s="11" customFormat="1" ht="20.100000000000001" customHeight="1" thickBot="1">
      <c r="A27" s="22"/>
      <c r="B27" s="22" t="s">
        <v>191</v>
      </c>
      <c r="C27" s="22"/>
      <c r="D27" s="22"/>
      <c r="E27" s="22"/>
      <c r="F27" s="334"/>
      <c r="G27" s="334"/>
      <c r="H27" s="334"/>
      <c r="I27" s="334"/>
    </row>
    <row r="28" spans="1:11" s="11" customFormat="1" ht="108" customHeight="1" thickBot="1">
      <c r="A28" s="327" t="s">
        <v>192</v>
      </c>
      <c r="B28" s="276" t="s">
        <v>193</v>
      </c>
      <c r="C28" s="295" t="s">
        <v>208</v>
      </c>
      <c r="D28" s="295" t="s">
        <v>194</v>
      </c>
      <c r="E28" s="295" t="s">
        <v>195</v>
      </c>
      <c r="F28" s="295" t="s">
        <v>196</v>
      </c>
      <c r="G28" s="809" t="s">
        <v>197</v>
      </c>
      <c r="H28" s="295" t="s">
        <v>48</v>
      </c>
      <c r="I28" s="810" t="s">
        <v>198</v>
      </c>
      <c r="J28" s="22"/>
      <c r="K28" s="22"/>
    </row>
    <row r="29" spans="1:11" s="11" customFormat="1" ht="20.100000000000001" customHeight="1">
      <c r="A29" s="22" t="str">
        <f t="shared" ref="A29:B31" si="0">A14</f>
        <v>UPPER LEVEL - BACCALAUREATE</v>
      </c>
      <c r="B29" s="335">
        <f t="shared" si="0"/>
        <v>91.79</v>
      </c>
      <c r="C29" s="930">
        <v>275.37</v>
      </c>
      <c r="D29" s="930">
        <v>18.36</v>
      </c>
      <c r="E29" s="516">
        <f>D14</f>
        <v>9.18</v>
      </c>
      <c r="F29" s="930">
        <v>63.71</v>
      </c>
      <c r="G29" s="930">
        <v>18.36</v>
      </c>
      <c r="H29" s="336">
        <f>SUM(B29:G29)</f>
        <v>476.77000000000004</v>
      </c>
      <c r="I29" s="349">
        <f>H29*30</f>
        <v>14303.1</v>
      </c>
    </row>
    <row r="30" spans="1:11" s="11" customFormat="1" ht="20.100000000000001" customHeight="1">
      <c r="A30" s="22" t="str">
        <f t="shared" si="0"/>
        <v>LOWER LEVEL - CREDIT (A &amp; P, PSV, DEVELOPMENTAL EDUCATION AND EPI)</v>
      </c>
      <c r="B30" s="654">
        <f t="shared" si="0"/>
        <v>76.569999999999993</v>
      </c>
      <c r="C30" s="934">
        <v>232.49</v>
      </c>
      <c r="D30" s="934">
        <v>15.45</v>
      </c>
      <c r="E30" s="655">
        <f>D15</f>
        <v>7.66</v>
      </c>
      <c r="F30" s="934">
        <v>53.43</v>
      </c>
      <c r="G30" s="934">
        <v>15.45</v>
      </c>
      <c r="H30" s="650">
        <f>SUM(B30:G30)</f>
        <v>401.05</v>
      </c>
      <c r="I30" s="328">
        <f>H30*30</f>
        <v>12031.5</v>
      </c>
    </row>
    <row r="31" spans="1:11" s="11" customFormat="1" ht="20.100000000000001" customHeight="1">
      <c r="A31" s="22" t="str">
        <f t="shared" si="0"/>
        <v>CAREER CERTIFICATE AND APPLIED TECHNOLOGY DIPLOMA</v>
      </c>
      <c r="B31" s="1109">
        <f t="shared" si="0"/>
        <v>73.400000000000006</v>
      </c>
      <c r="C31" s="931">
        <v>220.19</v>
      </c>
      <c r="D31" s="931">
        <v>29.36</v>
      </c>
      <c r="E31" s="1110"/>
      <c r="F31" s="931">
        <v>14.68</v>
      </c>
      <c r="G31" s="931">
        <v>14.68</v>
      </c>
      <c r="H31" s="1111">
        <f>SUM(B31:G31)</f>
        <v>352.31000000000006</v>
      </c>
      <c r="I31" s="1111">
        <f>H31*30</f>
        <v>10569.300000000001</v>
      </c>
    </row>
    <row r="32" spans="1:11" s="11" customFormat="1" ht="20.100000000000001" customHeight="1" thickBot="1">
      <c r="A32" s="22" t="s">
        <v>738</v>
      </c>
      <c r="B32" s="1126">
        <v>0</v>
      </c>
      <c r="C32" s="1124">
        <v>0</v>
      </c>
      <c r="D32" s="1124">
        <v>0</v>
      </c>
      <c r="E32" s="1125"/>
      <c r="F32" s="1124">
        <v>0</v>
      </c>
      <c r="G32" s="1124">
        <v>0</v>
      </c>
      <c r="H32" s="1111">
        <f>SUM(B32:G32)</f>
        <v>0</v>
      </c>
      <c r="I32" s="1111">
        <f>H32*30</f>
        <v>0</v>
      </c>
    </row>
    <row r="33" spans="1:11" s="11" customFormat="1" ht="20.100000000000001" customHeight="1" thickBot="1">
      <c r="A33" s="332"/>
      <c r="B33" s="283"/>
      <c r="C33" s="283"/>
      <c r="D33" s="283"/>
      <c r="E33" s="283"/>
      <c r="F33" s="283"/>
      <c r="G33" s="283"/>
      <c r="H33" s="283"/>
      <c r="I33" s="337"/>
    </row>
    <row r="34" spans="1:11" s="11" customFormat="1" ht="65.099999999999994" customHeight="1" thickBot="1">
      <c r="A34" s="338" t="s">
        <v>192</v>
      </c>
      <c r="B34" s="295" t="s">
        <v>201</v>
      </c>
      <c r="C34" s="283"/>
      <c r="D34" s="283"/>
      <c r="E34" s="283"/>
      <c r="F34" s="283"/>
      <c r="G34" s="283"/>
      <c r="H34" s="295" t="s">
        <v>48</v>
      </c>
      <c r="I34" s="810" t="s">
        <v>202</v>
      </c>
    </row>
    <row r="35" spans="1:11" s="11" customFormat="1" ht="20.100000000000001" customHeight="1">
      <c r="A35" s="22" t="str">
        <f>A19</f>
        <v>VOCATIONAL PREPARATORY (PER TERM)</v>
      </c>
      <c r="B35" s="339">
        <f>B19</f>
        <v>0</v>
      </c>
      <c r="C35" s="356"/>
      <c r="D35" s="356"/>
      <c r="E35" s="356"/>
      <c r="F35" s="356"/>
      <c r="G35" s="356"/>
      <c r="H35" s="656">
        <f>B35</f>
        <v>0</v>
      </c>
      <c r="I35" s="350">
        <f>H35*3</f>
        <v>0</v>
      </c>
      <c r="J35" s="334"/>
      <c r="K35" s="334"/>
    </row>
    <row r="36" spans="1:11" s="11" customFormat="1" ht="20.100000000000001" customHeight="1" thickBot="1">
      <c r="A36" s="22" t="str">
        <f>A20</f>
        <v>ADULT GENERAL EDUCATION AND SECONDARY (PER TERM)</v>
      </c>
      <c r="B36" s="657">
        <f>B20</f>
        <v>0</v>
      </c>
      <c r="C36" s="310"/>
      <c r="D36" s="310"/>
      <c r="E36" s="310"/>
      <c r="F36" s="310"/>
      <c r="G36" s="310"/>
      <c r="H36" s="340">
        <f>B36</f>
        <v>0</v>
      </c>
      <c r="I36" s="658">
        <f>H36*3</f>
        <v>0</v>
      </c>
    </row>
    <row r="37" spans="1:11" s="11" customFormat="1" ht="20.100000000000001" customHeight="1" thickBot="1">
      <c r="A37" s="332"/>
      <c r="B37" s="426"/>
      <c r="C37" s="283"/>
      <c r="D37" s="283"/>
      <c r="E37" s="283"/>
      <c r="F37" s="283"/>
      <c r="G37" s="283"/>
      <c r="H37" s="426"/>
      <c r="I37" s="427"/>
    </row>
    <row r="38" spans="1:11" s="11" customFormat="1" ht="20.100000000000001" customHeight="1">
      <c r="A38" s="22" t="str">
        <f>A22</f>
        <v>VOCATIONAL PREPARATORY (PER HALF YEAR)</v>
      </c>
      <c r="B38" s="339">
        <f>B22</f>
        <v>0</v>
      </c>
      <c r="C38" s="515"/>
      <c r="D38" s="515"/>
      <c r="E38" s="515"/>
      <c r="F38" s="515"/>
      <c r="G38" s="515"/>
      <c r="H38" s="336">
        <f>B38</f>
        <v>0</v>
      </c>
      <c r="I38" s="349">
        <f>H38*2</f>
        <v>0</v>
      </c>
    </row>
    <row r="39" spans="1:11" s="11" customFormat="1" ht="20.100000000000001" customHeight="1" thickBot="1">
      <c r="A39" s="22" t="str">
        <f>A23</f>
        <v>ADULT GENERAL EDUCATION AND SECONDARY (PER HALF YEAR)</v>
      </c>
      <c r="B39" s="657">
        <f>B23</f>
        <v>0</v>
      </c>
      <c r="C39" s="310"/>
      <c r="D39" s="310"/>
      <c r="E39" s="310"/>
      <c r="F39" s="310"/>
      <c r="G39" s="310"/>
      <c r="H39" s="659">
        <f>B39</f>
        <v>0</v>
      </c>
      <c r="I39" s="351">
        <f>H39*2</f>
        <v>0</v>
      </c>
    </row>
    <row r="40" spans="1:11" s="11" customFormat="1" ht="20.100000000000001" customHeight="1">
      <c r="A40" s="22"/>
      <c r="B40" s="341"/>
    </row>
    <row r="41" spans="1:11" ht="26.25" customHeight="1">
      <c r="A41" s="173" t="s">
        <v>737</v>
      </c>
      <c r="B41" s="883"/>
      <c r="C41" s="883"/>
      <c r="D41" s="883"/>
      <c r="E41" s="883"/>
      <c r="F41" s="883"/>
      <c r="G41" s="883"/>
      <c r="H41" s="883"/>
      <c r="I41" s="883"/>
      <c r="J41" s="169"/>
    </row>
    <row r="42" spans="1:11" ht="20.25" customHeight="1">
      <c r="A42" s="11" t="s">
        <v>759</v>
      </c>
      <c r="B42" s="171"/>
      <c r="C42" s="171"/>
      <c r="D42" s="171"/>
      <c r="E42" s="171"/>
      <c r="F42" s="171"/>
      <c r="G42" s="171"/>
      <c r="H42" s="171"/>
      <c r="I42" s="171"/>
    </row>
    <row r="43" spans="1:11" ht="20.25" customHeight="1">
      <c r="A43" s="11" t="s">
        <v>739</v>
      </c>
      <c r="B43" s="171"/>
      <c r="C43" s="171"/>
      <c r="D43" s="171"/>
      <c r="E43" s="171"/>
      <c r="F43" s="171"/>
      <c r="G43" s="171"/>
      <c r="H43" s="171"/>
      <c r="I43" s="171"/>
    </row>
    <row r="44" spans="1:11" ht="20.25" customHeight="1">
      <c r="A44" s="11" t="s">
        <v>773</v>
      </c>
      <c r="B44" s="171"/>
      <c r="C44" s="171"/>
      <c r="D44" s="171"/>
      <c r="E44" s="171"/>
      <c r="F44" s="171"/>
      <c r="G44" s="171"/>
      <c r="H44" s="171"/>
      <c r="I44" s="171"/>
    </row>
    <row r="45" spans="1:11" ht="20.25" customHeight="1">
      <c r="A45" s="11" t="s">
        <v>740</v>
      </c>
      <c r="B45" s="171"/>
      <c r="C45" s="171"/>
      <c r="D45" s="171"/>
      <c r="E45" s="171"/>
      <c r="F45" s="171"/>
      <c r="G45" s="171"/>
      <c r="H45" s="171"/>
      <c r="I45" s="171"/>
    </row>
    <row r="46" spans="1:11" ht="20.25" customHeight="1">
      <c r="A46" s="171"/>
      <c r="B46" s="171"/>
      <c r="C46" s="171"/>
      <c r="D46" s="171"/>
      <c r="E46" s="171"/>
      <c r="F46" s="171"/>
      <c r="G46" s="171"/>
      <c r="H46" s="171"/>
      <c r="I46" s="171"/>
    </row>
    <row r="47" spans="1:11" ht="20.25" customHeight="1">
      <c r="A47" s="171"/>
      <c r="B47" s="171"/>
      <c r="C47" s="171"/>
      <c r="D47" s="171"/>
      <c r="E47" s="171"/>
      <c r="F47" s="171"/>
      <c r="G47" s="171"/>
      <c r="H47" s="171"/>
      <c r="I47" s="171"/>
    </row>
    <row r="48" spans="1:11" ht="20.25" customHeight="1">
      <c r="A48" s="171"/>
      <c r="B48" s="171"/>
      <c r="C48" s="171"/>
      <c r="D48" s="171"/>
      <c r="E48" s="171"/>
      <c r="F48" s="171"/>
      <c r="G48" s="171"/>
      <c r="H48" s="171"/>
      <c r="I48" s="171"/>
    </row>
    <row r="49" spans="1:9" ht="20.25" customHeight="1">
      <c r="A49" s="171"/>
      <c r="B49" s="171"/>
      <c r="C49" s="171"/>
      <c r="D49" s="171"/>
      <c r="E49" s="171"/>
      <c r="F49" s="171"/>
      <c r="G49" s="171"/>
      <c r="H49" s="171"/>
      <c r="I49" s="171"/>
    </row>
    <row r="50" spans="1:9" ht="20.25" customHeight="1">
      <c r="A50" s="171"/>
      <c r="B50" s="171"/>
      <c r="C50" s="171"/>
      <c r="D50" s="171"/>
      <c r="E50" s="171"/>
      <c r="F50" s="171"/>
      <c r="G50" s="171"/>
      <c r="H50" s="171"/>
      <c r="I50" s="171"/>
    </row>
    <row r="51" spans="1:9" ht="20.25" customHeight="1">
      <c r="A51" s="171"/>
      <c r="B51" s="171"/>
      <c r="C51" s="171"/>
      <c r="D51" s="171"/>
      <c r="E51" s="171"/>
      <c r="F51" s="171"/>
      <c r="G51" s="171"/>
      <c r="H51" s="171"/>
      <c r="I51" s="171"/>
    </row>
    <row r="52" spans="1:9" ht="20.25" customHeight="1">
      <c r="A52" s="171"/>
      <c r="B52" s="171"/>
      <c r="C52" s="171"/>
      <c r="D52" s="171"/>
      <c r="E52" s="171"/>
      <c r="F52" s="171"/>
      <c r="G52" s="171"/>
      <c r="H52" s="171"/>
      <c r="I52" s="171"/>
    </row>
    <row r="53" spans="1:9" ht="20.25" customHeight="1">
      <c r="A53" s="171"/>
      <c r="B53" s="171"/>
      <c r="C53" s="171"/>
      <c r="D53" s="171"/>
      <c r="E53" s="171"/>
      <c r="F53" s="171"/>
      <c r="G53" s="171"/>
      <c r="H53" s="171"/>
      <c r="I53" s="171"/>
    </row>
    <row r="54" spans="1:9" ht="20.25" customHeight="1">
      <c r="A54" s="171"/>
      <c r="B54" s="171"/>
      <c r="C54" s="171"/>
      <c r="D54" s="171"/>
      <c r="E54" s="171"/>
      <c r="F54" s="171"/>
      <c r="G54" s="171"/>
      <c r="H54" s="171"/>
      <c r="I54" s="171"/>
    </row>
    <row r="55" spans="1:9" ht="20.25" customHeight="1">
      <c r="B55" s="171"/>
      <c r="C55" s="171"/>
      <c r="D55" s="171"/>
      <c r="E55" s="171"/>
      <c r="F55" s="171"/>
      <c r="G55" s="171"/>
      <c r="H55" s="171"/>
      <c r="I55" s="171"/>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s="172" customFormat="1" ht="20.25" customHeight="1"/>
    <row r="66" s="172" customFormat="1" ht="20.25" customHeight="1"/>
    <row r="67" s="172" customFormat="1" ht="20.25" customHeight="1"/>
    <row r="68" s="172" customFormat="1" ht="20.25" customHeight="1"/>
    <row r="69" s="172" customFormat="1" ht="20.25" customHeight="1"/>
    <row r="70" s="172" customFormat="1" ht="20.25" customHeight="1"/>
    <row r="71" s="172" customFormat="1" ht="20.25" customHeight="1"/>
    <row r="72" s="172" customFormat="1" ht="20.25" customHeight="1"/>
    <row r="73" s="172" customFormat="1" ht="20.25" customHeight="1"/>
    <row r="74" s="172" customFormat="1" ht="20.25" customHeight="1"/>
    <row r="75" s="172" customFormat="1" ht="20.25" customHeight="1"/>
    <row r="76" s="172" customFormat="1" ht="20.25" customHeight="1"/>
    <row r="77" s="172" customFormat="1" ht="20.25" customHeight="1"/>
    <row r="78" s="172" customFormat="1" ht="20.25" customHeight="1"/>
    <row r="79" s="172" customFormat="1" ht="20.25" customHeight="1"/>
    <row r="80" s="172" customFormat="1" ht="20.25" customHeight="1"/>
    <row r="81" s="172" customFormat="1" ht="20.25" customHeight="1"/>
    <row r="82" s="172" customFormat="1" ht="20.25" customHeight="1"/>
    <row r="83" s="172" customFormat="1" ht="20.25" customHeight="1"/>
    <row r="84" s="172" customFormat="1" ht="20.25" customHeight="1"/>
    <row r="85" s="172" customFormat="1" ht="20.25" customHeight="1"/>
    <row r="86" s="172" customFormat="1" ht="20.25" customHeight="1"/>
    <row r="87" s="172" customFormat="1" ht="20.25" customHeight="1"/>
    <row r="88" s="172" customFormat="1" ht="20.25" customHeight="1"/>
  </sheetData>
  <sheetProtection algorithmName="SHA-512" hashValue="a4o+wVivA8H+EXM8xu6MQ+8ATU22FrBqx8oFtOHoCg6beX4d+/dfwjg/SdM4/oQZUhkcdJkx5+h9/zjH94WhvA==" saltValue="5Nap2vQ5GpSfw9Mfch74/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1" customWidth="1"/>
    <col min="2" max="2" width="81.140625" style="11" customWidth="1"/>
    <col min="3" max="3" width="18.7109375" style="11" customWidth="1"/>
    <col min="4" max="4" width="23.28515625" style="11" customWidth="1"/>
    <col min="5" max="5" width="29" style="11" customWidth="1"/>
    <col min="6" max="6" width="19.7109375" style="11" customWidth="1"/>
    <col min="7" max="8" width="20.42578125" style="11" customWidth="1"/>
    <col min="9" max="9" width="5.140625" style="11" customWidth="1"/>
    <col min="10" max="16384" width="9.140625" style="11"/>
  </cols>
  <sheetData>
    <row r="1" spans="1:9" ht="23.1" customHeight="1">
      <c r="H1" s="170" t="s">
        <v>209</v>
      </c>
    </row>
    <row r="2" spans="1:9" ht="20.100000000000001" customHeight="1">
      <c r="A2" s="885" t="s">
        <v>11</v>
      </c>
      <c r="B2" s="885"/>
      <c r="C2" s="885"/>
      <c r="D2" s="885"/>
      <c r="E2" s="885"/>
      <c r="F2" s="885"/>
      <c r="G2" s="885"/>
      <c r="H2" s="808"/>
      <c r="I2" s="22"/>
    </row>
    <row r="3" spans="1:9" ht="20.100000000000001" customHeight="1">
      <c r="A3" s="885" t="s">
        <v>760</v>
      </c>
      <c r="B3" s="885"/>
      <c r="C3" s="885"/>
      <c r="D3" s="885"/>
      <c r="E3" s="885"/>
      <c r="F3" s="885"/>
      <c r="G3" s="885"/>
      <c r="H3" s="808"/>
    </row>
    <row r="4" spans="1:9" ht="20.100000000000001" customHeight="1">
      <c r="A4" s="320"/>
      <c r="B4" s="320"/>
      <c r="C4" s="320"/>
      <c r="D4" s="320"/>
      <c r="E4" s="320"/>
      <c r="F4" s="320"/>
      <c r="G4" s="320"/>
      <c r="H4" s="275"/>
    </row>
    <row r="5" spans="1:9" ht="27.6" customHeight="1" thickBot="1">
      <c r="A5" s="885" t="s">
        <v>210</v>
      </c>
      <c r="B5" s="886" t="str">
        <f>'CHECK SHEET'!D7</f>
        <v>Pasco-Hernando State College</v>
      </c>
      <c r="C5" s="886"/>
      <c r="D5" s="886"/>
      <c r="E5" s="886"/>
      <c r="F5" s="886"/>
      <c r="G5" s="320"/>
      <c r="H5" s="884"/>
    </row>
    <row r="6" spans="1:9" ht="20.100000000000001" customHeight="1">
      <c r="A6" s="320"/>
      <c r="B6" s="320"/>
      <c r="C6" s="320"/>
      <c r="D6" s="320"/>
      <c r="E6" s="320"/>
      <c r="F6" s="320"/>
      <c r="G6" s="320"/>
      <c r="H6" s="884"/>
    </row>
    <row r="7" spans="1:9" ht="20.100000000000001" customHeight="1">
      <c r="A7" s="805" t="s">
        <v>211</v>
      </c>
      <c r="B7" s="805"/>
      <c r="C7" s="805"/>
      <c r="D7" s="805"/>
      <c r="E7" s="805"/>
      <c r="F7" s="805"/>
      <c r="G7" s="805"/>
      <c r="H7" s="805"/>
    </row>
    <row r="8" spans="1:9" ht="20.100000000000001" customHeight="1" thickBot="1">
      <c r="C8" s="22"/>
    </row>
    <row r="9" spans="1:9" ht="85.5" customHeight="1" thickBot="1">
      <c r="A9" s="276" t="s">
        <v>212</v>
      </c>
      <c r="B9" s="276" t="s">
        <v>213</v>
      </c>
      <c r="C9" s="284" t="s">
        <v>214</v>
      </c>
      <c r="D9" s="284" t="s">
        <v>215</v>
      </c>
      <c r="E9" s="284" t="s">
        <v>216</v>
      </c>
      <c r="F9" s="284" t="s">
        <v>65</v>
      </c>
      <c r="G9" s="284" t="s">
        <v>217</v>
      </c>
      <c r="H9" s="285" t="s">
        <v>218</v>
      </c>
      <c r="I9" s="13"/>
    </row>
    <row r="10" spans="1:9" ht="20.100000000000001" customHeight="1">
      <c r="A10" s="517" t="s">
        <v>193</v>
      </c>
      <c r="B10" s="517" t="s">
        <v>219</v>
      </c>
      <c r="C10" s="518">
        <v>40101</v>
      </c>
      <c r="D10" s="660">
        <v>7830</v>
      </c>
      <c r="E10" s="519">
        <v>0</v>
      </c>
      <c r="F10" s="520">
        <f t="shared" ref="F10:F15" si="0">+D10-E10</f>
        <v>7830</v>
      </c>
      <c r="G10" s="520">
        <f>'EXHIBIT B'!B14</f>
        <v>91.79</v>
      </c>
      <c r="H10" s="1160">
        <f>ROUND(+F10*G10,0)</f>
        <v>718716</v>
      </c>
    </row>
    <row r="11" spans="1:9" ht="20.100000000000001" customHeight="1">
      <c r="A11" s="661" t="s">
        <v>193</v>
      </c>
      <c r="B11" s="661" t="s">
        <v>125</v>
      </c>
      <c r="C11" s="662" t="s">
        <v>220</v>
      </c>
      <c r="D11" s="660">
        <f>87630+28500</f>
        <v>116130</v>
      </c>
      <c r="E11" s="660">
        <f>950*30</f>
        <v>28500</v>
      </c>
      <c r="F11" s="663">
        <f t="shared" si="0"/>
        <v>87630</v>
      </c>
      <c r="G11" s="663">
        <f>+'EXHIBIT B'!B15</f>
        <v>76.569999999999993</v>
      </c>
      <c r="H11" s="664">
        <f t="shared" ref="H11:H15" si="1">ROUND(+F11*G11,0)</f>
        <v>6709829</v>
      </c>
    </row>
    <row r="12" spans="1:9" ht="20.100000000000001" customHeight="1">
      <c r="A12" s="661" t="s">
        <v>193</v>
      </c>
      <c r="B12" s="661" t="s">
        <v>126</v>
      </c>
      <c r="C12" s="662" t="s">
        <v>221</v>
      </c>
      <c r="D12" s="660">
        <f>48420+8490</f>
        <v>56910</v>
      </c>
      <c r="E12" s="660">
        <f>283*30</f>
        <v>8490</v>
      </c>
      <c r="F12" s="663">
        <f t="shared" si="0"/>
        <v>48420</v>
      </c>
      <c r="G12" s="663">
        <f>+'EXHIBIT B'!B15</f>
        <v>76.569999999999993</v>
      </c>
      <c r="H12" s="664">
        <f t="shared" si="1"/>
        <v>3707519</v>
      </c>
    </row>
    <row r="13" spans="1:9" ht="20.100000000000001" customHeight="1">
      <c r="A13" s="661" t="s">
        <v>193</v>
      </c>
      <c r="B13" s="661" t="s">
        <v>75</v>
      </c>
      <c r="C13" s="662" t="s">
        <v>222</v>
      </c>
      <c r="D13" s="665">
        <f>7860+60</f>
        <v>7920</v>
      </c>
      <c r="E13" s="665">
        <f>2*30</f>
        <v>60</v>
      </c>
      <c r="F13" s="663">
        <f t="shared" si="0"/>
        <v>7860</v>
      </c>
      <c r="G13" s="663">
        <f>+'EXHIBIT B'!B16</f>
        <v>73.400000000000006</v>
      </c>
      <c r="H13" s="664">
        <f t="shared" si="1"/>
        <v>576924</v>
      </c>
    </row>
    <row r="14" spans="1:9" ht="20.100000000000001" customHeight="1">
      <c r="A14" s="661" t="s">
        <v>193</v>
      </c>
      <c r="B14" s="661" t="s">
        <v>127</v>
      </c>
      <c r="C14" s="662" t="s">
        <v>223</v>
      </c>
      <c r="D14" s="660">
        <v>3270</v>
      </c>
      <c r="E14" s="660">
        <v>0</v>
      </c>
      <c r="F14" s="663">
        <f t="shared" si="0"/>
        <v>3270</v>
      </c>
      <c r="G14" s="663">
        <f>+'EXHIBIT B'!B15</f>
        <v>76.569999999999993</v>
      </c>
      <c r="H14" s="664">
        <f t="shared" si="1"/>
        <v>250384</v>
      </c>
    </row>
    <row r="15" spans="1:9" ht="20.100000000000001" customHeight="1" thickBot="1">
      <c r="A15" s="666" t="s">
        <v>193</v>
      </c>
      <c r="B15" s="666" t="s">
        <v>128</v>
      </c>
      <c r="C15" s="667">
        <v>40160</v>
      </c>
      <c r="D15" s="668">
        <v>360</v>
      </c>
      <c r="E15" s="668">
        <v>0</v>
      </c>
      <c r="F15" s="669">
        <f t="shared" si="0"/>
        <v>360</v>
      </c>
      <c r="G15" s="669">
        <f>+'EXHIBIT B'!B15</f>
        <v>76.569999999999993</v>
      </c>
      <c r="H15" s="670">
        <f t="shared" si="1"/>
        <v>27565</v>
      </c>
    </row>
    <row r="16" spans="1:9" ht="24.95" customHeight="1" thickBot="1">
      <c r="A16" s="286"/>
      <c r="B16" s="286"/>
      <c r="C16" s="286"/>
      <c r="D16" s="287"/>
      <c r="E16" s="287"/>
      <c r="F16" s="288"/>
      <c r="G16" s="288"/>
      <c r="H16" s="289"/>
    </row>
    <row r="17" spans="1:9" ht="24.95" customHeight="1" thickBot="1">
      <c r="A17" s="290"/>
      <c r="B17" s="291" t="s">
        <v>224</v>
      </c>
      <c r="C17" s="291"/>
      <c r="D17" s="292">
        <f>SUM(D10:D15)</f>
        <v>192420</v>
      </c>
      <c r="E17" s="292">
        <f>SUM(E10:E15)</f>
        <v>37050</v>
      </c>
      <c r="F17" s="293">
        <f>SUM(F10:F15)</f>
        <v>155370</v>
      </c>
      <c r="G17" s="293"/>
      <c r="H17" s="294">
        <f>SUM(H10:H15)</f>
        <v>11990937</v>
      </c>
    </row>
    <row r="18" spans="1:9" ht="88.35" customHeight="1" thickBot="1">
      <c r="A18" s="295" t="s">
        <v>225</v>
      </c>
      <c r="B18" s="276" t="s">
        <v>213</v>
      </c>
      <c r="C18" s="284" t="s">
        <v>214</v>
      </c>
      <c r="D18" s="295" t="s">
        <v>226</v>
      </c>
      <c r="E18" s="284" t="s">
        <v>217</v>
      </c>
      <c r="F18" s="285" t="s">
        <v>218</v>
      </c>
    </row>
    <row r="19" spans="1:9" ht="24.95" customHeight="1">
      <c r="A19" s="606" t="s">
        <v>208</v>
      </c>
      <c r="B19" s="606" t="s">
        <v>219</v>
      </c>
      <c r="C19" s="671">
        <v>40301</v>
      </c>
      <c r="D19" s="935">
        <v>0</v>
      </c>
      <c r="E19" s="672">
        <f>'EXHIBIT B'!C29</f>
        <v>275.37</v>
      </c>
      <c r="F19" s="1159">
        <f t="shared" ref="F19:F25" si="2">ROUND(+D19*E19,0)</f>
        <v>0</v>
      </c>
      <c r="G19" s="296"/>
      <c r="H19" s="296"/>
    </row>
    <row r="20" spans="1:9" ht="20.100000000000001" customHeight="1">
      <c r="A20" s="612" t="s">
        <v>208</v>
      </c>
      <c r="B20" s="612" t="s">
        <v>125</v>
      </c>
      <c r="C20" s="673" t="s">
        <v>227</v>
      </c>
      <c r="D20" s="680">
        <v>1050</v>
      </c>
      <c r="E20" s="674">
        <f>+'EXHIBIT B'!C30</f>
        <v>232.49</v>
      </c>
      <c r="F20" s="675">
        <f t="shared" si="2"/>
        <v>244115</v>
      </c>
      <c r="G20" s="42"/>
      <c r="H20" s="42"/>
    </row>
    <row r="21" spans="1:9" ht="20.100000000000001" customHeight="1">
      <c r="A21" s="612" t="s">
        <v>208</v>
      </c>
      <c r="B21" s="612" t="s">
        <v>126</v>
      </c>
      <c r="C21" s="673" t="s">
        <v>228</v>
      </c>
      <c r="D21" s="680">
        <v>600</v>
      </c>
      <c r="E21" s="674">
        <f>+'EXHIBIT B'!C30</f>
        <v>232.49</v>
      </c>
      <c r="F21" s="675">
        <f t="shared" si="2"/>
        <v>139494</v>
      </c>
      <c r="G21" s="42"/>
      <c r="H21" s="42"/>
    </row>
    <row r="22" spans="1:9" ht="20.100000000000001" customHeight="1">
      <c r="A22" s="612" t="s">
        <v>208</v>
      </c>
      <c r="B22" s="612" t="s">
        <v>75</v>
      </c>
      <c r="C22" s="673" t="s">
        <v>229</v>
      </c>
      <c r="D22" s="680">
        <v>90</v>
      </c>
      <c r="E22" s="674">
        <f>+'EXHIBIT B'!C31</f>
        <v>220.19</v>
      </c>
      <c r="F22" s="675">
        <f t="shared" si="2"/>
        <v>19817</v>
      </c>
      <c r="G22" s="42"/>
      <c r="H22" s="42"/>
    </row>
    <row r="23" spans="1:9" ht="20.100000000000001" customHeight="1">
      <c r="A23" s="612" t="s">
        <v>208</v>
      </c>
      <c r="B23" s="612" t="s">
        <v>127</v>
      </c>
      <c r="C23" s="673" t="s">
        <v>230</v>
      </c>
      <c r="D23" s="680">
        <v>90</v>
      </c>
      <c r="E23" s="674">
        <f>+'EXHIBIT B'!C30</f>
        <v>232.49</v>
      </c>
      <c r="F23" s="675">
        <f t="shared" si="2"/>
        <v>20924</v>
      </c>
      <c r="G23" s="42"/>
      <c r="H23" s="42"/>
    </row>
    <row r="24" spans="1:9" ht="20.100000000000001" customHeight="1">
      <c r="A24" s="1020" t="s">
        <v>208</v>
      </c>
      <c r="B24" s="1020" t="s">
        <v>128</v>
      </c>
      <c r="C24" s="1114">
        <v>40360</v>
      </c>
      <c r="D24" s="1115">
        <v>0</v>
      </c>
      <c r="E24" s="1116">
        <f>+'EXHIBIT B'!C30</f>
        <v>232.49</v>
      </c>
      <c r="F24" s="1117">
        <f t="shared" si="2"/>
        <v>0</v>
      </c>
      <c r="G24" s="42"/>
      <c r="H24" s="42"/>
    </row>
    <row r="25" spans="1:9" ht="20.100000000000001" customHeight="1" thickBot="1">
      <c r="A25" s="373" t="s">
        <v>208</v>
      </c>
      <c r="B25" s="373" t="s">
        <v>735</v>
      </c>
      <c r="C25" s="1112" t="s">
        <v>736</v>
      </c>
      <c r="D25" s="1113">
        <v>0</v>
      </c>
      <c r="E25" s="1116">
        <f>+'EXHIBIT B'!H32</f>
        <v>0</v>
      </c>
      <c r="F25" s="1117">
        <f t="shared" si="2"/>
        <v>0</v>
      </c>
      <c r="G25" s="42"/>
      <c r="H25" s="42"/>
    </row>
    <row r="26" spans="1:9" ht="20.100000000000001" customHeight="1" thickBot="1">
      <c r="A26" s="297"/>
      <c r="B26" s="297"/>
      <c r="C26" s="297"/>
      <c r="D26" s="297"/>
      <c r="E26" s="298"/>
      <c r="F26" s="299"/>
      <c r="G26" s="42"/>
      <c r="H26" s="42"/>
    </row>
    <row r="27" spans="1:9" ht="20.100000000000001" customHeight="1" thickBot="1">
      <c r="A27" s="676"/>
      <c r="B27" s="676" t="s">
        <v>224</v>
      </c>
      <c r="C27" s="676"/>
      <c r="D27" s="677">
        <f>SUM(D19:D25)</f>
        <v>1830</v>
      </c>
      <c r="E27" s="678"/>
      <c r="F27" s="679">
        <f>SUM(F19:F25)</f>
        <v>424350</v>
      </c>
      <c r="G27" s="300"/>
      <c r="H27" s="300"/>
    </row>
    <row r="28" spans="1:9" ht="20.100000000000001" customHeight="1" thickBot="1">
      <c r="A28" s="301" t="s">
        <v>231</v>
      </c>
      <c r="B28" s="301"/>
      <c r="C28" s="301"/>
      <c r="D28" s="301"/>
      <c r="E28" s="301"/>
      <c r="F28" s="302"/>
      <c r="G28" s="521"/>
      <c r="H28" s="303">
        <f>H17+F27</f>
        <v>12415287</v>
      </c>
    </row>
    <row r="29" spans="1:9" ht="24.95" customHeight="1">
      <c r="I29" s="164"/>
    </row>
    <row r="30" spans="1:9" ht="24.95" customHeight="1">
      <c r="A30" s="805" t="s">
        <v>232</v>
      </c>
      <c r="B30" s="805"/>
      <c r="C30" s="805"/>
      <c r="D30" s="805"/>
      <c r="E30" s="805"/>
      <c r="F30" s="805"/>
      <c r="G30" s="805"/>
      <c r="H30" s="805"/>
      <c r="I30" s="164"/>
    </row>
    <row r="31" spans="1:9" ht="24.95" customHeight="1" thickBot="1">
      <c r="I31" s="164"/>
    </row>
    <row r="32" spans="1:9" ht="88.35" customHeight="1" thickBot="1">
      <c r="A32" s="295" t="s">
        <v>233</v>
      </c>
      <c r="B32" s="304" t="s">
        <v>213</v>
      </c>
      <c r="C32" s="295" t="s">
        <v>214</v>
      </c>
      <c r="D32" s="295" t="s">
        <v>234</v>
      </c>
      <c r="E32" s="295" t="s">
        <v>235</v>
      </c>
      <c r="F32" s="295" t="s">
        <v>65</v>
      </c>
      <c r="G32" s="295" t="s">
        <v>236</v>
      </c>
      <c r="H32" s="810" t="s">
        <v>218</v>
      </c>
      <c r="I32" s="164"/>
    </row>
    <row r="33" spans="1:8" ht="20.100000000000001" customHeight="1">
      <c r="A33" s="522" t="s">
        <v>237</v>
      </c>
      <c r="B33" s="522" t="s">
        <v>238</v>
      </c>
      <c r="C33" s="523" t="s">
        <v>239</v>
      </c>
      <c r="D33" s="524">
        <v>0</v>
      </c>
      <c r="E33" s="524">
        <v>0</v>
      </c>
      <c r="F33" s="525">
        <f>D33-E33</f>
        <v>0</v>
      </c>
      <c r="G33" s="525">
        <f>'EXHIBIT B'!B19</f>
        <v>0</v>
      </c>
      <c r="H33" s="526">
        <f>ROUND(+F33*G33,0)</f>
        <v>0</v>
      </c>
    </row>
    <row r="34" spans="1:8" ht="20.100000000000001" customHeight="1">
      <c r="A34" s="612" t="s">
        <v>237</v>
      </c>
      <c r="B34" s="612" t="s">
        <v>240</v>
      </c>
      <c r="C34" s="673" t="s">
        <v>241</v>
      </c>
      <c r="D34" s="680">
        <v>0</v>
      </c>
      <c r="E34" s="680">
        <v>0</v>
      </c>
      <c r="F34" s="674">
        <f>D34-E34</f>
        <v>0</v>
      </c>
      <c r="G34" s="674">
        <f>'EXHIBIT B'!B20</f>
        <v>0</v>
      </c>
      <c r="H34" s="675">
        <f>ROUND(+F34*G34,0)</f>
        <v>0</v>
      </c>
    </row>
    <row r="35" spans="1:8" ht="20.100000000000001" customHeight="1">
      <c r="A35" s="612" t="s">
        <v>242</v>
      </c>
      <c r="B35" s="612" t="s">
        <v>238</v>
      </c>
      <c r="C35" s="673">
        <v>40180</v>
      </c>
      <c r="D35" s="680">
        <v>0</v>
      </c>
      <c r="E35" s="680">
        <v>0</v>
      </c>
      <c r="F35" s="674">
        <f>D35-E35</f>
        <v>0</v>
      </c>
      <c r="G35" s="674">
        <f>'EXHIBIT B'!B22</f>
        <v>0</v>
      </c>
      <c r="H35" s="675">
        <f>ROUND(+F35*G35,0)</f>
        <v>0</v>
      </c>
    </row>
    <row r="36" spans="1:8" ht="20.100000000000001" customHeight="1" thickBot="1">
      <c r="A36" s="613" t="s">
        <v>242</v>
      </c>
      <c r="B36" s="613" t="s">
        <v>240</v>
      </c>
      <c r="C36" s="681">
        <v>40190</v>
      </c>
      <c r="D36" s="682">
        <v>0</v>
      </c>
      <c r="E36" s="682">
        <v>0</v>
      </c>
      <c r="F36" s="683">
        <f>D36-E36</f>
        <v>0</v>
      </c>
      <c r="G36" s="683">
        <f>'EXHIBIT B'!B23</f>
        <v>0</v>
      </c>
      <c r="H36" s="684">
        <f>ROUND(+F36*G36,0)</f>
        <v>0</v>
      </c>
    </row>
    <row r="37" spans="1:8" ht="20.100000000000001" customHeight="1" thickBot="1">
      <c r="A37" s="305"/>
      <c r="B37" s="280" t="s">
        <v>243</v>
      </c>
      <c r="C37" s="280"/>
      <c r="D37" s="306">
        <f>SUM(D33:D36)</f>
        <v>0</v>
      </c>
      <c r="E37" s="306">
        <f>SUM(E33:E36)</f>
        <v>0</v>
      </c>
      <c r="F37" s="307">
        <f>D37-E37</f>
        <v>0</v>
      </c>
      <c r="G37" s="307"/>
      <c r="H37" s="308">
        <f>SUM(H33:H36)</f>
        <v>0</v>
      </c>
    </row>
    <row r="38" spans="1:8" ht="24.95" customHeight="1" thickBot="1">
      <c r="A38" s="309"/>
      <c r="B38" s="310"/>
      <c r="C38" s="310"/>
      <c r="D38" s="310"/>
      <c r="E38" s="310"/>
      <c r="F38" s="310"/>
    </row>
    <row r="39" spans="1:8" ht="88.35" customHeight="1" thickBot="1">
      <c r="A39" s="311" t="s">
        <v>244</v>
      </c>
      <c r="B39" s="312" t="s">
        <v>213</v>
      </c>
      <c r="C39" s="295" t="s">
        <v>214</v>
      </c>
      <c r="D39" s="313" t="s">
        <v>234</v>
      </c>
      <c r="E39" s="313" t="s">
        <v>236</v>
      </c>
      <c r="F39" s="295" t="s">
        <v>218</v>
      </c>
      <c r="G39" s="13"/>
      <c r="H39" s="13"/>
    </row>
    <row r="40" spans="1:8" ht="20.100000000000001" customHeight="1">
      <c r="A40" s="522" t="s">
        <v>237</v>
      </c>
      <c r="B40" s="522" t="s">
        <v>238</v>
      </c>
      <c r="C40" s="523">
        <v>40380</v>
      </c>
      <c r="D40" s="524">
        <v>0</v>
      </c>
      <c r="E40" s="525">
        <f>'EXHIBIT B'!B35</f>
        <v>0</v>
      </c>
      <c r="F40" s="1157">
        <f>D40*E40</f>
        <v>0</v>
      </c>
    </row>
    <row r="41" spans="1:8" ht="20.100000000000001" customHeight="1">
      <c r="A41" s="612" t="s">
        <v>237</v>
      </c>
      <c r="B41" s="612" t="s">
        <v>240</v>
      </c>
      <c r="C41" s="673">
        <v>40390</v>
      </c>
      <c r="D41" s="680">
        <v>0</v>
      </c>
      <c r="E41" s="674">
        <f>'EXHIBIT B'!B36</f>
        <v>0</v>
      </c>
      <c r="F41" s="675">
        <f>D41*E41</f>
        <v>0</v>
      </c>
    </row>
    <row r="42" spans="1:8" ht="20.100000000000001" customHeight="1">
      <c r="A42" s="612" t="s">
        <v>242</v>
      </c>
      <c r="B42" s="612" t="s">
        <v>238</v>
      </c>
      <c r="C42" s="673" t="s">
        <v>245</v>
      </c>
      <c r="D42" s="680">
        <v>0</v>
      </c>
      <c r="E42" s="674">
        <f>'EXHIBIT B'!B38</f>
        <v>0</v>
      </c>
      <c r="F42" s="675">
        <f>D42*E42</f>
        <v>0</v>
      </c>
    </row>
    <row r="43" spans="1:8" ht="20.100000000000001" customHeight="1" thickBot="1">
      <c r="A43" s="613" t="s">
        <v>242</v>
      </c>
      <c r="B43" s="613" t="s">
        <v>240</v>
      </c>
      <c r="C43" s="681" t="s">
        <v>246</v>
      </c>
      <c r="D43" s="682">
        <v>0</v>
      </c>
      <c r="E43" s="683">
        <f>'EXHIBIT B'!B39</f>
        <v>0</v>
      </c>
      <c r="F43" s="684">
        <f>D43*E43</f>
        <v>0</v>
      </c>
    </row>
    <row r="44" spans="1:8" ht="20.100000000000001" customHeight="1" thickBot="1">
      <c r="A44" s="314"/>
      <c r="B44" s="301" t="s">
        <v>224</v>
      </c>
      <c r="C44" s="301"/>
      <c r="D44" s="316">
        <f>SUM(D40:D43)</f>
        <v>0</v>
      </c>
      <c r="E44" s="315"/>
      <c r="F44" s="316">
        <f>SUM(F40:F43)</f>
        <v>0</v>
      </c>
    </row>
    <row r="45" spans="1:8" ht="20.100000000000001" customHeight="1" thickBot="1">
      <c r="A45" s="317" t="s">
        <v>247</v>
      </c>
      <c r="B45" s="301"/>
      <c r="C45" s="301"/>
      <c r="D45" s="301"/>
      <c r="E45" s="301"/>
      <c r="F45" s="301"/>
      <c r="G45" s="280"/>
      <c r="H45" s="527">
        <f>H37+F44</f>
        <v>0</v>
      </c>
    </row>
    <row r="46" spans="1:8" ht="20.100000000000001" customHeight="1" thickBot="1">
      <c r="A46" s="297"/>
      <c r="B46" s="297"/>
      <c r="C46" s="297"/>
      <c r="D46" s="297"/>
      <c r="E46" s="297"/>
      <c r="F46" s="297"/>
      <c r="G46" s="297"/>
      <c r="H46" s="298"/>
    </row>
    <row r="47" spans="1:8" ht="20.100000000000001" customHeight="1" thickBot="1">
      <c r="A47" s="301" t="s">
        <v>248</v>
      </c>
      <c r="B47" s="301"/>
      <c r="C47" s="301"/>
      <c r="D47" s="301"/>
      <c r="E47" s="301"/>
      <c r="F47" s="301"/>
      <c r="G47" s="318"/>
      <c r="H47" s="303">
        <f>H28+H45</f>
        <v>12415287</v>
      </c>
    </row>
    <row r="48" spans="1:8" ht="24.75" customHeight="1">
      <c r="A48" s="811"/>
      <c r="B48" s="811"/>
      <c r="C48" s="811"/>
      <c r="D48" s="811"/>
      <c r="E48" s="811"/>
      <c r="F48" s="811"/>
      <c r="G48" s="319"/>
      <c r="H48" s="319"/>
    </row>
    <row r="49" spans="1:10" ht="24.95" customHeight="1">
      <c r="A49" s="22" t="s">
        <v>249</v>
      </c>
      <c r="H49" s="13"/>
    </row>
    <row r="50" spans="1:10" ht="24.95" customHeight="1">
      <c r="A50" s="22"/>
    </row>
    <row r="51" spans="1:10" ht="43.35" customHeight="1" thickBot="1">
      <c r="A51" s="1066" t="s">
        <v>708</v>
      </c>
      <c r="B51" s="1066"/>
      <c r="C51" s="1067"/>
      <c r="D51" s="1067"/>
      <c r="E51" s="1067"/>
      <c r="F51" s="1067"/>
    </row>
    <row r="52" spans="1:10" ht="44.45" customHeight="1" thickBot="1">
      <c r="A52" s="276" t="s">
        <v>250</v>
      </c>
      <c r="B52" s="276" t="s">
        <v>251</v>
      </c>
      <c r="C52" s="887" t="s">
        <v>252</v>
      </c>
      <c r="D52" s="888"/>
      <c r="E52" s="887" t="s">
        <v>253</v>
      </c>
      <c r="F52" s="888"/>
    </row>
    <row r="53" spans="1:10" ht="24.95" customHeight="1" thickBot="1">
      <c r="A53" s="277"/>
      <c r="B53" s="278"/>
      <c r="C53" s="528"/>
      <c r="D53" s="529"/>
      <c r="E53" s="528"/>
      <c r="F53" s="529"/>
    </row>
    <row r="54" spans="1:10" ht="24.95" customHeight="1" thickBot="1">
      <c r="A54" s="283" t="s">
        <v>140</v>
      </c>
      <c r="B54" s="279"/>
      <c r="C54" s="530"/>
      <c r="D54" s="531"/>
      <c r="E54" s="530"/>
      <c r="F54" s="531"/>
    </row>
    <row r="55" spans="1:10" ht="24.95" customHeight="1">
      <c r="A55" s="685" t="s">
        <v>679</v>
      </c>
      <c r="B55" s="680">
        <v>0</v>
      </c>
      <c r="C55" s="1095"/>
      <c r="D55" s="1096"/>
      <c r="E55" s="936"/>
      <c r="F55" s="937"/>
    </row>
    <row r="56" spans="1:10" ht="24.95" customHeight="1">
      <c r="A56" s="686" t="s">
        <v>789</v>
      </c>
      <c r="B56" s="680">
        <v>125000</v>
      </c>
      <c r="C56" s="938" t="s">
        <v>790</v>
      </c>
      <c r="D56" s="939"/>
      <c r="E56" s="1162" t="s">
        <v>791</v>
      </c>
      <c r="F56" s="1163"/>
      <c r="J56" s="86"/>
    </row>
    <row r="57" spans="1:10" ht="24.95" customHeight="1">
      <c r="A57" s="686"/>
      <c r="B57" s="680">
        <v>0</v>
      </c>
      <c r="C57" s="938"/>
      <c r="D57" s="939"/>
      <c r="E57" s="1164"/>
      <c r="F57" s="939"/>
    </row>
    <row r="58" spans="1:10" ht="24.95" customHeight="1">
      <c r="A58" s="686"/>
      <c r="B58" s="680">
        <v>0</v>
      </c>
      <c r="C58" s="938"/>
      <c r="D58" s="939"/>
      <c r="E58" s="938"/>
      <c r="F58" s="939"/>
    </row>
    <row r="59" spans="1:10" ht="24.95" customHeight="1">
      <c r="A59" s="686"/>
      <c r="B59" s="680">
        <v>0</v>
      </c>
      <c r="C59" s="938"/>
      <c r="D59" s="939"/>
      <c r="E59" s="938"/>
      <c r="F59" s="939"/>
    </row>
    <row r="60" spans="1:10" ht="24.95" customHeight="1" thickBot="1">
      <c r="A60" s="570"/>
      <c r="B60" s="571">
        <v>0</v>
      </c>
      <c r="C60" s="940"/>
      <c r="D60" s="941"/>
      <c r="E60" s="942"/>
      <c r="F60" s="943"/>
    </row>
    <row r="61" spans="1:10" ht="24.95" customHeight="1" thickBot="1">
      <c r="A61" s="280" t="s">
        <v>254</v>
      </c>
      <c r="B61" s="281">
        <f>SUM(B55:B60)</f>
        <v>125000</v>
      </c>
      <c r="C61" s="944"/>
      <c r="D61" s="945"/>
      <c r="E61" s="944"/>
      <c r="F61" s="945"/>
    </row>
    <row r="62" spans="1:10" ht="24.95" customHeight="1" thickBot="1">
      <c r="A62" s="282"/>
      <c r="B62" s="282"/>
      <c r="C62" s="532"/>
      <c r="D62" s="533"/>
      <c r="E62" s="532"/>
      <c r="F62" s="533"/>
    </row>
    <row r="63" spans="1:10" ht="24.95" customHeight="1" thickBot="1">
      <c r="A63" s="283" t="s">
        <v>137</v>
      </c>
      <c r="B63" s="279"/>
      <c r="C63" s="530"/>
      <c r="D63" s="531"/>
      <c r="E63" s="530"/>
      <c r="F63" s="531"/>
    </row>
    <row r="64" spans="1:10" ht="24.95" customHeight="1">
      <c r="A64" s="685" t="s">
        <v>680</v>
      </c>
      <c r="B64" s="1158">
        <v>0</v>
      </c>
      <c r="C64" s="936"/>
      <c r="D64" s="937"/>
      <c r="E64" s="936"/>
      <c r="F64" s="937"/>
    </row>
    <row r="65" spans="1:6" ht="24.95" customHeight="1">
      <c r="A65" s="686" t="s">
        <v>784</v>
      </c>
      <c r="B65" s="680">
        <v>7000</v>
      </c>
      <c r="C65" s="938" t="s">
        <v>786</v>
      </c>
      <c r="D65" s="939"/>
      <c r="E65" s="1162" t="s">
        <v>787</v>
      </c>
      <c r="F65" s="1163"/>
    </row>
    <row r="66" spans="1:6" ht="24.95" customHeight="1">
      <c r="A66" s="686" t="s">
        <v>785</v>
      </c>
      <c r="B66" s="680">
        <v>3500</v>
      </c>
      <c r="C66" s="938" t="s">
        <v>786</v>
      </c>
      <c r="D66" s="939"/>
      <c r="E66" s="1162" t="s">
        <v>787</v>
      </c>
      <c r="F66" s="1163"/>
    </row>
    <row r="67" spans="1:6" ht="24.95" customHeight="1">
      <c r="A67" s="686"/>
      <c r="B67" s="680"/>
      <c r="C67" s="938"/>
      <c r="D67" s="939"/>
      <c r="E67" s="938"/>
      <c r="F67" s="939"/>
    </row>
    <row r="68" spans="1:6" ht="24.95" customHeight="1">
      <c r="A68" s="686"/>
      <c r="B68" s="680">
        <v>0</v>
      </c>
      <c r="C68" s="938"/>
      <c r="D68" s="939"/>
      <c r="E68" s="938"/>
      <c r="F68" s="939"/>
    </row>
    <row r="69" spans="1:6" ht="24.95" customHeight="1" thickBot="1">
      <c r="A69" s="570"/>
      <c r="B69" s="571">
        <v>0</v>
      </c>
      <c r="C69" s="942"/>
      <c r="D69" s="943"/>
      <c r="E69" s="942"/>
      <c r="F69" s="943"/>
    </row>
    <row r="70" spans="1:6" ht="24.95" customHeight="1" thickBot="1">
      <c r="A70" s="280" t="s">
        <v>255</v>
      </c>
      <c r="B70" s="281">
        <f>SUM(B64:B69)</f>
        <v>10500</v>
      </c>
      <c r="C70" s="946"/>
      <c r="D70" s="947"/>
      <c r="E70" s="946"/>
      <c r="F70" s="947"/>
    </row>
    <row r="71" spans="1:6" ht="24.95" customHeight="1" thickBot="1">
      <c r="A71" s="280" t="s">
        <v>256</v>
      </c>
      <c r="B71" s="281">
        <f>+B70+B61</f>
        <v>135500</v>
      </c>
      <c r="C71" s="946"/>
      <c r="D71" s="947"/>
      <c r="E71" s="948"/>
      <c r="F71" s="949"/>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40/k8TK4l/3s1NfkMMjXRs2su87v58vQmWLovmtSMnskbZ0mVWKUkjypj+tvbDjhfAdQiPs4RbIRR7QEwBNsqA==" saltValue="YDHHj7Z/scO4tBrImmoG2Q=="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2" manualBreakCount="2">
    <brk id="28" max="16383" man="1"/>
    <brk id="48" max="16383"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2" customWidth="1"/>
    <col min="2" max="2" width="100.42578125" style="172" customWidth="1"/>
    <col min="3" max="3" width="18.7109375" style="172" customWidth="1"/>
    <col min="4" max="4" width="25.7109375" style="172" customWidth="1"/>
    <col min="5" max="5" width="21.42578125" style="172" customWidth="1"/>
    <col min="6" max="6" width="6.85546875" style="172" customWidth="1"/>
    <col min="7" max="7" width="9.140625" style="172"/>
    <col min="8" max="8" width="59" style="172" customWidth="1"/>
    <col min="9" max="9" width="13.7109375" style="172" customWidth="1"/>
    <col min="10" max="10" width="12.7109375" style="172" bestFit="1" customWidth="1"/>
    <col min="11" max="11" width="14" style="172" customWidth="1"/>
    <col min="12" max="28" width="12.7109375" style="172" customWidth="1"/>
    <col min="29" max="29" width="11" style="172" customWidth="1"/>
    <col min="30" max="30" width="12.7109375" style="172" customWidth="1"/>
    <col min="31" max="31" width="12.42578125" style="172" customWidth="1"/>
    <col min="32" max="32" width="11.42578125" style="172" customWidth="1"/>
    <col min="33" max="33" width="2.28515625" style="172" customWidth="1"/>
    <col min="34" max="34" width="20.140625" style="172" customWidth="1"/>
    <col min="35" max="35" width="6" style="172" customWidth="1"/>
    <col min="36" max="36" width="14.42578125" style="172" customWidth="1"/>
    <col min="37" max="37" width="13.7109375" style="172" customWidth="1"/>
    <col min="38" max="38" width="2.140625" style="172" customWidth="1"/>
    <col min="39" max="40" width="9.140625" style="172"/>
    <col min="41" max="41" width="11.28515625" style="172" customWidth="1"/>
    <col min="42" max="42" width="11.42578125" style="172" customWidth="1"/>
    <col min="43" max="43" width="11" style="172" customWidth="1"/>
    <col min="44" max="44" width="11.140625" style="172" customWidth="1"/>
    <col min="45" max="16384" width="9.140625" style="172"/>
  </cols>
  <sheetData>
    <row r="1" spans="1:47" s="11" customFormat="1" ht="24" customHeight="1">
      <c r="A1" s="274"/>
      <c r="B1" s="274"/>
      <c r="C1" s="274"/>
      <c r="D1" s="274"/>
      <c r="E1" s="324" t="s">
        <v>257</v>
      </c>
      <c r="F1" s="274"/>
    </row>
    <row r="2" spans="1:47" s="11" customFormat="1" ht="24" customHeight="1">
      <c r="A2" s="274"/>
      <c r="B2" s="274"/>
      <c r="C2" s="274"/>
      <c r="D2" s="274"/>
      <c r="E2" s="274"/>
      <c r="F2" s="274"/>
    </row>
    <row r="3" spans="1:47" s="11" customFormat="1" ht="24" customHeight="1">
      <c r="A3" s="879" t="s">
        <v>11</v>
      </c>
      <c r="B3" s="879"/>
      <c r="C3" s="879"/>
      <c r="D3" s="879"/>
      <c r="E3" s="879"/>
      <c r="F3" s="274"/>
    </row>
    <row r="4" spans="1:47" s="11" customFormat="1" ht="23.45" customHeight="1">
      <c r="A4" s="879" t="s">
        <v>258</v>
      </c>
      <c r="B4" s="879"/>
      <c r="C4" s="879"/>
      <c r="D4" s="879"/>
      <c r="E4" s="879"/>
      <c r="F4" s="274"/>
    </row>
    <row r="5" spans="1:47" s="11" customFormat="1" ht="23.1" customHeight="1">
      <c r="A5" s="879"/>
      <c r="B5" s="879"/>
      <c r="C5" s="879"/>
      <c r="D5" s="879"/>
      <c r="E5" s="879"/>
      <c r="F5" s="274"/>
    </row>
    <row r="6" spans="1:47" s="11" customFormat="1" ht="24.95" customHeight="1">
      <c r="A6" s="881"/>
      <c r="B6" s="881"/>
      <c r="C6" s="881"/>
      <c r="D6" s="881"/>
      <c r="E6" s="881"/>
      <c r="F6" s="274"/>
    </row>
    <row r="7" spans="1:47" s="11" customFormat="1" ht="24.95" customHeight="1" thickBot="1">
      <c r="A7" s="879" t="s">
        <v>210</v>
      </c>
      <c r="B7" s="882" t="str">
        <f>'CHECK SHEET'!D7</f>
        <v>Pasco-Hernando State College</v>
      </c>
      <c r="C7" s="882"/>
      <c r="D7" s="882"/>
      <c r="E7" s="882"/>
      <c r="F7" s="807"/>
    </row>
    <row r="8" spans="1:47" s="11" customFormat="1" ht="24.95" customHeight="1">
      <c r="A8" s="889"/>
      <c r="B8" s="889"/>
      <c r="C8" s="889"/>
      <c r="D8" s="889"/>
      <c r="E8" s="889"/>
    </row>
    <row r="9" spans="1:47" s="11" customFormat="1" ht="24.95" customHeight="1">
      <c r="A9" s="890"/>
      <c r="B9" s="890"/>
      <c r="C9" s="890"/>
      <c r="D9" s="890"/>
      <c r="E9" s="890"/>
    </row>
    <row r="10" spans="1:47" s="11" customFormat="1" ht="42.6" customHeight="1">
      <c r="A10" s="891" t="s">
        <v>259</v>
      </c>
      <c r="B10" s="891"/>
      <c r="C10" s="891"/>
      <c r="D10" s="891"/>
      <c r="E10" s="891"/>
    </row>
    <row r="11" spans="1:47" ht="24.95" customHeight="1" thickBot="1">
      <c r="A11" s="171"/>
      <c r="B11" s="171"/>
      <c r="C11" s="171"/>
      <c r="D11" s="171"/>
      <c r="E11" s="171"/>
      <c r="AT11" s="171"/>
      <c r="AU11" s="171"/>
    </row>
    <row r="12" spans="1:47" ht="78" customHeight="1" thickBot="1">
      <c r="A12" s="405" t="s">
        <v>260</v>
      </c>
      <c r="B12" s="405" t="s">
        <v>213</v>
      </c>
      <c r="C12" s="406" t="s">
        <v>261</v>
      </c>
      <c r="D12" s="406" t="s">
        <v>262</v>
      </c>
      <c r="E12" s="406" t="s">
        <v>263</v>
      </c>
    </row>
    <row r="13" spans="1:47" ht="24" customHeight="1">
      <c r="A13" s="407" t="s">
        <v>193</v>
      </c>
      <c r="B13" s="407" t="s">
        <v>219</v>
      </c>
      <c r="C13" s="408">
        <v>40101</v>
      </c>
      <c r="D13" s="438">
        <v>0</v>
      </c>
      <c r="E13" s="438">
        <v>0</v>
      </c>
    </row>
    <row r="14" spans="1:47" ht="24.95" customHeight="1">
      <c r="A14" s="687" t="s">
        <v>193</v>
      </c>
      <c r="B14" s="687" t="s">
        <v>125</v>
      </c>
      <c r="C14" s="688" t="s">
        <v>220</v>
      </c>
      <c r="D14" s="428">
        <v>0</v>
      </c>
      <c r="E14" s="428">
        <v>0</v>
      </c>
    </row>
    <row r="15" spans="1:47" ht="24.95" customHeight="1">
      <c r="A15" s="687" t="s">
        <v>193</v>
      </c>
      <c r="B15" s="687" t="s">
        <v>126</v>
      </c>
      <c r="C15" s="688" t="s">
        <v>221</v>
      </c>
      <c r="D15" s="428">
        <v>0</v>
      </c>
      <c r="E15" s="428">
        <v>0</v>
      </c>
    </row>
    <row r="16" spans="1:47" ht="24.95" customHeight="1">
      <c r="A16" s="687" t="s">
        <v>193</v>
      </c>
      <c r="B16" s="687" t="s">
        <v>75</v>
      </c>
      <c r="C16" s="688" t="s">
        <v>222</v>
      </c>
      <c r="D16" s="428">
        <v>0</v>
      </c>
      <c r="E16" s="428">
        <v>0</v>
      </c>
    </row>
    <row r="17" spans="1:5" ht="24.95" customHeight="1">
      <c r="A17" s="687" t="s">
        <v>193</v>
      </c>
      <c r="B17" s="687" t="s">
        <v>127</v>
      </c>
      <c r="C17" s="688" t="s">
        <v>223</v>
      </c>
      <c r="D17" s="429">
        <v>0</v>
      </c>
      <c r="E17" s="429">
        <v>0</v>
      </c>
    </row>
    <row r="18" spans="1:5" ht="24.95" customHeight="1" thickBot="1">
      <c r="A18" s="687" t="s">
        <v>193</v>
      </c>
      <c r="B18" s="687" t="s">
        <v>128</v>
      </c>
      <c r="C18" s="688">
        <v>40160</v>
      </c>
      <c r="D18" s="430">
        <v>0</v>
      </c>
      <c r="E18" s="430">
        <v>0</v>
      </c>
    </row>
    <row r="19" spans="1:5" ht="24.95" customHeight="1" thickBot="1">
      <c r="A19" s="409"/>
      <c r="B19" s="467"/>
      <c r="C19" s="468"/>
      <c r="D19" s="950"/>
      <c r="E19" s="951"/>
    </row>
    <row r="20" spans="1:5" ht="24.95" customHeight="1" thickBot="1">
      <c r="A20" s="689"/>
      <c r="B20" s="689" t="s">
        <v>224</v>
      </c>
      <c r="C20" s="689"/>
      <c r="D20" s="689"/>
      <c r="E20" s="690">
        <f>SUM(E13:E18)</f>
        <v>0</v>
      </c>
    </row>
    <row r="21" spans="1:5" ht="78" customHeight="1" thickBot="1">
      <c r="A21" s="405" t="s">
        <v>260</v>
      </c>
      <c r="B21" s="405" t="s">
        <v>213</v>
      </c>
      <c r="C21" s="406" t="s">
        <v>261</v>
      </c>
      <c r="D21" s="406" t="s">
        <v>264</v>
      </c>
      <c r="E21" s="406" t="s">
        <v>263</v>
      </c>
    </row>
    <row r="22" spans="1:5" s="169" customFormat="1" ht="24.95" customHeight="1">
      <c r="A22" s="534" t="s">
        <v>208</v>
      </c>
      <c r="B22" s="169" t="s">
        <v>219</v>
      </c>
      <c r="C22" s="469">
        <v>40301</v>
      </c>
      <c r="D22" s="438">
        <v>0</v>
      </c>
      <c r="E22" s="438">
        <v>0</v>
      </c>
    </row>
    <row r="23" spans="1:5" s="169" customFormat="1" ht="24.95" customHeight="1">
      <c r="A23" s="687" t="s">
        <v>208</v>
      </c>
      <c r="B23" s="572" t="s">
        <v>125</v>
      </c>
      <c r="C23" s="591" t="s">
        <v>227</v>
      </c>
      <c r="D23" s="691">
        <v>0</v>
      </c>
      <c r="E23" s="691">
        <v>0</v>
      </c>
    </row>
    <row r="24" spans="1:5" s="169" customFormat="1" ht="24.95" customHeight="1">
      <c r="A24" s="687" t="s">
        <v>208</v>
      </c>
      <c r="B24" s="572" t="s">
        <v>126</v>
      </c>
      <c r="C24" s="591" t="s">
        <v>228</v>
      </c>
      <c r="D24" s="691">
        <v>0</v>
      </c>
      <c r="E24" s="691">
        <v>0</v>
      </c>
    </row>
    <row r="25" spans="1:5" s="169" customFormat="1" ht="24.95" customHeight="1">
      <c r="A25" s="687" t="s">
        <v>208</v>
      </c>
      <c r="B25" s="572" t="s">
        <v>75</v>
      </c>
      <c r="C25" s="591" t="s">
        <v>229</v>
      </c>
      <c r="D25" s="691">
        <v>0</v>
      </c>
      <c r="E25" s="691">
        <v>0</v>
      </c>
    </row>
    <row r="26" spans="1:5" s="169" customFormat="1" ht="24.95" customHeight="1">
      <c r="A26" s="687" t="s">
        <v>208</v>
      </c>
      <c r="B26" s="572" t="s">
        <v>127</v>
      </c>
      <c r="C26" s="591" t="s">
        <v>230</v>
      </c>
      <c r="D26" s="691">
        <v>0</v>
      </c>
      <c r="E26" s="691">
        <v>0</v>
      </c>
    </row>
    <row r="27" spans="1:5" s="169" customFormat="1" ht="24.95" customHeight="1">
      <c r="A27" s="1120" t="s">
        <v>208</v>
      </c>
      <c r="B27" s="572" t="s">
        <v>128</v>
      </c>
      <c r="C27" s="1121">
        <v>40360</v>
      </c>
      <c r="D27" s="1122">
        <v>0</v>
      </c>
      <c r="E27" s="1122">
        <v>0</v>
      </c>
    </row>
    <row r="28" spans="1:5" s="169" customFormat="1" ht="24.95" customHeight="1" thickBot="1">
      <c r="A28" s="1118" t="s">
        <v>208</v>
      </c>
      <c r="B28" s="1123" t="s">
        <v>735</v>
      </c>
      <c r="C28" s="410" t="s">
        <v>736</v>
      </c>
      <c r="D28" s="430">
        <v>0</v>
      </c>
      <c r="E28" s="1119">
        <v>0</v>
      </c>
    </row>
    <row r="29" spans="1:5" ht="24.95" customHeight="1" thickBot="1">
      <c r="A29" s="470"/>
      <c r="B29" s="471"/>
      <c r="C29" s="470"/>
      <c r="D29" s="411"/>
      <c r="E29" s="472"/>
    </row>
    <row r="30" spans="1:5" ht="24.95" customHeight="1" thickBot="1">
      <c r="A30" s="535"/>
      <c r="B30" s="473" t="s">
        <v>224</v>
      </c>
      <c r="C30" s="412"/>
      <c r="D30" s="412"/>
      <c r="E30" s="474">
        <f>SUM(E22:E28)</f>
        <v>0</v>
      </c>
    </row>
    <row r="31" spans="1:5" ht="24.95" customHeight="1" thickBot="1">
      <c r="A31" s="412" t="s">
        <v>265</v>
      </c>
      <c r="B31" s="413"/>
      <c r="C31" s="414"/>
      <c r="D31" s="414"/>
      <c r="E31" s="415">
        <f>E20+E30</f>
        <v>0</v>
      </c>
    </row>
    <row r="32" spans="1:5" ht="24.95" customHeight="1">
      <c r="A32" s="171"/>
      <c r="B32" s="171"/>
      <c r="C32" s="171"/>
      <c r="D32" s="171"/>
      <c r="E32" s="171"/>
    </row>
    <row r="33" spans="1:5" ht="24.95" customHeight="1" thickBot="1">
      <c r="A33" s="10" t="s">
        <v>266</v>
      </c>
      <c r="B33" s="171"/>
      <c r="C33" s="171"/>
      <c r="D33" s="171"/>
      <c r="E33" s="171"/>
    </row>
    <row r="34" spans="1:5" ht="24.95" customHeight="1">
      <c r="A34" s="812"/>
      <c r="B34" s="813"/>
      <c r="C34" s="813"/>
      <c r="D34" s="813"/>
      <c r="E34" s="814"/>
    </row>
    <row r="35" spans="1:5" ht="24.95" customHeight="1">
      <c r="A35" s="815"/>
      <c r="B35" s="816"/>
      <c r="C35" s="816"/>
      <c r="D35" s="816"/>
      <c r="E35" s="817"/>
    </row>
    <row r="36" spans="1:5" ht="24.95" customHeight="1">
      <c r="A36" s="815"/>
      <c r="B36" s="816"/>
      <c r="C36" s="816"/>
      <c r="D36" s="816"/>
      <c r="E36" s="817"/>
    </row>
    <row r="37" spans="1:5" ht="24.95" customHeight="1">
      <c r="A37" s="815"/>
      <c r="B37" s="816"/>
      <c r="C37" s="816"/>
      <c r="D37" s="816"/>
      <c r="E37" s="817"/>
    </row>
    <row r="38" spans="1:5" ht="24.95" customHeight="1" thickBot="1">
      <c r="A38" s="818"/>
      <c r="B38" s="819"/>
      <c r="C38" s="819"/>
      <c r="D38" s="819"/>
      <c r="E38" s="820"/>
    </row>
    <row r="39" spans="1:5" ht="20.25" customHeight="1">
      <c r="A39" s="171"/>
      <c r="B39" s="171"/>
      <c r="C39" s="171"/>
      <c r="D39" s="171"/>
      <c r="E39" s="171"/>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16"/>
      <c r="AI60" s="416"/>
    </row>
    <row r="61" spans="34:35" ht="20.25" customHeight="1">
      <c r="AH61" s="416"/>
      <c r="AI61" s="416"/>
    </row>
    <row r="62" spans="34:35" ht="20.25" customHeight="1">
      <c r="AH62" s="416"/>
    </row>
    <row r="63" spans="34:35" ht="20.25" customHeight="1"/>
    <row r="64" spans="34:35" ht="20.25" customHeight="1">
      <c r="AH64" s="416"/>
      <c r="AI64" s="416"/>
    </row>
    <row r="65" spans="1:35" ht="20.25" customHeight="1">
      <c r="AH65" s="416"/>
      <c r="AI65" s="416"/>
    </row>
    <row r="66" spans="1:35" ht="20.25" customHeight="1">
      <c r="A66" s="171"/>
      <c r="B66" s="171"/>
      <c r="C66" s="171"/>
      <c r="D66" s="171"/>
      <c r="E66" s="171"/>
      <c r="AH66" s="416"/>
      <c r="AI66" s="416"/>
    </row>
    <row r="67" spans="1:35" ht="20.25" customHeight="1">
      <c r="A67" s="171"/>
      <c r="B67" s="171"/>
      <c r="C67" s="171"/>
      <c r="D67" s="171"/>
      <c r="E67" s="171"/>
    </row>
    <row r="68" spans="1:35" ht="20.25" customHeight="1">
      <c r="A68" s="171"/>
      <c r="B68" s="171"/>
      <c r="C68" s="171"/>
      <c r="D68" s="171"/>
      <c r="E68" s="171"/>
      <c r="AH68" s="416"/>
    </row>
    <row r="69" spans="1:35" ht="20.25" customHeight="1">
      <c r="A69" s="171"/>
      <c r="B69" s="171"/>
      <c r="C69" s="171"/>
      <c r="D69" s="171"/>
      <c r="E69" s="171"/>
      <c r="AH69" s="416"/>
      <c r="AI69" s="416"/>
    </row>
    <row r="70" spans="1:35" ht="20.25" customHeight="1">
      <c r="AH70" s="416"/>
      <c r="AI70" s="416"/>
    </row>
    <row r="71" spans="1:35" ht="20.25" customHeight="1">
      <c r="AH71" s="416"/>
    </row>
    <row r="72" spans="1:35" ht="20.25" customHeight="1">
      <c r="AH72" s="416"/>
    </row>
    <row r="73" spans="1:35" ht="20.25" customHeight="1">
      <c r="AH73" s="416"/>
    </row>
    <row r="74" spans="1:35" ht="20.25" customHeight="1">
      <c r="AH74" s="416"/>
      <c r="AI74" s="416"/>
    </row>
    <row r="75" spans="1:35" ht="20.25" customHeight="1"/>
    <row r="76" spans="1:35" ht="20.25" customHeight="1">
      <c r="AH76" s="416"/>
    </row>
    <row r="77" spans="1:35" ht="20.25" customHeight="1">
      <c r="AH77" s="416"/>
      <c r="AI77" s="416"/>
    </row>
    <row r="78" spans="1:35" ht="20.25" customHeight="1">
      <c r="AH78" s="416"/>
      <c r="AI78" s="416"/>
    </row>
    <row r="79" spans="1:35" ht="20.25" customHeight="1">
      <c r="AH79" s="416"/>
      <c r="AI79" s="416"/>
    </row>
    <row r="80" spans="1:35" ht="20.25" customHeight="1">
      <c r="AH80" s="416"/>
      <c r="AI80" s="416"/>
    </row>
    <row r="81" spans="3:35" ht="20.25" customHeight="1">
      <c r="AH81" s="416"/>
    </row>
    <row r="82" spans="3:35" ht="20.25" customHeight="1">
      <c r="AH82" s="416"/>
      <c r="AI82" s="416"/>
    </row>
    <row r="83" spans="3:35" ht="20.25" customHeight="1">
      <c r="AH83" s="416"/>
      <c r="AI83" s="416"/>
    </row>
    <row r="84" spans="3:35" ht="20.25" customHeight="1">
      <c r="AH84" s="416"/>
      <c r="AI84" s="416"/>
    </row>
    <row r="85" spans="3:35" ht="20.25" customHeight="1"/>
    <row r="86" spans="3:35" ht="20.25" customHeight="1">
      <c r="AH86" s="416"/>
      <c r="AI86" s="416"/>
    </row>
    <row r="87" spans="3:35" ht="18" customHeight="1">
      <c r="AH87" s="416"/>
      <c r="AI87" s="41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2">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7f0RpMzjnjfhiyk3rAjaYbsKEK2WedRffBZEdmyk/NGueAtI4E3weN4onYaPAPdaSc9KbKNKt6Zp7fq1BHeyBg==" saltValue="K0uSNKc2n36z1HUm4bcnrw=="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90" zoomScaleNormal="90" zoomScaleSheetLayoutView="70" zoomScalePageLayoutView="70" workbookViewId="0"/>
  </sheetViews>
  <sheetFormatPr defaultColWidth="9.140625" defaultRowHeight="18.75"/>
  <cols>
    <col min="1" max="1" width="57" style="169" customWidth="1"/>
    <col min="2" max="2" width="1.42578125" style="169" customWidth="1"/>
    <col min="3" max="3" width="21.28515625" style="169" customWidth="1"/>
    <col min="4" max="4" width="9.140625" style="169"/>
    <col min="5" max="5" width="49.42578125" style="169" customWidth="1"/>
    <col min="6" max="6" width="17" style="169" customWidth="1"/>
    <col min="7" max="7" width="25.42578125" style="169" customWidth="1"/>
    <col min="8" max="8" width="1.85546875" style="169" customWidth="1"/>
    <col min="9" max="9" width="11.7109375" style="169" bestFit="1" customWidth="1"/>
    <col min="10" max="10" width="15.42578125" style="169" bestFit="1" customWidth="1"/>
    <col min="11" max="16384" width="9.140625" style="169"/>
  </cols>
  <sheetData>
    <row r="1" spans="1:8" ht="26.25">
      <c r="A1" s="892"/>
      <c r="B1" s="892"/>
      <c r="C1" s="892"/>
      <c r="D1" s="892"/>
      <c r="E1" s="892"/>
      <c r="F1" s="892"/>
      <c r="G1" s="893"/>
    </row>
    <row r="2" spans="1:8" ht="30" customHeight="1" thickBot="1">
      <c r="A2" s="893" t="s">
        <v>171</v>
      </c>
      <c r="B2" s="882" t="str">
        <f>'CHECK SHEET'!D7</f>
        <v>Pasco-Hernando State College</v>
      </c>
      <c r="C2" s="882"/>
      <c r="D2" s="882"/>
      <c r="E2" s="882"/>
      <c r="F2" s="882"/>
      <c r="G2" s="894"/>
    </row>
    <row r="3" spans="1:8" ht="23.1" customHeight="1">
      <c r="A3" s="879" t="s">
        <v>267</v>
      </c>
      <c r="B3" s="879"/>
      <c r="C3" s="879"/>
      <c r="D3" s="879"/>
      <c r="E3" s="879"/>
      <c r="F3" s="879"/>
      <c r="G3" s="879"/>
    </row>
    <row r="4" spans="1:8" ht="23.45" customHeight="1">
      <c r="A4" s="879" t="s">
        <v>268</v>
      </c>
      <c r="B4" s="879"/>
      <c r="C4" s="879"/>
      <c r="D4" s="879"/>
      <c r="E4" s="879"/>
      <c r="F4" s="879"/>
      <c r="G4" s="879"/>
    </row>
    <row r="5" spans="1:8" ht="23.45" customHeight="1">
      <c r="A5" s="879" t="s">
        <v>761</v>
      </c>
      <c r="B5" s="879"/>
      <c r="C5" s="879"/>
      <c r="D5" s="879"/>
      <c r="E5" s="879"/>
      <c r="F5" s="879"/>
      <c r="G5" s="879"/>
    </row>
    <row r="6" spans="1:8" ht="20.100000000000001" customHeight="1">
      <c r="A6" s="895"/>
      <c r="B6" s="895"/>
      <c r="C6" s="895"/>
      <c r="D6" s="895"/>
      <c r="E6" s="895"/>
      <c r="F6" s="895"/>
      <c r="G6" s="895"/>
    </row>
    <row r="7" spans="1:8" ht="38.450000000000003" customHeight="1">
      <c r="A7" s="896" t="s">
        <v>269</v>
      </c>
      <c r="B7" s="896"/>
      <c r="C7" s="896"/>
      <c r="D7" s="896"/>
      <c r="E7" s="896"/>
      <c r="F7" s="896"/>
      <c r="G7" s="896"/>
      <c r="H7" s="175"/>
    </row>
    <row r="8" spans="1:8" ht="20.100000000000001" customHeight="1">
      <c r="A8" s="174"/>
      <c r="B8" s="174"/>
      <c r="C8" s="174"/>
      <c r="D8" s="174"/>
      <c r="E8" s="174"/>
      <c r="F8" s="174"/>
      <c r="G8" s="174"/>
      <c r="H8" s="175"/>
    </row>
    <row r="9" spans="1:8" ht="76.349999999999994" customHeight="1">
      <c r="A9" s="495" t="s">
        <v>270</v>
      </c>
      <c r="B9" s="496" t="s">
        <v>271</v>
      </c>
      <c r="C9" s="496"/>
      <c r="D9" s="496"/>
      <c r="E9" s="496"/>
      <c r="F9" s="497" t="s">
        <v>261</v>
      </c>
      <c r="G9" s="498" t="s">
        <v>272</v>
      </c>
    </row>
    <row r="10" spans="1:8" ht="20.100000000000001" customHeight="1">
      <c r="A10" s="508" t="s">
        <v>212</v>
      </c>
      <c r="B10" s="509"/>
      <c r="C10" s="509"/>
      <c r="D10" s="509"/>
      <c r="E10" s="509"/>
      <c r="F10" s="510"/>
      <c r="G10" s="511"/>
    </row>
    <row r="11" spans="1:8" ht="20.100000000000001" customHeight="1">
      <c r="A11" s="478"/>
      <c r="B11" s="176"/>
      <c r="C11" s="176"/>
      <c r="D11" s="176"/>
      <c r="E11" s="176"/>
      <c r="F11" s="177"/>
      <c r="G11" s="178"/>
    </row>
    <row r="12" spans="1:8" ht="20.100000000000001" customHeight="1">
      <c r="A12" s="478" t="s">
        <v>193</v>
      </c>
      <c r="B12" s="176"/>
      <c r="C12" s="176" t="s">
        <v>219</v>
      </c>
      <c r="D12" s="176"/>
      <c r="E12" s="176"/>
      <c r="F12" s="179">
        <v>40101</v>
      </c>
      <c r="G12" s="1149">
        <f>+'EXHIBIT C'!H10+'EXHIBIT C(2)'!E13</f>
        <v>718716</v>
      </c>
    </row>
    <row r="13" spans="1:8" ht="20.100000000000001" customHeight="1">
      <c r="A13" s="478" t="s">
        <v>193</v>
      </c>
      <c r="B13" s="176"/>
      <c r="C13" s="169" t="s">
        <v>125</v>
      </c>
      <c r="D13" s="176"/>
      <c r="E13" s="176"/>
      <c r="F13" s="180" t="s">
        <v>220</v>
      </c>
      <c r="G13" s="1149">
        <f>+'EXHIBIT C'!H11+'EXHIBIT C(2)'!E14</f>
        <v>6709829</v>
      </c>
    </row>
    <row r="14" spans="1:8" ht="20.100000000000001" customHeight="1">
      <c r="A14" s="478" t="s">
        <v>193</v>
      </c>
      <c r="B14" s="176"/>
      <c r="C14" s="176" t="s">
        <v>126</v>
      </c>
      <c r="D14" s="176"/>
      <c r="E14" s="176"/>
      <c r="F14" s="180" t="s">
        <v>221</v>
      </c>
      <c r="G14" s="1150">
        <f>+'EXHIBIT C'!H12+'EXHIBIT C(2)'!E15</f>
        <v>3707519</v>
      </c>
    </row>
    <row r="15" spans="1:8" ht="20.100000000000001" customHeight="1">
      <c r="A15" s="478" t="s">
        <v>193</v>
      </c>
      <c r="B15" s="176"/>
      <c r="C15" s="181" t="s">
        <v>273</v>
      </c>
      <c r="D15" s="176"/>
      <c r="E15" s="176"/>
      <c r="F15" s="180" t="s">
        <v>222</v>
      </c>
      <c r="G15" s="1150">
        <f>+'EXHIBIT C'!H13+'EXHIBIT C(2)'!E16</f>
        <v>576924</v>
      </c>
    </row>
    <row r="16" spans="1:8" ht="20.100000000000001" customHeight="1">
      <c r="A16" s="478" t="s">
        <v>193</v>
      </c>
      <c r="B16" s="176"/>
      <c r="C16" s="181" t="s">
        <v>274</v>
      </c>
      <c r="D16" s="176"/>
      <c r="E16" s="176"/>
      <c r="F16" s="180" t="s">
        <v>223</v>
      </c>
      <c r="G16" s="182">
        <f>+'EXHIBIT C'!H14+'EXHIBIT C(2)'!E17</f>
        <v>250384</v>
      </c>
    </row>
    <row r="17" spans="1:7" ht="20.100000000000001" customHeight="1">
      <c r="A17" s="478" t="s">
        <v>193</v>
      </c>
      <c r="B17" s="176"/>
      <c r="C17" s="169" t="s">
        <v>128</v>
      </c>
      <c r="D17" s="176"/>
      <c r="E17" s="176"/>
      <c r="F17" s="179">
        <v>40160</v>
      </c>
      <c r="G17" s="182">
        <f>+'EXHIBIT C'!H15+'EXHIBIT C(2)'!E18</f>
        <v>27565</v>
      </c>
    </row>
    <row r="18" spans="1:7" ht="20.100000000000001" customHeight="1">
      <c r="A18" s="478"/>
      <c r="B18" s="176"/>
      <c r="C18" s="176"/>
      <c r="D18" s="176"/>
      <c r="E18" s="176"/>
      <c r="F18" s="180"/>
      <c r="G18" s="182"/>
    </row>
    <row r="19" spans="1:7" ht="20.100000000000001" customHeight="1">
      <c r="A19" s="479" t="s">
        <v>275</v>
      </c>
      <c r="B19" s="176"/>
      <c r="C19" s="176"/>
      <c r="D19" s="176"/>
      <c r="E19" s="176"/>
      <c r="F19" s="180"/>
      <c r="G19" s="692">
        <f>SUM(G12:G17)</f>
        <v>11990937</v>
      </c>
    </row>
    <row r="20" spans="1:7" ht="20.100000000000001" customHeight="1">
      <c r="A20" s="478"/>
      <c r="B20" s="176"/>
      <c r="C20" s="176"/>
      <c r="D20" s="176"/>
      <c r="E20" s="176"/>
      <c r="F20" s="180"/>
      <c r="G20" s="183"/>
    </row>
    <row r="21" spans="1:7" ht="20.100000000000001" customHeight="1">
      <c r="A21" s="478" t="s">
        <v>208</v>
      </c>
      <c r="B21" s="176"/>
      <c r="C21" s="176" t="s">
        <v>219</v>
      </c>
      <c r="D21" s="176"/>
      <c r="E21" s="176"/>
      <c r="F21" s="179">
        <v>40301</v>
      </c>
      <c r="G21" s="1151">
        <f>+'EXHIBIT C'!F19+'EXHIBIT C(2)'!E22</f>
        <v>0</v>
      </c>
    </row>
    <row r="22" spans="1:7" ht="20.100000000000001" customHeight="1">
      <c r="A22" s="478" t="s">
        <v>208</v>
      </c>
      <c r="B22" s="176"/>
      <c r="C22" s="169" t="s">
        <v>125</v>
      </c>
      <c r="D22" s="176"/>
      <c r="E22" s="176"/>
      <c r="F22" s="180" t="s">
        <v>227</v>
      </c>
      <c r="G22" s="1151">
        <f>+'EXHIBIT C'!F20+'EXHIBIT C(2)'!E23</f>
        <v>244115</v>
      </c>
    </row>
    <row r="23" spans="1:7" ht="20.100000000000001" customHeight="1">
      <c r="A23" s="478" t="s">
        <v>208</v>
      </c>
      <c r="B23" s="176"/>
      <c r="C23" s="176" t="s">
        <v>126</v>
      </c>
      <c r="D23" s="176"/>
      <c r="E23" s="176"/>
      <c r="F23" s="180" t="s">
        <v>228</v>
      </c>
      <c r="G23" s="1152">
        <f>+'EXHIBIT C'!F21+'EXHIBIT C(2)'!E24</f>
        <v>139494</v>
      </c>
    </row>
    <row r="24" spans="1:7" ht="20.100000000000001" customHeight="1">
      <c r="A24" s="478" t="s">
        <v>208</v>
      </c>
      <c r="B24" s="176"/>
      <c r="C24" s="181" t="s">
        <v>273</v>
      </c>
      <c r="D24" s="176"/>
      <c r="E24" s="176"/>
      <c r="F24" s="180" t="s">
        <v>229</v>
      </c>
      <c r="G24" s="1152">
        <f>+'EXHIBIT C'!F22+'EXHIBIT C(2)'!E25</f>
        <v>19817</v>
      </c>
    </row>
    <row r="25" spans="1:7" ht="20.100000000000001" customHeight="1">
      <c r="A25" s="478" t="s">
        <v>208</v>
      </c>
      <c r="B25" s="176"/>
      <c r="C25" s="181" t="s">
        <v>274</v>
      </c>
      <c r="D25" s="176"/>
      <c r="E25" s="176"/>
      <c r="F25" s="180" t="s">
        <v>230</v>
      </c>
      <c r="G25" s="1152">
        <f>+'EXHIBIT C'!F23+'EXHIBIT C(2)'!E26</f>
        <v>20924</v>
      </c>
    </row>
    <row r="26" spans="1:7" ht="20.100000000000001" customHeight="1">
      <c r="A26" s="478" t="s">
        <v>208</v>
      </c>
      <c r="B26" s="176"/>
      <c r="C26" s="169" t="s">
        <v>128</v>
      </c>
      <c r="D26" s="176"/>
      <c r="E26" s="176"/>
      <c r="F26" s="179">
        <v>40360</v>
      </c>
      <c r="G26" s="1152">
        <f>+'EXHIBIT C'!F24+'EXHIBIT C(2)'!E27</f>
        <v>0</v>
      </c>
    </row>
    <row r="27" spans="1:7" ht="20.100000000000001" customHeight="1">
      <c r="A27" s="478" t="s">
        <v>208</v>
      </c>
      <c r="B27" s="176"/>
      <c r="C27" s="169" t="s">
        <v>735</v>
      </c>
      <c r="D27" s="176"/>
      <c r="E27" s="176"/>
      <c r="F27" s="179" t="s">
        <v>736</v>
      </c>
      <c r="G27" s="1152">
        <f>+'EXHIBIT C'!F25+'EXHIBIT C(2)'!E28</f>
        <v>0</v>
      </c>
    </row>
    <row r="28" spans="1:7" ht="20.100000000000001" customHeight="1">
      <c r="A28" s="478"/>
      <c r="B28" s="176"/>
      <c r="C28" s="176"/>
      <c r="D28" s="176"/>
      <c r="E28" s="176"/>
      <c r="F28" s="180"/>
      <c r="G28" s="184"/>
    </row>
    <row r="29" spans="1:7" ht="20.100000000000001" customHeight="1">
      <c r="A29" s="479" t="s">
        <v>276</v>
      </c>
      <c r="B29" s="176"/>
      <c r="C29" s="176"/>
      <c r="D29" s="176"/>
      <c r="E29" s="176"/>
      <c r="F29" s="180"/>
      <c r="G29" s="693">
        <f>SUM(G21:G27)</f>
        <v>424350</v>
      </c>
    </row>
    <row r="30" spans="1:7" ht="20.100000000000001" customHeight="1">
      <c r="A30" s="478"/>
      <c r="B30" s="176"/>
      <c r="C30" s="176"/>
      <c r="D30" s="176"/>
      <c r="E30" s="176"/>
      <c r="F30" s="180"/>
      <c r="G30" s="185"/>
    </row>
    <row r="31" spans="1:7" ht="20.100000000000001" customHeight="1">
      <c r="A31" s="478" t="s">
        <v>277</v>
      </c>
      <c r="B31" s="176"/>
      <c r="C31" s="821" t="s">
        <v>238</v>
      </c>
      <c r="D31" s="821"/>
      <c r="E31" s="821"/>
      <c r="F31" s="180" t="s">
        <v>239</v>
      </c>
      <c r="G31" s="182">
        <f>'EXHIBIT C'!H33</f>
        <v>0</v>
      </c>
    </row>
    <row r="32" spans="1:7" ht="20.100000000000001" customHeight="1">
      <c r="A32" s="478" t="s">
        <v>277</v>
      </c>
      <c r="B32" s="176"/>
      <c r="C32" s="169" t="s">
        <v>240</v>
      </c>
      <c r="D32" s="176"/>
      <c r="E32" s="176"/>
      <c r="F32" s="180" t="s">
        <v>241</v>
      </c>
      <c r="G32" s="182">
        <f>'EXHIBIT C'!H34</f>
        <v>0</v>
      </c>
    </row>
    <row r="33" spans="1:7" ht="20.100000000000001" customHeight="1">
      <c r="A33" s="478" t="s">
        <v>278</v>
      </c>
      <c r="B33" s="176"/>
      <c r="C33" s="176" t="s">
        <v>238</v>
      </c>
      <c r="D33" s="176"/>
      <c r="E33" s="176"/>
      <c r="F33" s="180" t="s">
        <v>239</v>
      </c>
      <c r="G33" s="182">
        <f>'EXHIBIT C'!H35</f>
        <v>0</v>
      </c>
    </row>
    <row r="34" spans="1:7" ht="20.100000000000001" customHeight="1">
      <c r="A34" s="478" t="s">
        <v>278</v>
      </c>
      <c r="B34" s="176"/>
      <c r="C34" s="169" t="s">
        <v>240</v>
      </c>
      <c r="D34" s="176"/>
      <c r="E34" s="176"/>
      <c r="F34" s="180" t="s">
        <v>241</v>
      </c>
      <c r="G34" s="182">
        <f>'EXHIBIT C'!H36</f>
        <v>0</v>
      </c>
    </row>
    <row r="35" spans="1:7" ht="20.100000000000001" customHeight="1">
      <c r="A35" s="478"/>
      <c r="B35" s="176"/>
      <c r="C35" s="176"/>
      <c r="D35" s="176"/>
      <c r="E35" s="176"/>
      <c r="F35" s="180"/>
      <c r="G35" s="186"/>
    </row>
    <row r="36" spans="1:7" ht="20.100000000000001" customHeight="1">
      <c r="A36" s="479" t="s">
        <v>279</v>
      </c>
      <c r="B36" s="176"/>
      <c r="C36" s="176"/>
      <c r="D36" s="176"/>
      <c r="E36" s="176"/>
      <c r="F36" s="180"/>
      <c r="G36" s="693">
        <f>SUM(G31:G34)</f>
        <v>0</v>
      </c>
    </row>
    <row r="37" spans="1:7" ht="20.100000000000001" customHeight="1">
      <c r="A37" s="478"/>
      <c r="B37" s="176"/>
      <c r="C37" s="176"/>
      <c r="D37" s="176"/>
      <c r="E37" s="176"/>
      <c r="F37" s="180"/>
      <c r="G37" s="184"/>
    </row>
    <row r="38" spans="1:7" ht="20.100000000000001" customHeight="1">
      <c r="A38" s="478" t="s">
        <v>280</v>
      </c>
      <c r="B38" s="176"/>
      <c r="C38" s="176" t="s">
        <v>238</v>
      </c>
      <c r="D38" s="176"/>
      <c r="E38" s="176"/>
      <c r="F38" s="180" t="s">
        <v>245</v>
      </c>
      <c r="G38" s="1152">
        <f>'EXHIBIT C'!F40</f>
        <v>0</v>
      </c>
    </row>
    <row r="39" spans="1:7" ht="20.100000000000001" customHeight="1">
      <c r="A39" s="478" t="s">
        <v>280</v>
      </c>
      <c r="B39" s="176"/>
      <c r="C39" s="822" t="s">
        <v>240</v>
      </c>
      <c r="D39" s="822"/>
      <c r="E39" s="822"/>
      <c r="F39" s="180" t="s">
        <v>246</v>
      </c>
      <c r="G39" s="1152">
        <f>'EXHIBIT C'!F41</f>
        <v>0</v>
      </c>
    </row>
    <row r="40" spans="1:7" ht="20.100000000000001" customHeight="1">
      <c r="A40" s="478" t="s">
        <v>281</v>
      </c>
      <c r="B40" s="176"/>
      <c r="C40" s="176" t="s">
        <v>238</v>
      </c>
      <c r="D40" s="176"/>
      <c r="E40" s="176"/>
      <c r="F40" s="180" t="s">
        <v>245</v>
      </c>
      <c r="G40" s="1152">
        <f>'EXHIBIT C'!F42</f>
        <v>0</v>
      </c>
    </row>
    <row r="41" spans="1:7" ht="20.100000000000001" customHeight="1">
      <c r="A41" s="478" t="s">
        <v>281</v>
      </c>
      <c r="B41" s="176"/>
      <c r="C41" s="822" t="s">
        <v>240</v>
      </c>
      <c r="D41" s="822"/>
      <c r="E41" s="822"/>
      <c r="F41" s="180" t="s">
        <v>246</v>
      </c>
      <c r="G41" s="1152">
        <f>'EXHIBIT C'!F43</f>
        <v>0</v>
      </c>
    </row>
    <row r="42" spans="1:7" ht="20.100000000000001" customHeight="1">
      <c r="A42" s="478"/>
      <c r="B42" s="176"/>
      <c r="C42" s="176"/>
      <c r="D42" s="176"/>
      <c r="E42" s="176"/>
      <c r="F42" s="180"/>
      <c r="G42" s="184"/>
    </row>
    <row r="43" spans="1:7" ht="20.100000000000001" customHeight="1">
      <c r="A43" s="479" t="s">
        <v>282</v>
      </c>
      <c r="B43" s="176"/>
      <c r="C43" s="176"/>
      <c r="D43" s="176"/>
      <c r="E43" s="176"/>
      <c r="F43" s="180"/>
      <c r="G43" s="693">
        <f>SUM(G38:G42)</f>
        <v>0</v>
      </c>
    </row>
    <row r="44" spans="1:7" ht="20.100000000000001" customHeight="1">
      <c r="A44" s="478"/>
      <c r="B44" s="176"/>
      <c r="C44" s="176"/>
      <c r="D44" s="176"/>
      <c r="E44" s="176"/>
      <c r="F44" s="180"/>
      <c r="G44" s="185"/>
    </row>
    <row r="45" spans="1:7" ht="20.100000000000001" customHeight="1">
      <c r="A45" s="479" t="s">
        <v>283</v>
      </c>
      <c r="B45" s="176"/>
      <c r="C45" s="176"/>
      <c r="D45" s="176"/>
      <c r="E45" s="176"/>
      <c r="F45" s="180"/>
      <c r="G45" s="694">
        <f>G19+G29+G36+G43</f>
        <v>12415287</v>
      </c>
    </row>
    <row r="46" spans="1:7" ht="20.100000000000001" customHeight="1">
      <c r="A46" s="478"/>
      <c r="B46" s="176"/>
      <c r="C46" s="176"/>
      <c r="D46" s="176"/>
      <c r="E46" s="176"/>
      <c r="F46" s="180"/>
      <c r="G46" s="184"/>
    </row>
    <row r="47" spans="1:7" ht="20.100000000000001" customHeight="1">
      <c r="A47" s="478" t="s">
        <v>284</v>
      </c>
      <c r="B47" s="176"/>
      <c r="C47" s="176"/>
      <c r="D47" s="176"/>
      <c r="E47" s="176"/>
      <c r="F47" s="180" t="s">
        <v>285</v>
      </c>
      <c r="G47" s="1153">
        <v>0</v>
      </c>
    </row>
    <row r="48" spans="1:7" ht="20.100000000000001" customHeight="1">
      <c r="A48" s="478" t="s">
        <v>286</v>
      </c>
      <c r="B48" s="187"/>
      <c r="C48" s="187"/>
      <c r="D48" s="187"/>
      <c r="E48" s="187"/>
      <c r="F48" s="188" t="s">
        <v>287</v>
      </c>
      <c r="G48" s="1153">
        <v>190000</v>
      </c>
    </row>
    <row r="49" spans="1:7" ht="20.100000000000001" customHeight="1">
      <c r="A49" s="478" t="s">
        <v>288</v>
      </c>
      <c r="C49" s="187"/>
      <c r="D49" s="187"/>
      <c r="E49" s="187"/>
      <c r="F49" s="188" t="s">
        <v>289</v>
      </c>
      <c r="G49" s="1153">
        <v>0</v>
      </c>
    </row>
    <row r="50" spans="1:7" ht="20.100000000000001" customHeight="1">
      <c r="A50" s="478" t="s">
        <v>290</v>
      </c>
      <c r="B50" s="176"/>
      <c r="C50" s="176"/>
      <c r="D50" s="176"/>
      <c r="E50" s="176"/>
      <c r="F50" s="180" t="s">
        <v>291</v>
      </c>
      <c r="G50" s="1153">
        <v>0</v>
      </c>
    </row>
    <row r="51" spans="1:7" ht="20.100000000000001" customHeight="1">
      <c r="A51" s="478" t="s">
        <v>774</v>
      </c>
      <c r="B51" s="176"/>
      <c r="C51" s="176"/>
      <c r="D51" s="176"/>
      <c r="E51" s="176"/>
      <c r="F51" s="195">
        <v>40280</v>
      </c>
      <c r="G51" s="1153">
        <v>1472974</v>
      </c>
    </row>
    <row r="52" spans="1:7" ht="20.100000000000001" customHeight="1">
      <c r="A52" s="478" t="s">
        <v>292</v>
      </c>
      <c r="B52" s="176"/>
      <c r="C52" s="176"/>
      <c r="D52" s="176"/>
      <c r="E52" s="176"/>
      <c r="F52" s="180" t="s">
        <v>293</v>
      </c>
      <c r="G52" s="1153">
        <v>669000</v>
      </c>
    </row>
    <row r="53" spans="1:7" ht="20.100000000000001" customHeight="1">
      <c r="A53" s="478" t="s">
        <v>294</v>
      </c>
      <c r="B53" s="176"/>
      <c r="C53" s="176"/>
      <c r="D53" s="176"/>
      <c r="E53" s="176"/>
      <c r="F53" s="179">
        <v>40450</v>
      </c>
      <c r="G53" s="1153">
        <v>1059000</v>
      </c>
    </row>
    <row r="54" spans="1:7" ht="20.100000000000001" customHeight="1">
      <c r="A54" s="478" t="s">
        <v>295</v>
      </c>
      <c r="B54" s="176"/>
      <c r="C54" s="176"/>
      <c r="D54" s="176"/>
      <c r="E54" s="176"/>
      <c r="F54" s="180" t="s">
        <v>296</v>
      </c>
      <c r="G54" s="1153">
        <v>130000</v>
      </c>
    </row>
    <row r="55" spans="1:7" ht="20.100000000000001" customHeight="1">
      <c r="A55" s="478" t="s">
        <v>297</v>
      </c>
      <c r="B55" s="176"/>
      <c r="C55" s="176"/>
      <c r="D55" s="176"/>
      <c r="E55" s="176"/>
      <c r="F55" s="188" t="s">
        <v>298</v>
      </c>
      <c r="G55" s="1153">
        <v>1000</v>
      </c>
    </row>
    <row r="56" spans="1:7" ht="20.100000000000001" customHeight="1">
      <c r="A56" s="478" t="s">
        <v>299</v>
      </c>
      <c r="B56" s="176"/>
      <c r="C56" s="176"/>
      <c r="D56" s="176"/>
      <c r="E56" s="176"/>
      <c r="F56" s="180" t="s">
        <v>300</v>
      </c>
      <c r="G56" s="1153">
        <v>40000</v>
      </c>
    </row>
    <row r="57" spans="1:7" ht="20.100000000000001" customHeight="1">
      <c r="A57" s="478" t="s">
        <v>301</v>
      </c>
      <c r="B57" s="176"/>
      <c r="C57" s="176"/>
      <c r="D57" s="176"/>
      <c r="E57" s="176"/>
      <c r="F57" s="188" t="s">
        <v>302</v>
      </c>
      <c r="G57" s="1153">
        <v>0</v>
      </c>
    </row>
    <row r="58" spans="1:7" ht="20.100000000000001" customHeight="1">
      <c r="A58" s="478" t="s">
        <v>303</v>
      </c>
      <c r="B58" s="176"/>
      <c r="C58" s="176"/>
      <c r="D58" s="176"/>
      <c r="E58" s="176"/>
      <c r="F58" s="180" t="s">
        <v>304</v>
      </c>
      <c r="G58" s="1153">
        <v>20000</v>
      </c>
    </row>
    <row r="59" spans="1:7" ht="20.100000000000001" customHeight="1">
      <c r="A59" s="478" t="s">
        <v>305</v>
      </c>
      <c r="B59" s="176"/>
      <c r="C59" s="176"/>
      <c r="D59" s="176"/>
      <c r="E59" s="176"/>
      <c r="F59" s="180" t="s">
        <v>306</v>
      </c>
      <c r="G59" s="1153">
        <v>0</v>
      </c>
    </row>
    <row r="60" spans="1:7" ht="20.100000000000001" customHeight="1">
      <c r="A60" s="478" t="s">
        <v>307</v>
      </c>
      <c r="B60" s="176"/>
      <c r="C60" s="176"/>
      <c r="D60" s="176"/>
      <c r="E60" s="176"/>
      <c r="F60" s="189" t="s">
        <v>308</v>
      </c>
      <c r="G60" s="1153">
        <v>620971</v>
      </c>
    </row>
    <row r="61" spans="1:7" ht="20.100000000000001" customHeight="1">
      <c r="A61" s="478" t="s">
        <v>309</v>
      </c>
      <c r="B61" s="176"/>
      <c r="C61" s="176"/>
      <c r="D61" s="176"/>
      <c r="E61" s="176"/>
      <c r="F61" s="180" t="s">
        <v>310</v>
      </c>
      <c r="G61" s="1153">
        <v>719000</v>
      </c>
    </row>
    <row r="62" spans="1:7" ht="20.100000000000001" customHeight="1">
      <c r="A62" s="478" t="s">
        <v>311</v>
      </c>
      <c r="B62" s="176"/>
      <c r="C62" s="176"/>
      <c r="D62" s="176"/>
      <c r="E62" s="176"/>
      <c r="F62" s="188" t="s">
        <v>312</v>
      </c>
      <c r="G62" s="1153">
        <v>0</v>
      </c>
    </row>
    <row r="63" spans="1:7" ht="20.100000000000001" customHeight="1">
      <c r="A63" s="478" t="s">
        <v>313</v>
      </c>
      <c r="B63" s="176"/>
      <c r="C63" s="176"/>
      <c r="D63" s="176"/>
      <c r="E63" s="176"/>
      <c r="F63" s="188" t="s">
        <v>314</v>
      </c>
      <c r="G63" s="1153">
        <v>0</v>
      </c>
    </row>
    <row r="64" spans="1:7" ht="20.100000000000001" customHeight="1">
      <c r="A64" s="478"/>
      <c r="B64" s="176"/>
      <c r="C64" s="176"/>
      <c r="D64" s="176"/>
      <c r="E64" s="176"/>
      <c r="F64" s="180"/>
      <c r="G64" s="695"/>
    </row>
    <row r="65" spans="1:7" ht="20.100000000000001" customHeight="1">
      <c r="A65" s="479" t="s">
        <v>315</v>
      </c>
      <c r="B65" s="176"/>
      <c r="C65" s="176"/>
      <c r="D65" s="176"/>
      <c r="E65" s="176"/>
      <c r="F65" s="180"/>
      <c r="G65" s="696">
        <f>SUM(G45:G63)</f>
        <v>17337232</v>
      </c>
    </row>
    <row r="66" spans="1:7" ht="20.100000000000001" customHeight="1">
      <c r="A66" s="478"/>
      <c r="B66" s="176"/>
      <c r="C66" s="176"/>
      <c r="D66" s="176"/>
      <c r="E66" s="176"/>
      <c r="F66" s="180"/>
      <c r="G66" s="184"/>
    </row>
    <row r="67" spans="1:7" ht="20.100000000000001" customHeight="1">
      <c r="A67" s="823" t="s">
        <v>316</v>
      </c>
      <c r="B67" s="824"/>
      <c r="C67" s="824"/>
      <c r="D67" s="824"/>
      <c r="E67" s="824"/>
      <c r="F67" s="825"/>
      <c r="G67" s="697"/>
    </row>
    <row r="68" spans="1:7" ht="20.100000000000001" customHeight="1">
      <c r="A68" s="478"/>
      <c r="B68" s="176"/>
      <c r="C68" s="176"/>
      <c r="D68" s="176"/>
      <c r="E68" s="176"/>
      <c r="F68" s="180"/>
      <c r="G68" s="184"/>
    </row>
    <row r="69" spans="1:7" ht="20.100000000000001" customHeight="1">
      <c r="A69" s="478" t="s">
        <v>317</v>
      </c>
      <c r="B69" s="176"/>
      <c r="C69" s="176"/>
      <c r="D69" s="176"/>
      <c r="E69" s="176"/>
      <c r="F69" s="180" t="s">
        <v>318</v>
      </c>
      <c r="G69" s="1153">
        <v>0</v>
      </c>
    </row>
    <row r="70" spans="1:7" ht="20.100000000000001" customHeight="1">
      <c r="A70" s="478" t="s">
        <v>319</v>
      </c>
      <c r="B70" s="176"/>
      <c r="C70" s="176"/>
      <c r="D70" s="176"/>
      <c r="E70" s="176"/>
      <c r="F70" s="180" t="s">
        <v>320</v>
      </c>
      <c r="G70" s="1153">
        <v>0</v>
      </c>
    </row>
    <row r="71" spans="1:7" ht="20.100000000000001" customHeight="1">
      <c r="A71" s="478" t="s">
        <v>321</v>
      </c>
      <c r="B71" s="176"/>
      <c r="C71" s="176"/>
      <c r="D71" s="176"/>
      <c r="E71" s="176"/>
      <c r="F71" s="180" t="s">
        <v>322</v>
      </c>
      <c r="G71" s="1153">
        <v>0</v>
      </c>
    </row>
    <row r="72" spans="1:7" ht="20.100000000000001" customHeight="1">
      <c r="A72" s="478"/>
      <c r="B72" s="176"/>
      <c r="C72" s="176"/>
      <c r="D72" s="176"/>
      <c r="E72" s="176"/>
      <c r="F72" s="180"/>
      <c r="G72" s="695"/>
    </row>
    <row r="73" spans="1:7" ht="20.100000000000001" customHeight="1">
      <c r="A73" s="479" t="s">
        <v>323</v>
      </c>
      <c r="B73" s="176"/>
      <c r="C73" s="176"/>
      <c r="D73" s="176"/>
      <c r="E73" s="176"/>
      <c r="F73" s="180"/>
      <c r="G73" s="210">
        <f>SUM(G69:G71)</f>
        <v>0</v>
      </c>
    </row>
    <row r="74" spans="1:7" ht="20.100000000000001" customHeight="1">
      <c r="A74" s="698"/>
      <c r="B74" s="545"/>
      <c r="C74" s="545"/>
      <c r="D74" s="545"/>
      <c r="E74" s="545"/>
      <c r="F74" s="546"/>
      <c r="G74" s="699"/>
    </row>
    <row r="75" spans="1:7" ht="20.100000000000001" customHeight="1">
      <c r="A75" s="823" t="s">
        <v>324</v>
      </c>
      <c r="B75" s="824"/>
      <c r="C75" s="824"/>
      <c r="D75" s="824"/>
      <c r="E75" s="824"/>
      <c r="F75" s="825"/>
      <c r="G75" s="592"/>
    </row>
    <row r="76" spans="1:7" ht="20.100000000000001" customHeight="1">
      <c r="A76" s="478"/>
      <c r="B76" s="176"/>
      <c r="C76" s="176"/>
      <c r="D76" s="176"/>
      <c r="E76" s="176"/>
      <c r="F76" s="180"/>
      <c r="G76" s="190"/>
    </row>
    <row r="77" spans="1:7" ht="20.100000000000001" customHeight="1">
      <c r="A77" s="478" t="s">
        <v>325</v>
      </c>
      <c r="B77" s="176"/>
      <c r="C77" s="176"/>
      <c r="D77" s="176"/>
      <c r="E77" s="176"/>
      <c r="F77" s="180" t="s">
        <v>326</v>
      </c>
      <c r="G77" s="1154">
        <f>'CHECK SHEET'!D84</f>
        <v>43644249.785152897</v>
      </c>
    </row>
    <row r="78" spans="1:7" ht="20.100000000000001" customHeight="1">
      <c r="A78" s="478" t="s">
        <v>689</v>
      </c>
      <c r="B78" s="176"/>
      <c r="C78" s="176"/>
      <c r="D78" s="176"/>
      <c r="E78" s="176"/>
      <c r="F78" s="179">
        <v>42130</v>
      </c>
      <c r="G78" s="1155">
        <v>2453045</v>
      </c>
    </row>
    <row r="79" spans="1:7" ht="20.100000000000001" customHeight="1">
      <c r="A79" s="480" t="s">
        <v>327</v>
      </c>
      <c r="B79" s="481"/>
      <c r="C79" s="481"/>
      <c r="D79" s="481"/>
      <c r="E79" s="481"/>
      <c r="F79" s="191" t="s">
        <v>328</v>
      </c>
      <c r="G79" s="1153">
        <v>656969</v>
      </c>
    </row>
    <row r="80" spans="1:7" ht="20.100000000000001" customHeight="1">
      <c r="A80" s="478" t="s">
        <v>329</v>
      </c>
      <c r="B80" s="176"/>
      <c r="C80" s="176"/>
      <c r="D80" s="176"/>
      <c r="E80" s="176"/>
      <c r="F80" s="180" t="s">
        <v>330</v>
      </c>
      <c r="G80" s="1155">
        <v>4000</v>
      </c>
    </row>
    <row r="81" spans="1:10" ht="20.100000000000001" customHeight="1">
      <c r="A81" s="478" t="s">
        <v>707</v>
      </c>
      <c r="B81" s="176"/>
      <c r="C81" s="176"/>
      <c r="D81" s="176"/>
      <c r="E81" s="176"/>
      <c r="F81" s="180" t="s">
        <v>331</v>
      </c>
      <c r="G81" s="1155">
        <v>400000</v>
      </c>
    </row>
    <row r="82" spans="1:10" ht="20.100000000000001" customHeight="1">
      <c r="A82" s="478" t="s">
        <v>332</v>
      </c>
      <c r="B82" s="176"/>
      <c r="C82" s="176"/>
      <c r="D82" s="176"/>
      <c r="E82" s="176"/>
      <c r="F82" s="180" t="s">
        <v>333</v>
      </c>
      <c r="G82" s="1154">
        <f>'CHECK SHEET'!D86</f>
        <v>6373548.2148470599</v>
      </c>
    </row>
    <row r="83" spans="1:10" ht="20.100000000000001" customHeight="1">
      <c r="A83" s="482" t="s">
        <v>334</v>
      </c>
      <c r="B83" s="483"/>
      <c r="C83" s="483"/>
      <c r="D83" s="483"/>
      <c r="E83" s="483"/>
      <c r="F83" s="190" t="s">
        <v>335</v>
      </c>
      <c r="G83" s="1155">
        <v>0</v>
      </c>
    </row>
    <row r="84" spans="1:10" ht="20.100000000000001" customHeight="1">
      <c r="A84" s="478" t="s">
        <v>336</v>
      </c>
      <c r="B84" s="176"/>
      <c r="C84" s="176"/>
      <c r="D84" s="176"/>
      <c r="E84" s="176"/>
      <c r="F84" s="180" t="s">
        <v>337</v>
      </c>
      <c r="G84" s="1155">
        <v>1000</v>
      </c>
    </row>
    <row r="85" spans="1:10" ht="20.100000000000001" customHeight="1">
      <c r="A85" s="478"/>
      <c r="B85" s="176"/>
      <c r="C85" s="176"/>
      <c r="D85" s="176"/>
      <c r="E85" s="176"/>
      <c r="F85" s="180"/>
      <c r="G85" s="700"/>
    </row>
    <row r="86" spans="1:10" ht="20.100000000000001" customHeight="1">
      <c r="A86" s="479" t="s">
        <v>338</v>
      </c>
      <c r="B86" s="176"/>
      <c r="C86" s="176"/>
      <c r="D86" s="176"/>
      <c r="E86" s="176"/>
      <c r="F86" s="180"/>
      <c r="G86" s="211">
        <f>SUM(G77:G84)</f>
        <v>53532811.999999955</v>
      </c>
    </row>
    <row r="87" spans="1:10" ht="20.100000000000001" customHeight="1">
      <c r="A87" s="698"/>
      <c r="B87" s="545"/>
      <c r="C87" s="545"/>
      <c r="D87" s="545"/>
      <c r="E87" s="545"/>
      <c r="F87" s="546"/>
      <c r="G87" s="699"/>
    </row>
    <row r="88" spans="1:10" ht="20.100000000000001" customHeight="1">
      <c r="A88" s="826" t="s">
        <v>339</v>
      </c>
      <c r="B88" s="827"/>
      <c r="C88" s="827"/>
      <c r="D88" s="827"/>
      <c r="E88" s="827"/>
      <c r="F88" s="828"/>
      <c r="G88" s="592"/>
    </row>
    <row r="89" spans="1:10" ht="20.100000000000001" customHeight="1">
      <c r="A89" s="478"/>
      <c r="B89" s="176"/>
      <c r="C89" s="176"/>
      <c r="D89" s="176"/>
      <c r="E89" s="176"/>
      <c r="F89" s="180"/>
      <c r="G89" s="190"/>
    </row>
    <row r="90" spans="1:10" ht="20.100000000000001" customHeight="1">
      <c r="A90" s="478" t="s">
        <v>340</v>
      </c>
      <c r="B90" s="176"/>
      <c r="C90" s="176"/>
      <c r="D90" s="176"/>
      <c r="E90" s="176"/>
      <c r="F90" s="180" t="s">
        <v>341</v>
      </c>
      <c r="G90" s="432">
        <v>0</v>
      </c>
    </row>
    <row r="91" spans="1:10" ht="20.100000000000001" customHeight="1">
      <c r="A91" s="478" t="s">
        <v>342</v>
      </c>
      <c r="B91" s="176"/>
      <c r="C91" s="176"/>
      <c r="D91" s="176"/>
      <c r="E91" s="176"/>
      <c r="F91" s="972">
        <v>43518</v>
      </c>
      <c r="G91" s="433">
        <v>0</v>
      </c>
      <c r="J91" s="192"/>
    </row>
    <row r="92" spans="1:10" ht="20.100000000000001" customHeight="1">
      <c r="A92" s="478" t="s">
        <v>343</v>
      </c>
      <c r="B92" s="176"/>
      <c r="C92" s="176"/>
      <c r="D92" s="176"/>
      <c r="E92" s="176"/>
      <c r="F92" s="972">
        <v>43519</v>
      </c>
      <c r="G92" s="433">
        <v>0</v>
      </c>
    </row>
    <row r="93" spans="1:10" ht="20.100000000000001" customHeight="1">
      <c r="A93" s="478" t="s">
        <v>7</v>
      </c>
      <c r="B93" s="176"/>
      <c r="C93" s="176"/>
      <c r="D93" s="176"/>
      <c r="E93" s="176"/>
      <c r="F93" s="195">
        <v>43521</v>
      </c>
      <c r="G93" s="433">
        <v>0</v>
      </c>
    </row>
    <row r="94" spans="1:10" ht="20.100000000000001" customHeight="1">
      <c r="A94" s="478" t="s">
        <v>8</v>
      </c>
      <c r="B94" s="176"/>
      <c r="C94" s="176"/>
      <c r="D94" s="176"/>
      <c r="E94" s="176"/>
      <c r="F94" s="195">
        <v>43526</v>
      </c>
      <c r="G94" s="433">
        <v>0</v>
      </c>
    </row>
    <row r="95" spans="1:10" ht="20.100000000000001" customHeight="1">
      <c r="A95" s="478" t="s">
        <v>344</v>
      </c>
      <c r="B95" s="176"/>
      <c r="C95" s="176"/>
      <c r="D95" s="176"/>
      <c r="E95" s="176"/>
      <c r="F95" s="180" t="s">
        <v>345</v>
      </c>
      <c r="G95" s="1145">
        <v>60000</v>
      </c>
    </row>
    <row r="96" spans="1:10" ht="20.100000000000001" customHeight="1">
      <c r="A96" s="573"/>
      <c r="B96" s="547"/>
      <c r="C96" s="547"/>
      <c r="D96" s="547"/>
      <c r="E96" s="547"/>
      <c r="F96" s="563"/>
      <c r="G96" s="700"/>
    </row>
    <row r="97" spans="1:7" ht="20.100000000000001" customHeight="1">
      <c r="A97" s="479" t="s">
        <v>346</v>
      </c>
      <c r="B97" s="176"/>
      <c r="C97" s="176"/>
      <c r="D97" s="176"/>
      <c r="E97" s="176"/>
      <c r="F97" s="193"/>
      <c r="G97" s="701">
        <f>SUM(G90:G95)</f>
        <v>60000</v>
      </c>
    </row>
    <row r="98" spans="1:7" ht="20.100000000000001" customHeight="1">
      <c r="A98" s="478"/>
      <c r="B98" s="176"/>
      <c r="C98" s="176"/>
      <c r="D98" s="176"/>
      <c r="E98" s="176"/>
      <c r="F98" s="180"/>
      <c r="G98" s="194"/>
    </row>
    <row r="99" spans="1:7" ht="20.100000000000001" customHeight="1">
      <c r="A99" s="829" t="s">
        <v>347</v>
      </c>
      <c r="B99" s="830"/>
      <c r="C99" s="830"/>
      <c r="D99" s="830"/>
      <c r="E99" s="830"/>
      <c r="F99" s="831"/>
      <c r="G99" s="702"/>
    </row>
    <row r="100" spans="1:7" ht="20.100000000000001" customHeight="1">
      <c r="A100" s="478"/>
      <c r="B100" s="176"/>
      <c r="C100" s="176"/>
      <c r="D100" s="176"/>
      <c r="E100" s="176"/>
      <c r="F100" s="180"/>
      <c r="G100" s="194"/>
    </row>
    <row r="101" spans="1:7" ht="20.100000000000001" customHeight="1">
      <c r="A101" s="478" t="s">
        <v>348</v>
      </c>
      <c r="B101" s="176"/>
      <c r="C101" s="176"/>
      <c r="D101" s="176"/>
      <c r="E101" s="176"/>
      <c r="F101" s="180" t="s">
        <v>349</v>
      </c>
      <c r="G101" s="432">
        <v>0</v>
      </c>
    </row>
    <row r="102" spans="1:7" ht="20.100000000000001" customHeight="1">
      <c r="A102" s="478" t="s">
        <v>350</v>
      </c>
      <c r="B102" s="176"/>
      <c r="C102" s="176"/>
      <c r="D102" s="176"/>
      <c r="E102" s="176"/>
      <c r="F102" s="180" t="s">
        <v>351</v>
      </c>
      <c r="G102" s="432">
        <v>0</v>
      </c>
    </row>
    <row r="103" spans="1:7" ht="20.100000000000001" customHeight="1">
      <c r="A103" s="478" t="s">
        <v>352</v>
      </c>
      <c r="B103" s="176"/>
      <c r="C103" s="176"/>
      <c r="D103" s="176"/>
      <c r="E103" s="176"/>
      <c r="F103" s="195">
        <v>44400</v>
      </c>
      <c r="G103" s="433">
        <v>33000</v>
      </c>
    </row>
    <row r="104" spans="1:7" ht="20.100000000000001" customHeight="1">
      <c r="A104" s="478" t="s">
        <v>353</v>
      </c>
      <c r="B104" s="176"/>
      <c r="C104" s="176"/>
      <c r="D104" s="176"/>
      <c r="E104" s="176"/>
      <c r="F104" s="180" t="s">
        <v>354</v>
      </c>
      <c r="G104" s="432">
        <v>0</v>
      </c>
    </row>
    <row r="105" spans="1:7" ht="20.100000000000001" customHeight="1">
      <c r="A105" s="478"/>
      <c r="B105" s="176"/>
      <c r="C105" s="176"/>
      <c r="D105" s="176"/>
      <c r="E105" s="176"/>
      <c r="F105" s="180"/>
      <c r="G105" s="703"/>
    </row>
    <row r="106" spans="1:7" ht="20.100000000000001" customHeight="1">
      <c r="A106" s="479" t="s">
        <v>355</v>
      </c>
      <c r="B106" s="176"/>
      <c r="C106" s="176"/>
      <c r="D106" s="176"/>
      <c r="E106" s="176"/>
      <c r="F106" s="180"/>
      <c r="G106" s="701">
        <f>SUM(G101:G104)</f>
        <v>33000</v>
      </c>
    </row>
    <row r="107" spans="1:7" ht="20.100000000000001" customHeight="1">
      <c r="A107" s="478"/>
      <c r="B107" s="176"/>
      <c r="C107" s="176"/>
      <c r="D107" s="176"/>
      <c r="E107" s="176"/>
      <c r="F107" s="180"/>
      <c r="G107" s="194"/>
    </row>
    <row r="108" spans="1:7" ht="20.100000000000001" customHeight="1">
      <c r="A108" s="823" t="s">
        <v>356</v>
      </c>
      <c r="B108" s="824"/>
      <c r="C108" s="824"/>
      <c r="D108" s="824"/>
      <c r="E108" s="824"/>
      <c r="F108" s="825"/>
      <c r="G108" s="704"/>
    </row>
    <row r="109" spans="1:7" ht="20.100000000000001" customHeight="1">
      <c r="A109" s="478"/>
      <c r="B109" s="176"/>
      <c r="C109" s="176"/>
      <c r="D109" s="176"/>
      <c r="E109" s="176"/>
      <c r="F109" s="180"/>
      <c r="G109" s="194"/>
    </row>
    <row r="110" spans="1:7" ht="20.100000000000001" customHeight="1">
      <c r="A110" s="478" t="s">
        <v>357</v>
      </c>
      <c r="B110" s="176"/>
      <c r="C110" s="176"/>
      <c r="D110" s="176"/>
      <c r="E110" s="176"/>
      <c r="F110" s="180" t="s">
        <v>358</v>
      </c>
      <c r="G110" s="432">
        <v>0</v>
      </c>
    </row>
    <row r="111" spans="1:7" ht="20.100000000000001" customHeight="1">
      <c r="A111" s="478" t="s">
        <v>359</v>
      </c>
      <c r="B111" s="176"/>
      <c r="C111" s="176"/>
      <c r="D111" s="176"/>
      <c r="E111" s="176"/>
      <c r="F111" s="180" t="s">
        <v>360</v>
      </c>
      <c r="G111" s="432">
        <v>120000</v>
      </c>
    </row>
    <row r="112" spans="1:7" ht="20.100000000000001" customHeight="1">
      <c r="A112" s="478" t="s">
        <v>361</v>
      </c>
      <c r="B112" s="176"/>
      <c r="C112" s="176"/>
      <c r="D112" s="176"/>
      <c r="E112" s="176"/>
      <c r="F112" s="180" t="s">
        <v>362</v>
      </c>
      <c r="G112" s="432">
        <v>10000</v>
      </c>
    </row>
    <row r="113" spans="1:7" ht="20.100000000000001" customHeight="1">
      <c r="A113" s="478" t="s">
        <v>363</v>
      </c>
      <c r="B113" s="176"/>
      <c r="C113" s="176"/>
      <c r="D113" s="176"/>
      <c r="E113" s="176"/>
      <c r="F113" s="180" t="s">
        <v>364</v>
      </c>
      <c r="G113" s="432">
        <v>0</v>
      </c>
    </row>
    <row r="114" spans="1:7" ht="20.100000000000001" customHeight="1">
      <c r="A114" s="478" t="s">
        <v>365</v>
      </c>
      <c r="B114" s="176"/>
      <c r="C114" s="176"/>
      <c r="D114" s="176"/>
      <c r="E114" s="176"/>
      <c r="F114" s="180" t="s">
        <v>366</v>
      </c>
      <c r="G114" s="1040">
        <v>0</v>
      </c>
    </row>
    <row r="115" spans="1:7" ht="20.100000000000001" customHeight="1">
      <c r="A115" s="478"/>
      <c r="B115" s="176"/>
      <c r="C115" s="176"/>
      <c r="D115" s="176"/>
      <c r="E115" s="176"/>
      <c r="F115" s="180"/>
      <c r="G115" s="703"/>
    </row>
    <row r="116" spans="1:7" ht="20.100000000000001" customHeight="1">
      <c r="A116" s="705" t="s">
        <v>367</v>
      </c>
      <c r="B116" s="706"/>
      <c r="C116" s="706"/>
      <c r="D116" s="706"/>
      <c r="E116" s="706"/>
      <c r="F116" s="707"/>
      <c r="G116" s="701">
        <f>SUM(G110:G114)</f>
        <v>130000</v>
      </c>
    </row>
    <row r="117" spans="1:7" ht="20.100000000000001" customHeight="1">
      <c r="A117" s="478"/>
      <c r="B117" s="176"/>
      <c r="C117" s="176"/>
      <c r="D117" s="176"/>
      <c r="E117" s="176"/>
      <c r="F117" s="484"/>
      <c r="G117" s="485"/>
    </row>
    <row r="118" spans="1:7" ht="20.100000000000001" customHeight="1">
      <c r="A118" s="708" t="s">
        <v>368</v>
      </c>
      <c r="B118" s="548"/>
      <c r="C118" s="548"/>
      <c r="D118" s="548"/>
      <c r="E118" s="548"/>
      <c r="F118" s="549" t="s">
        <v>369</v>
      </c>
      <c r="G118" s="1146">
        <v>0</v>
      </c>
    </row>
    <row r="119" spans="1:7" ht="20.100000000000001" customHeight="1">
      <c r="A119" s="486"/>
      <c r="F119" s="195"/>
      <c r="G119" s="196"/>
    </row>
    <row r="120" spans="1:7" ht="20.100000000000001" customHeight="1">
      <c r="A120" s="479" t="s">
        <v>370</v>
      </c>
      <c r="C120" s="176"/>
      <c r="D120" s="176"/>
      <c r="F120" s="195"/>
      <c r="G120" s="701">
        <f>G118</f>
        <v>0</v>
      </c>
    </row>
    <row r="121" spans="1:7" ht="20.100000000000001" customHeight="1">
      <c r="A121" s="486"/>
      <c r="F121" s="195"/>
      <c r="G121" s="194"/>
    </row>
    <row r="122" spans="1:7" ht="20.100000000000001" customHeight="1">
      <c r="A122" s="829" t="s">
        <v>371</v>
      </c>
      <c r="B122" s="830"/>
      <c r="C122" s="830"/>
      <c r="D122" s="830"/>
      <c r="E122" s="830"/>
      <c r="F122" s="831"/>
      <c r="G122" s="702"/>
    </row>
    <row r="123" spans="1:7" ht="20.100000000000001" customHeight="1">
      <c r="A123" s="478"/>
      <c r="B123" s="176"/>
      <c r="C123" s="176"/>
      <c r="D123" s="176"/>
      <c r="E123" s="176"/>
      <c r="F123" s="180"/>
      <c r="G123" s="194"/>
    </row>
    <row r="124" spans="1:7" ht="20.100000000000001" customHeight="1">
      <c r="A124" s="478" t="s">
        <v>372</v>
      </c>
      <c r="B124" s="176"/>
      <c r="C124" s="176"/>
      <c r="D124" s="176"/>
      <c r="E124" s="176"/>
      <c r="F124" s="180" t="s">
        <v>373</v>
      </c>
      <c r="G124" s="432">
        <v>500000</v>
      </c>
    </row>
    <row r="125" spans="1:7" ht="20.100000000000001" customHeight="1">
      <c r="A125" s="478" t="s">
        <v>374</v>
      </c>
      <c r="B125" s="176"/>
      <c r="C125" s="176"/>
      <c r="D125" s="176"/>
      <c r="E125" s="176"/>
      <c r="F125" s="180" t="s">
        <v>375</v>
      </c>
      <c r="G125" s="432">
        <v>0</v>
      </c>
    </row>
    <row r="126" spans="1:7" ht="20.100000000000001" customHeight="1">
      <c r="A126" s="478" t="s">
        <v>376</v>
      </c>
      <c r="B126" s="176"/>
      <c r="C126" s="176"/>
      <c r="D126" s="176"/>
      <c r="E126" s="176"/>
      <c r="F126" s="180" t="s">
        <v>377</v>
      </c>
      <c r="G126" s="432">
        <v>600</v>
      </c>
    </row>
    <row r="127" spans="1:7" ht="20.100000000000001" customHeight="1">
      <c r="A127" s="478" t="s">
        <v>378</v>
      </c>
      <c r="B127" s="176"/>
      <c r="C127" s="176"/>
      <c r="D127" s="176"/>
      <c r="E127" s="176"/>
      <c r="F127" s="180" t="s">
        <v>379</v>
      </c>
      <c r="G127" s="432">
        <v>42000</v>
      </c>
    </row>
    <row r="128" spans="1:7" ht="20.100000000000001" customHeight="1">
      <c r="A128" s="478"/>
      <c r="B128" s="176"/>
      <c r="C128" s="176"/>
      <c r="D128" s="176"/>
      <c r="E128" s="176"/>
      <c r="F128" s="180"/>
      <c r="G128" s="703"/>
    </row>
    <row r="129" spans="1:7" ht="20.100000000000001" customHeight="1">
      <c r="A129" s="479" t="s">
        <v>380</v>
      </c>
      <c r="B129" s="176"/>
      <c r="C129" s="176"/>
      <c r="D129" s="176"/>
      <c r="E129" s="176"/>
      <c r="F129" s="180"/>
      <c r="G129" s="701">
        <f>SUM(G124:G127)</f>
        <v>542600</v>
      </c>
    </row>
    <row r="130" spans="1:7" ht="20.100000000000001" customHeight="1">
      <c r="A130" s="478"/>
      <c r="B130" s="176"/>
      <c r="C130" s="176"/>
      <c r="D130" s="176"/>
      <c r="E130" s="176"/>
      <c r="F130" s="180"/>
      <c r="G130" s="194"/>
    </row>
    <row r="131" spans="1:7" ht="20.100000000000001" customHeight="1">
      <c r="A131" s="823" t="s">
        <v>381</v>
      </c>
      <c r="B131" s="824"/>
      <c r="C131" s="824"/>
      <c r="D131" s="824"/>
      <c r="E131" s="824"/>
      <c r="F131" s="825"/>
      <c r="G131" s="704"/>
    </row>
    <row r="132" spans="1:7" ht="20.100000000000001" customHeight="1">
      <c r="A132" s="478"/>
      <c r="B132" s="176"/>
      <c r="C132" s="176"/>
      <c r="D132" s="176"/>
      <c r="E132" s="176"/>
      <c r="F132" s="180"/>
      <c r="G132" s="194"/>
    </row>
    <row r="133" spans="1:7" ht="20.100000000000001" customHeight="1">
      <c r="A133" s="478" t="s">
        <v>382</v>
      </c>
      <c r="B133" s="176"/>
      <c r="C133" s="176"/>
      <c r="D133" s="487"/>
      <c r="E133" s="187"/>
      <c r="F133" s="1057" t="s">
        <v>383</v>
      </c>
      <c r="G133" s="432">
        <v>0</v>
      </c>
    </row>
    <row r="134" spans="1:7" ht="20.100000000000001" customHeight="1">
      <c r="A134" s="478" t="s">
        <v>691</v>
      </c>
      <c r="B134" s="176"/>
      <c r="C134" s="176"/>
      <c r="D134" s="487"/>
      <c r="E134" s="187"/>
      <c r="F134" s="1127">
        <v>49200</v>
      </c>
      <c r="G134" s="432">
        <v>10500</v>
      </c>
    </row>
    <row r="135" spans="1:7" ht="20.100000000000001" customHeight="1">
      <c r="A135" s="478" t="s">
        <v>384</v>
      </c>
      <c r="B135" s="176"/>
      <c r="C135" s="176"/>
      <c r="D135" s="176"/>
      <c r="E135" s="176"/>
      <c r="F135" s="1015" t="s">
        <v>385</v>
      </c>
      <c r="G135" s="432">
        <v>10000</v>
      </c>
    </row>
    <row r="136" spans="1:7" ht="20.100000000000001" customHeight="1">
      <c r="A136" s="478" t="s">
        <v>386</v>
      </c>
      <c r="B136" s="176"/>
      <c r="C136" s="176"/>
      <c r="D136" s="176"/>
      <c r="E136" s="176"/>
      <c r="F136" s="179">
        <v>49520</v>
      </c>
      <c r="G136" s="432">
        <v>0</v>
      </c>
    </row>
    <row r="137" spans="1:7" ht="20.100000000000001" customHeight="1">
      <c r="A137" s="987" t="s">
        <v>684</v>
      </c>
      <c r="B137" s="176"/>
      <c r="C137" s="176"/>
      <c r="D137" s="176"/>
      <c r="E137" s="176"/>
      <c r="F137" s="195">
        <v>49521</v>
      </c>
      <c r="G137" s="432">
        <v>0</v>
      </c>
    </row>
    <row r="138" spans="1:7" ht="20.100000000000001" customHeight="1">
      <c r="A138" s="478" t="s">
        <v>387</v>
      </c>
      <c r="B138" s="176"/>
      <c r="C138" s="176"/>
      <c r="D138" s="176"/>
      <c r="E138" s="176"/>
      <c r="F138" s="180" t="s">
        <v>388</v>
      </c>
      <c r="G138" s="432">
        <v>0</v>
      </c>
    </row>
    <row r="139" spans="1:7" ht="20.100000000000001" customHeight="1">
      <c r="A139" s="478" t="s">
        <v>389</v>
      </c>
      <c r="B139" s="176"/>
      <c r="C139" s="176"/>
      <c r="D139" s="176"/>
      <c r="E139" s="176"/>
      <c r="F139" s="180" t="s">
        <v>390</v>
      </c>
      <c r="G139" s="432">
        <v>0</v>
      </c>
    </row>
    <row r="140" spans="1:7" ht="20.100000000000001" customHeight="1">
      <c r="A140" s="478"/>
      <c r="B140" s="176"/>
      <c r="C140" s="176"/>
      <c r="D140" s="176"/>
      <c r="E140" s="176"/>
      <c r="F140" s="180"/>
      <c r="G140" s="703"/>
    </row>
    <row r="141" spans="1:7" ht="20.100000000000001" customHeight="1">
      <c r="A141" s="479" t="s">
        <v>391</v>
      </c>
      <c r="B141" s="176"/>
      <c r="C141" s="176"/>
      <c r="D141" s="176"/>
      <c r="E141" s="176"/>
      <c r="F141" s="180"/>
      <c r="G141" s="701">
        <f>SUM(G133:G139)</f>
        <v>20500</v>
      </c>
    </row>
    <row r="142" spans="1:7" ht="20.100000000000001" customHeight="1">
      <c r="A142" s="478"/>
      <c r="B142" s="176"/>
      <c r="C142" s="176"/>
      <c r="D142" s="176"/>
      <c r="E142" s="176"/>
      <c r="F142" s="180"/>
      <c r="G142" s="194"/>
    </row>
    <row r="143" spans="1:7" ht="20.100000000000001" customHeight="1" thickBot="1">
      <c r="A143" s="501" t="s">
        <v>392</v>
      </c>
      <c r="B143" s="502"/>
      <c r="C143" s="502"/>
      <c r="D143" s="502"/>
      <c r="E143" s="502"/>
      <c r="F143" s="503"/>
      <c r="G143" s="505">
        <f>G65+G73+G86+G97+G106+G116+G120+G129+G141</f>
        <v>71656143.999999955</v>
      </c>
    </row>
    <row r="144" spans="1:7" ht="20.100000000000001" customHeight="1" thickTop="1">
      <c r="A144" s="698"/>
      <c r="B144" s="545"/>
      <c r="C144" s="545"/>
      <c r="D144" s="545"/>
      <c r="E144" s="545"/>
      <c r="F144" s="593"/>
      <c r="G144" s="594"/>
    </row>
    <row r="145" spans="1:7" ht="20.100000000000001" customHeight="1">
      <c r="A145" s="823" t="s">
        <v>393</v>
      </c>
      <c r="B145" s="824"/>
      <c r="C145" s="824"/>
      <c r="D145" s="824"/>
      <c r="E145" s="824"/>
      <c r="F145" s="825"/>
      <c r="G145" s="709"/>
    </row>
    <row r="146" spans="1:7" ht="20.100000000000001" customHeight="1">
      <c r="A146" s="478"/>
      <c r="B146" s="176"/>
      <c r="C146" s="176"/>
      <c r="D146" s="176"/>
      <c r="E146" s="176"/>
      <c r="F146" s="180"/>
      <c r="G146" s="197"/>
    </row>
    <row r="147" spans="1:7" ht="20.100000000000001" customHeight="1">
      <c r="A147" s="478" t="s">
        <v>394</v>
      </c>
      <c r="B147" s="176"/>
      <c r="C147" s="176"/>
      <c r="D147" s="176"/>
      <c r="E147" s="176"/>
      <c r="F147" s="180" t="s">
        <v>395</v>
      </c>
      <c r="G147" s="434">
        <v>1380053</v>
      </c>
    </row>
    <row r="148" spans="1:7" ht="20.100000000000001" customHeight="1">
      <c r="A148" s="478" t="s">
        <v>396</v>
      </c>
      <c r="F148" s="180" t="s">
        <v>397</v>
      </c>
      <c r="G148" s="434">
        <v>1014591</v>
      </c>
    </row>
    <row r="149" spans="1:7" ht="20.100000000000001" customHeight="1">
      <c r="A149" s="478" t="s">
        <v>398</v>
      </c>
      <c r="F149" s="180" t="s">
        <v>399</v>
      </c>
      <c r="G149" s="434">
        <v>1366185</v>
      </c>
    </row>
    <row r="150" spans="1:7" ht="20.100000000000001" customHeight="1">
      <c r="A150" s="478" t="s">
        <v>400</v>
      </c>
      <c r="F150" s="180" t="s">
        <v>401</v>
      </c>
      <c r="G150" s="434">
        <v>0</v>
      </c>
    </row>
    <row r="151" spans="1:7" ht="20.100000000000001" customHeight="1">
      <c r="A151" s="478" t="s">
        <v>402</v>
      </c>
      <c r="F151" s="180" t="s">
        <v>403</v>
      </c>
      <c r="G151" s="434">
        <v>0</v>
      </c>
    </row>
    <row r="152" spans="1:7" ht="20.100000000000001" customHeight="1">
      <c r="A152" s="478" t="s">
        <v>404</v>
      </c>
      <c r="B152" s="176"/>
      <c r="C152" s="176"/>
      <c r="D152" s="176"/>
      <c r="E152" s="176"/>
      <c r="F152" s="180" t="s">
        <v>405</v>
      </c>
      <c r="G152" s="434">
        <v>10934493</v>
      </c>
    </row>
    <row r="153" spans="1:7" ht="20.100000000000001" customHeight="1">
      <c r="A153" s="478" t="s">
        <v>406</v>
      </c>
      <c r="B153" s="176"/>
      <c r="C153" s="176"/>
      <c r="D153" s="176"/>
      <c r="E153" s="176"/>
      <c r="F153" s="180" t="s">
        <v>407</v>
      </c>
      <c r="G153" s="434">
        <v>1618148</v>
      </c>
    </row>
    <row r="154" spans="1:7" ht="20.100000000000001" customHeight="1">
      <c r="A154" s="478" t="s">
        <v>408</v>
      </c>
      <c r="B154" s="176"/>
      <c r="C154" s="176"/>
      <c r="D154" s="176"/>
      <c r="E154" s="176"/>
      <c r="F154" s="180" t="s">
        <v>409</v>
      </c>
      <c r="G154" s="434">
        <v>3000</v>
      </c>
    </row>
    <row r="155" spans="1:7" ht="20.100000000000001" customHeight="1">
      <c r="A155" s="478" t="s">
        <v>410</v>
      </c>
      <c r="B155" s="176"/>
      <c r="C155" s="176"/>
      <c r="D155" s="176"/>
      <c r="E155" s="176"/>
      <c r="F155" s="180" t="s">
        <v>411</v>
      </c>
      <c r="G155" s="434">
        <v>780267</v>
      </c>
    </row>
    <row r="156" spans="1:7" ht="20.100000000000001" customHeight="1">
      <c r="A156" s="478" t="s">
        <v>412</v>
      </c>
      <c r="B156" s="176"/>
      <c r="C156" s="176"/>
      <c r="D156" s="176"/>
      <c r="E156" s="176"/>
      <c r="F156" s="180" t="s">
        <v>413</v>
      </c>
      <c r="G156" s="434">
        <v>0</v>
      </c>
    </row>
    <row r="157" spans="1:7" ht="20.100000000000001" customHeight="1">
      <c r="A157" s="478" t="s">
        <v>414</v>
      </c>
      <c r="B157" s="176"/>
      <c r="C157" s="176"/>
      <c r="D157" s="176"/>
      <c r="E157" s="176"/>
      <c r="F157" s="179">
        <v>52500</v>
      </c>
      <c r="G157" s="434">
        <v>0</v>
      </c>
    </row>
    <row r="158" spans="1:7" ht="20.100000000000001" customHeight="1">
      <c r="A158" s="478" t="s">
        <v>415</v>
      </c>
      <c r="B158" s="176"/>
      <c r="C158" s="176"/>
      <c r="D158" s="176"/>
      <c r="E158" s="176"/>
      <c r="F158" s="180" t="s">
        <v>416</v>
      </c>
      <c r="G158" s="434">
        <v>0</v>
      </c>
    </row>
    <row r="159" spans="1:7" ht="20.100000000000001" customHeight="1">
      <c r="A159" s="478" t="s">
        <v>417</v>
      </c>
      <c r="B159" s="176"/>
      <c r="C159" s="176"/>
      <c r="D159" s="176"/>
      <c r="E159" s="176"/>
      <c r="F159" s="180" t="s">
        <v>418</v>
      </c>
      <c r="G159" s="434">
        <v>0</v>
      </c>
    </row>
    <row r="160" spans="1:7" ht="20.100000000000001" customHeight="1">
      <c r="A160" s="478" t="s">
        <v>419</v>
      </c>
      <c r="B160" s="176"/>
      <c r="C160" s="176"/>
      <c r="D160" s="176"/>
      <c r="E160" s="176"/>
      <c r="F160" s="180" t="s">
        <v>420</v>
      </c>
      <c r="G160" s="434">
        <v>0</v>
      </c>
    </row>
    <row r="161" spans="1:7" ht="20.100000000000001" customHeight="1">
      <c r="A161" s="478" t="s">
        <v>421</v>
      </c>
      <c r="B161" s="176"/>
      <c r="C161" s="176"/>
      <c r="D161" s="176"/>
      <c r="E161" s="176"/>
      <c r="F161" s="180" t="s">
        <v>422</v>
      </c>
      <c r="G161" s="434">
        <v>0</v>
      </c>
    </row>
    <row r="162" spans="1:7" ht="20.100000000000001" customHeight="1">
      <c r="A162" s="478" t="s">
        <v>423</v>
      </c>
      <c r="B162" s="176"/>
      <c r="C162" s="176"/>
      <c r="D162" s="176"/>
      <c r="E162" s="176"/>
      <c r="F162" s="180" t="s">
        <v>424</v>
      </c>
      <c r="G162" s="434">
        <v>9149404</v>
      </c>
    </row>
    <row r="163" spans="1:7" ht="20.100000000000001" customHeight="1">
      <c r="A163" s="478" t="s">
        <v>425</v>
      </c>
      <c r="B163" s="176"/>
      <c r="C163" s="176"/>
      <c r="D163" s="176"/>
      <c r="E163" s="176"/>
      <c r="F163" s="180" t="s">
        <v>426</v>
      </c>
      <c r="G163" s="434">
        <v>904455</v>
      </c>
    </row>
    <row r="164" spans="1:7" ht="20.100000000000001" customHeight="1">
      <c r="A164" s="478" t="s">
        <v>427</v>
      </c>
      <c r="B164" s="176"/>
      <c r="C164" s="176"/>
      <c r="D164" s="176"/>
      <c r="E164" s="176"/>
      <c r="F164" s="180" t="s">
        <v>428</v>
      </c>
      <c r="G164" s="434">
        <v>0</v>
      </c>
    </row>
    <row r="165" spans="1:7" ht="20.100000000000001" customHeight="1">
      <c r="A165" s="478" t="s">
        <v>429</v>
      </c>
      <c r="B165" s="176"/>
      <c r="C165" s="176"/>
      <c r="D165" s="176"/>
      <c r="E165" s="176"/>
      <c r="F165" s="180" t="s">
        <v>430</v>
      </c>
      <c r="G165" s="434">
        <v>0</v>
      </c>
    </row>
    <row r="166" spans="1:7" ht="20.100000000000001" customHeight="1">
      <c r="A166" s="478" t="s">
        <v>431</v>
      </c>
      <c r="B166" s="176"/>
      <c r="C166" s="176"/>
      <c r="D166" s="176"/>
      <c r="E166" s="176"/>
      <c r="F166" s="180" t="s">
        <v>432</v>
      </c>
      <c r="G166" s="434">
        <v>79298</v>
      </c>
    </row>
    <row r="167" spans="1:7" ht="20.100000000000001" customHeight="1">
      <c r="A167" s="478" t="s">
        <v>433</v>
      </c>
      <c r="B167" s="176"/>
      <c r="C167" s="176"/>
      <c r="D167" s="176"/>
      <c r="E167" s="176"/>
      <c r="F167" s="180" t="s">
        <v>434</v>
      </c>
      <c r="G167" s="434">
        <v>4135080</v>
      </c>
    </row>
    <row r="168" spans="1:7" ht="20.100000000000001" customHeight="1">
      <c r="A168" s="478" t="s">
        <v>435</v>
      </c>
      <c r="B168" s="176"/>
      <c r="C168" s="176"/>
      <c r="D168" s="176"/>
      <c r="E168" s="176"/>
      <c r="F168" s="180" t="s">
        <v>436</v>
      </c>
      <c r="G168" s="434">
        <v>68000</v>
      </c>
    </row>
    <row r="169" spans="1:7" ht="20.100000000000001" customHeight="1">
      <c r="A169" s="478" t="s">
        <v>437</v>
      </c>
      <c r="B169" s="176"/>
      <c r="C169" s="176"/>
      <c r="D169" s="176"/>
      <c r="E169" s="176"/>
      <c r="F169" s="180" t="s">
        <v>438</v>
      </c>
      <c r="G169" s="434">
        <v>237319</v>
      </c>
    </row>
    <row r="170" spans="1:7" ht="20.100000000000001" customHeight="1">
      <c r="A170" s="478" t="s">
        <v>439</v>
      </c>
      <c r="B170" s="176"/>
      <c r="C170" s="176"/>
      <c r="D170" s="176"/>
      <c r="E170" s="176"/>
      <c r="F170" s="180" t="s">
        <v>440</v>
      </c>
      <c r="G170" s="434">
        <v>0</v>
      </c>
    </row>
    <row r="171" spans="1:7" ht="20.100000000000001" customHeight="1">
      <c r="A171" s="478" t="s">
        <v>441</v>
      </c>
      <c r="B171" s="176"/>
      <c r="C171" s="176"/>
      <c r="D171" s="176"/>
      <c r="E171" s="176"/>
      <c r="F171" s="180" t="s">
        <v>442</v>
      </c>
      <c r="G171" s="434">
        <v>0</v>
      </c>
    </row>
    <row r="172" spans="1:7" ht="20.100000000000001" customHeight="1">
      <c r="A172" s="478" t="s">
        <v>443</v>
      </c>
      <c r="B172" s="176"/>
      <c r="C172" s="176"/>
      <c r="D172" s="176"/>
      <c r="E172" s="176"/>
      <c r="F172" s="179">
        <v>56001</v>
      </c>
      <c r="G172" s="434">
        <v>2377006</v>
      </c>
    </row>
    <row r="173" spans="1:7" ht="20.100000000000001" customHeight="1">
      <c r="A173" s="478" t="s">
        <v>444</v>
      </c>
      <c r="B173" s="176"/>
      <c r="C173" s="176"/>
      <c r="D173" s="176"/>
      <c r="E173" s="176"/>
      <c r="F173" s="179">
        <v>56002</v>
      </c>
      <c r="G173" s="434">
        <v>0</v>
      </c>
    </row>
    <row r="174" spans="1:7" ht="20.100000000000001" customHeight="1">
      <c r="A174" s="478" t="s">
        <v>445</v>
      </c>
      <c r="B174" s="176"/>
      <c r="C174" s="176"/>
      <c r="D174" s="176"/>
      <c r="E174" s="176"/>
      <c r="F174" s="179">
        <v>56003</v>
      </c>
      <c r="G174" s="434">
        <v>0</v>
      </c>
    </row>
    <row r="175" spans="1:7" ht="20.100000000000001" customHeight="1">
      <c r="A175" s="478" t="s">
        <v>446</v>
      </c>
      <c r="B175" s="176"/>
      <c r="C175" s="176"/>
      <c r="D175" s="176"/>
      <c r="E175" s="176"/>
      <c r="F175" s="198" t="s">
        <v>447</v>
      </c>
      <c r="G175" s="434">
        <v>0</v>
      </c>
    </row>
    <row r="176" spans="1:7" ht="20.100000000000001" customHeight="1">
      <c r="A176" s="478" t="s">
        <v>448</v>
      </c>
      <c r="B176" s="176"/>
      <c r="C176" s="176"/>
      <c r="D176" s="176"/>
      <c r="E176" s="176"/>
      <c r="F176" s="180" t="s">
        <v>449</v>
      </c>
      <c r="G176" s="434">
        <v>2000</v>
      </c>
    </row>
    <row r="177" spans="1:7" ht="20.100000000000001" customHeight="1">
      <c r="A177" s="486" t="s">
        <v>450</v>
      </c>
      <c r="F177" s="195" t="s">
        <v>451</v>
      </c>
      <c r="G177" s="434">
        <v>10086</v>
      </c>
    </row>
    <row r="178" spans="1:7" ht="20.100000000000001" customHeight="1">
      <c r="A178" s="478" t="s">
        <v>452</v>
      </c>
      <c r="B178" s="176"/>
      <c r="C178" s="176"/>
      <c r="D178" s="176"/>
      <c r="E178" s="176"/>
      <c r="F178" s="180" t="s">
        <v>453</v>
      </c>
      <c r="G178" s="434">
        <v>198456</v>
      </c>
    </row>
    <row r="179" spans="1:7" ht="20.100000000000001" customHeight="1">
      <c r="A179" s="478" t="s">
        <v>454</v>
      </c>
      <c r="B179" s="176"/>
      <c r="C179" s="176"/>
      <c r="D179" s="176"/>
      <c r="E179" s="176"/>
      <c r="F179" s="180" t="s">
        <v>455</v>
      </c>
      <c r="G179" s="434">
        <v>0</v>
      </c>
    </row>
    <row r="180" spans="1:7" ht="20.100000000000001" customHeight="1">
      <c r="A180" s="478" t="s">
        <v>456</v>
      </c>
      <c r="B180" s="176"/>
      <c r="C180" s="176"/>
      <c r="D180" s="176"/>
      <c r="E180" s="176"/>
      <c r="F180" s="180" t="s">
        <v>457</v>
      </c>
      <c r="G180" s="434">
        <v>0</v>
      </c>
    </row>
    <row r="181" spans="1:7" ht="20.100000000000001" customHeight="1">
      <c r="A181" s="478" t="s">
        <v>458</v>
      </c>
      <c r="B181" s="176"/>
      <c r="C181" s="176"/>
      <c r="D181" s="176"/>
      <c r="E181" s="176"/>
      <c r="F181" s="180" t="s">
        <v>459</v>
      </c>
      <c r="G181" s="434">
        <v>0</v>
      </c>
    </row>
    <row r="182" spans="1:7" ht="20.100000000000001" customHeight="1">
      <c r="A182" s="478" t="s">
        <v>460</v>
      </c>
      <c r="B182" s="176"/>
      <c r="C182" s="176"/>
      <c r="D182" s="176"/>
      <c r="E182" s="176"/>
      <c r="F182" s="180" t="s">
        <v>461</v>
      </c>
      <c r="G182" s="434">
        <v>262335</v>
      </c>
    </row>
    <row r="183" spans="1:7" ht="20.100000000000001" customHeight="1">
      <c r="A183" s="478" t="s">
        <v>462</v>
      </c>
      <c r="B183" s="176"/>
      <c r="C183" s="176"/>
      <c r="D183" s="176"/>
      <c r="E183" s="176"/>
      <c r="F183" s="180" t="s">
        <v>463</v>
      </c>
      <c r="G183" s="434">
        <v>122400</v>
      </c>
    </row>
    <row r="184" spans="1:7" ht="20.100000000000001" customHeight="1">
      <c r="A184" s="478" t="s">
        <v>464</v>
      </c>
      <c r="B184" s="176"/>
      <c r="C184" s="176"/>
      <c r="D184" s="176"/>
      <c r="E184" s="176"/>
      <c r="F184" s="180" t="s">
        <v>465</v>
      </c>
      <c r="G184" s="434">
        <v>2402311</v>
      </c>
    </row>
    <row r="185" spans="1:7" ht="20.100000000000001" customHeight="1">
      <c r="A185" s="478" t="s">
        <v>466</v>
      </c>
      <c r="B185" s="176"/>
      <c r="C185" s="176"/>
      <c r="D185" s="176"/>
      <c r="E185" s="176"/>
      <c r="F185" s="180" t="s">
        <v>467</v>
      </c>
      <c r="G185" s="434">
        <v>4831692</v>
      </c>
    </row>
    <row r="186" spans="1:7" ht="20.100000000000001" customHeight="1">
      <c r="A186" s="478" t="s">
        <v>468</v>
      </c>
      <c r="B186" s="176"/>
      <c r="C186" s="176"/>
      <c r="D186" s="176"/>
      <c r="E186" s="176"/>
      <c r="F186" s="180" t="s">
        <v>469</v>
      </c>
      <c r="G186" s="434">
        <f>664579+100000</f>
        <v>764579</v>
      </c>
    </row>
    <row r="187" spans="1:7" ht="20.100000000000001" customHeight="1">
      <c r="A187" s="478" t="s">
        <v>470</v>
      </c>
      <c r="B187" s="176"/>
      <c r="C187" s="176"/>
      <c r="D187" s="176"/>
      <c r="E187" s="176"/>
      <c r="F187" s="180" t="s">
        <v>471</v>
      </c>
      <c r="G187" s="434">
        <v>0</v>
      </c>
    </row>
    <row r="188" spans="1:7" ht="20.100000000000001" customHeight="1">
      <c r="A188" s="478" t="s">
        <v>472</v>
      </c>
      <c r="B188" s="176"/>
      <c r="C188" s="176"/>
      <c r="D188" s="176"/>
      <c r="E188" s="176"/>
      <c r="F188" s="180" t="s">
        <v>473</v>
      </c>
      <c r="G188" s="434">
        <v>231500</v>
      </c>
    </row>
    <row r="189" spans="1:7" ht="20.100000000000001" customHeight="1">
      <c r="A189" s="478" t="s">
        <v>474</v>
      </c>
      <c r="B189" s="176"/>
      <c r="C189" s="176"/>
      <c r="D189" s="176"/>
      <c r="E189" s="176"/>
      <c r="F189" s="195">
        <v>59600</v>
      </c>
      <c r="G189" s="434">
        <v>0</v>
      </c>
    </row>
    <row r="190" spans="1:7" ht="20.100000000000001" customHeight="1">
      <c r="A190" s="478" t="s">
        <v>475</v>
      </c>
      <c r="B190" s="176"/>
      <c r="C190" s="176"/>
      <c r="D190" s="176"/>
      <c r="E190" s="176"/>
      <c r="F190" s="180" t="s">
        <v>476</v>
      </c>
      <c r="G190" s="434">
        <v>6900002</v>
      </c>
    </row>
    <row r="191" spans="1:7" ht="20.100000000000001" customHeight="1">
      <c r="A191" s="478" t="s">
        <v>477</v>
      </c>
      <c r="B191" s="176"/>
      <c r="C191" s="176"/>
      <c r="D191" s="176"/>
      <c r="E191" s="176"/>
      <c r="F191" s="180" t="s">
        <v>478</v>
      </c>
      <c r="G191" s="434">
        <v>120000</v>
      </c>
    </row>
    <row r="192" spans="1:7" ht="20.100000000000001" customHeight="1">
      <c r="A192" s="478" t="s">
        <v>479</v>
      </c>
      <c r="B192" s="176"/>
      <c r="C192" s="176"/>
      <c r="D192" s="176"/>
      <c r="E192" s="176"/>
      <c r="F192" s="180" t="s">
        <v>480</v>
      </c>
      <c r="G192" s="434">
        <v>100000</v>
      </c>
    </row>
    <row r="193" spans="1:7" ht="20.100000000000001" customHeight="1">
      <c r="A193" s="478"/>
      <c r="B193" s="176"/>
      <c r="C193" s="176"/>
      <c r="D193" s="176"/>
      <c r="E193" s="176"/>
      <c r="F193" s="180"/>
      <c r="G193" s="710"/>
    </row>
    <row r="194" spans="1:7" ht="20.100000000000001" customHeight="1">
      <c r="A194" s="491" t="s">
        <v>481</v>
      </c>
      <c r="B194" s="492"/>
      <c r="C194" s="492"/>
      <c r="D194" s="492"/>
      <c r="E194" s="492"/>
      <c r="F194" s="499"/>
      <c r="G194" s="500">
        <f>SUM(G147:G192)</f>
        <v>49992660</v>
      </c>
    </row>
    <row r="195" spans="1:7" ht="20.100000000000001" customHeight="1">
      <c r="A195" s="488"/>
      <c r="B195" s="199"/>
      <c r="C195" s="199"/>
      <c r="D195" s="199"/>
      <c r="E195" s="199"/>
      <c r="F195" s="212"/>
      <c r="G195" s="200"/>
    </row>
    <row r="196" spans="1:7" ht="20.100000000000001" customHeight="1">
      <c r="A196" s="711" t="s">
        <v>482</v>
      </c>
      <c r="B196" s="574"/>
      <c r="C196" s="574"/>
      <c r="D196" s="574"/>
      <c r="E196" s="574"/>
      <c r="F196" s="697"/>
      <c r="G196" s="712"/>
    </row>
    <row r="197" spans="1:7" ht="20.100000000000001" customHeight="1">
      <c r="A197" s="478"/>
      <c r="B197" s="176"/>
      <c r="C197" s="176"/>
      <c r="D197" s="176"/>
      <c r="E197" s="176"/>
      <c r="F197" s="180"/>
      <c r="G197" s="197"/>
    </row>
    <row r="198" spans="1:7" ht="20.100000000000001" customHeight="1">
      <c r="A198" s="478" t="s">
        <v>483</v>
      </c>
      <c r="B198" s="176"/>
      <c r="C198" s="176"/>
      <c r="D198" s="176"/>
      <c r="E198" s="176"/>
      <c r="F198" s="180" t="s">
        <v>484</v>
      </c>
      <c r="G198" s="434">
        <f>491509+2000</f>
        <v>493509</v>
      </c>
    </row>
    <row r="199" spans="1:7" ht="20.100000000000001" customHeight="1">
      <c r="A199" s="478" t="s">
        <v>485</v>
      </c>
      <c r="B199" s="176"/>
      <c r="C199" s="176"/>
      <c r="D199" s="176"/>
      <c r="E199" s="176"/>
      <c r="F199" s="180" t="s">
        <v>486</v>
      </c>
      <c r="G199" s="434">
        <v>24377</v>
      </c>
    </row>
    <row r="200" spans="1:7" ht="20.100000000000001" customHeight="1">
      <c r="A200" s="478" t="s">
        <v>487</v>
      </c>
      <c r="B200" s="176"/>
      <c r="C200" s="176"/>
      <c r="D200" s="176"/>
      <c r="E200" s="176"/>
      <c r="F200" s="180" t="s">
        <v>488</v>
      </c>
      <c r="G200" s="434">
        <v>215490</v>
      </c>
    </row>
    <row r="201" spans="1:7" ht="20.100000000000001" customHeight="1">
      <c r="A201" s="478" t="s">
        <v>489</v>
      </c>
      <c r="B201" s="176"/>
      <c r="C201" s="176"/>
      <c r="D201" s="176"/>
      <c r="E201" s="176"/>
      <c r="F201" s="180" t="s">
        <v>490</v>
      </c>
      <c r="G201" s="434">
        <v>98038</v>
      </c>
    </row>
    <row r="202" spans="1:7" ht="20.100000000000001" customHeight="1">
      <c r="A202" s="478" t="s">
        <v>491</v>
      </c>
      <c r="B202" s="176"/>
      <c r="C202" s="176"/>
      <c r="D202" s="176"/>
      <c r="E202" s="176"/>
      <c r="F202" s="180" t="s">
        <v>492</v>
      </c>
      <c r="G202" s="434">
        <v>1492350</v>
      </c>
    </row>
    <row r="203" spans="1:7" ht="20.100000000000001" customHeight="1">
      <c r="A203" s="478" t="s">
        <v>493</v>
      </c>
      <c r="B203" s="176"/>
      <c r="C203" s="176"/>
      <c r="D203" s="176"/>
      <c r="E203" s="176"/>
      <c r="F203" s="180" t="s">
        <v>494</v>
      </c>
      <c r="G203" s="434">
        <v>33098</v>
      </c>
    </row>
    <row r="204" spans="1:7" ht="20.100000000000001" customHeight="1">
      <c r="A204" s="478" t="s">
        <v>683</v>
      </c>
      <c r="B204" s="176"/>
      <c r="C204" s="176"/>
      <c r="D204" s="176"/>
      <c r="E204" s="176"/>
      <c r="F204" s="972">
        <v>63100</v>
      </c>
      <c r="G204" s="434">
        <v>0</v>
      </c>
    </row>
    <row r="205" spans="1:7" ht="20.100000000000001" customHeight="1">
      <c r="A205" s="478" t="s">
        <v>495</v>
      </c>
      <c r="B205" s="176"/>
      <c r="C205" s="176"/>
      <c r="D205" s="176"/>
      <c r="E205" s="176"/>
      <c r="F205" s="180" t="s">
        <v>496</v>
      </c>
      <c r="G205" s="434">
        <v>1814983</v>
      </c>
    </row>
    <row r="206" spans="1:7" ht="20.100000000000001" customHeight="1">
      <c r="A206" s="478" t="s">
        <v>497</v>
      </c>
      <c r="B206" s="176"/>
      <c r="C206" s="176"/>
      <c r="D206" s="176"/>
      <c r="E206" s="176"/>
      <c r="F206" s="180" t="s">
        <v>498</v>
      </c>
      <c r="G206" s="434">
        <v>2446839</v>
      </c>
    </row>
    <row r="207" spans="1:7" ht="20.100000000000001" customHeight="1">
      <c r="A207" s="478" t="s">
        <v>499</v>
      </c>
      <c r="B207" s="176"/>
      <c r="C207" s="176"/>
      <c r="D207" s="176"/>
      <c r="E207" s="176"/>
      <c r="F207" s="180" t="s">
        <v>500</v>
      </c>
      <c r="G207" s="434">
        <f>7455549+570000+564475</f>
        <v>8590024</v>
      </c>
    </row>
    <row r="208" spans="1:7" ht="20.100000000000001" customHeight="1">
      <c r="A208" s="478" t="s">
        <v>678</v>
      </c>
      <c r="B208" s="176"/>
      <c r="C208" s="176"/>
      <c r="D208" s="176"/>
      <c r="E208" s="176"/>
      <c r="F208" s="180" t="s">
        <v>501</v>
      </c>
      <c r="G208" s="434">
        <v>0</v>
      </c>
    </row>
    <row r="209" spans="1:9" ht="20.100000000000001" customHeight="1">
      <c r="A209" s="478" t="s">
        <v>502</v>
      </c>
      <c r="B209" s="176"/>
      <c r="C209" s="176"/>
      <c r="D209" s="176"/>
      <c r="E209" s="176"/>
      <c r="F209" s="180" t="s">
        <v>503</v>
      </c>
      <c r="G209" s="434">
        <v>0</v>
      </c>
    </row>
    <row r="210" spans="1:9" ht="20.100000000000001" customHeight="1">
      <c r="A210" s="478" t="s">
        <v>504</v>
      </c>
      <c r="B210" s="176"/>
      <c r="C210" s="176"/>
      <c r="D210" s="176"/>
      <c r="E210" s="176"/>
      <c r="F210" s="180" t="s">
        <v>505</v>
      </c>
      <c r="G210" s="434">
        <v>307153</v>
      </c>
    </row>
    <row r="211" spans="1:9" ht="20.100000000000001" customHeight="1">
      <c r="A211" s="478" t="s">
        <v>506</v>
      </c>
      <c r="B211" s="176"/>
      <c r="C211" s="176"/>
      <c r="D211" s="176"/>
      <c r="E211" s="176"/>
      <c r="F211" s="180" t="s">
        <v>507</v>
      </c>
      <c r="G211" s="434">
        <f>799350+2000</f>
        <v>801350</v>
      </c>
    </row>
    <row r="212" spans="1:9" ht="20.100000000000001" customHeight="1">
      <c r="A212" s="478" t="s">
        <v>508</v>
      </c>
      <c r="F212" s="195" t="s">
        <v>509</v>
      </c>
      <c r="G212" s="434">
        <v>2032697</v>
      </c>
    </row>
    <row r="213" spans="1:9" ht="20.100000000000001" customHeight="1">
      <c r="A213" s="478" t="s">
        <v>510</v>
      </c>
      <c r="B213" s="176"/>
      <c r="C213" s="176"/>
      <c r="D213" s="176"/>
      <c r="E213" s="176"/>
      <c r="F213" s="180" t="s">
        <v>511</v>
      </c>
      <c r="G213" s="434">
        <v>172657</v>
      </c>
    </row>
    <row r="214" spans="1:9" ht="20.100000000000001" customHeight="1">
      <c r="A214" s="478" t="s">
        <v>512</v>
      </c>
      <c r="B214" s="176"/>
      <c r="C214" s="176"/>
      <c r="D214" s="176"/>
      <c r="E214" s="176"/>
      <c r="F214" s="180" t="s">
        <v>513</v>
      </c>
      <c r="G214" s="434">
        <v>1093216</v>
      </c>
    </row>
    <row r="215" spans="1:9" ht="20.100000000000001" customHeight="1">
      <c r="A215" s="478" t="s">
        <v>514</v>
      </c>
      <c r="B215" s="176"/>
      <c r="C215" s="176"/>
      <c r="D215" s="176"/>
      <c r="E215" s="176"/>
      <c r="F215" s="180" t="s">
        <v>515</v>
      </c>
      <c r="G215" s="434">
        <v>341552</v>
      </c>
    </row>
    <row r="216" spans="1:9" ht="20.100000000000001" customHeight="1">
      <c r="A216" s="478" t="s">
        <v>516</v>
      </c>
      <c r="B216" s="176"/>
      <c r="C216" s="176"/>
      <c r="D216" s="176"/>
      <c r="E216" s="176"/>
      <c r="F216" s="193" t="s">
        <v>517</v>
      </c>
      <c r="G216" s="434">
        <v>0</v>
      </c>
    </row>
    <row r="217" spans="1:9" ht="20.100000000000001" customHeight="1">
      <c r="A217" s="478" t="s">
        <v>518</v>
      </c>
      <c r="B217" s="176"/>
      <c r="C217" s="176"/>
      <c r="D217" s="176"/>
      <c r="E217" s="176"/>
      <c r="F217" s="180" t="s">
        <v>519</v>
      </c>
      <c r="G217" s="434">
        <v>0</v>
      </c>
    </row>
    <row r="218" spans="1:9" ht="20.100000000000001" customHeight="1">
      <c r="A218" s="478" t="s">
        <v>520</v>
      </c>
      <c r="B218" s="176"/>
      <c r="C218" s="176"/>
      <c r="D218" s="176"/>
      <c r="E218" s="176"/>
      <c r="F218" s="180" t="s">
        <v>521</v>
      </c>
      <c r="G218" s="434">
        <v>0</v>
      </c>
    </row>
    <row r="219" spans="1:9" ht="20.100000000000001" customHeight="1">
      <c r="A219" s="478" t="s">
        <v>522</v>
      </c>
      <c r="B219" s="176"/>
      <c r="C219" s="176"/>
      <c r="D219" s="176"/>
      <c r="E219" s="176"/>
      <c r="F219" s="180" t="s">
        <v>523</v>
      </c>
      <c r="G219" s="434">
        <v>190000</v>
      </c>
    </row>
    <row r="220" spans="1:9" ht="20.100000000000001" customHeight="1">
      <c r="A220" s="478" t="s">
        <v>524</v>
      </c>
      <c r="B220" s="176"/>
      <c r="C220" s="176"/>
      <c r="D220" s="176"/>
      <c r="E220" s="176"/>
      <c r="F220" s="180" t="s">
        <v>525</v>
      </c>
      <c r="G220" s="434">
        <v>0</v>
      </c>
    </row>
    <row r="221" spans="1:9" ht="20.100000000000001" customHeight="1">
      <c r="A221" s="478" t="s">
        <v>526</v>
      </c>
      <c r="B221" s="176"/>
      <c r="C221" s="176"/>
      <c r="D221" s="176"/>
      <c r="E221" s="176"/>
      <c r="F221" s="180" t="s">
        <v>527</v>
      </c>
      <c r="G221" s="434">
        <v>0</v>
      </c>
    </row>
    <row r="222" spans="1:9" ht="20.100000000000001" customHeight="1">
      <c r="A222" s="489" t="s">
        <v>692</v>
      </c>
      <c r="B222" s="176"/>
      <c r="C222" s="176"/>
      <c r="D222" s="201"/>
      <c r="E222" s="176"/>
      <c r="F222" s="1059">
        <v>69100</v>
      </c>
      <c r="G222" s="434">
        <v>125000</v>
      </c>
    </row>
    <row r="223" spans="1:9" ht="20.100000000000001" customHeight="1">
      <c r="A223" s="489" t="s">
        <v>693</v>
      </c>
      <c r="B223" s="202"/>
      <c r="C223" s="202"/>
      <c r="D223" s="203"/>
      <c r="E223" s="202"/>
      <c r="F223" s="1058">
        <v>69200</v>
      </c>
      <c r="G223" s="434">
        <v>0</v>
      </c>
    </row>
    <row r="224" spans="1:9" ht="20.100000000000001" customHeight="1">
      <c r="A224" s="478" t="s">
        <v>528</v>
      </c>
      <c r="B224" s="176"/>
      <c r="C224" s="176"/>
      <c r="D224" s="176"/>
      <c r="E224" s="176"/>
      <c r="F224" s="180" t="s">
        <v>529</v>
      </c>
      <c r="G224" s="434">
        <v>305000</v>
      </c>
      <c r="I224" s="204"/>
    </row>
    <row r="225" spans="1:7" ht="20.100000000000001" customHeight="1">
      <c r="A225" s="478" t="s">
        <v>530</v>
      </c>
      <c r="B225" s="176"/>
      <c r="C225" s="176"/>
      <c r="D225" s="176"/>
      <c r="E225" s="176"/>
      <c r="F225" s="180" t="s">
        <v>531</v>
      </c>
      <c r="G225" s="434">
        <v>0</v>
      </c>
    </row>
    <row r="226" spans="1:7" ht="20.100000000000001" customHeight="1">
      <c r="A226" s="478" t="s">
        <v>532</v>
      </c>
      <c r="B226" s="176"/>
      <c r="C226" s="176"/>
      <c r="D226" s="176"/>
      <c r="E226" s="176"/>
      <c r="F226" s="180" t="s">
        <v>533</v>
      </c>
      <c r="G226" s="1041">
        <f>1488475-2000-2000-570000-564475-250000</f>
        <v>100000</v>
      </c>
    </row>
    <row r="227" spans="1:7" ht="20.100000000000001" customHeight="1">
      <c r="A227" s="478"/>
      <c r="B227" s="176"/>
      <c r="C227" s="176"/>
      <c r="D227" s="176"/>
      <c r="E227" s="176"/>
      <c r="F227" s="180"/>
      <c r="G227" s="205"/>
    </row>
    <row r="228" spans="1:7" ht="20.100000000000001" customHeight="1">
      <c r="A228" s="708" t="s">
        <v>534</v>
      </c>
      <c r="B228" s="545"/>
      <c r="C228" s="545"/>
      <c r="D228" s="545"/>
      <c r="E228" s="545"/>
      <c r="F228" s="546"/>
      <c r="G228" s="595">
        <f>SUM(G198:G226)</f>
        <v>20677333</v>
      </c>
    </row>
    <row r="229" spans="1:7" ht="20.100000000000001" customHeight="1">
      <c r="A229" s="488"/>
      <c r="B229" s="199"/>
      <c r="C229" s="199"/>
      <c r="D229" s="199"/>
      <c r="E229" s="199"/>
      <c r="F229" s="550"/>
      <c r="G229" s="551"/>
    </row>
    <row r="230" spans="1:7" ht="20.100000000000001" customHeight="1">
      <c r="A230" s="823" t="s">
        <v>156</v>
      </c>
      <c r="B230" s="824"/>
      <c r="C230" s="824"/>
      <c r="D230" s="824"/>
      <c r="E230" s="824"/>
      <c r="F230" s="825"/>
      <c r="G230" s="713"/>
    </row>
    <row r="231" spans="1:7" ht="20.100000000000001" customHeight="1">
      <c r="A231" s="478"/>
      <c r="B231" s="176"/>
      <c r="C231" s="176"/>
      <c r="D231" s="176"/>
      <c r="E231" s="176"/>
      <c r="F231" s="180"/>
      <c r="G231" s="205"/>
    </row>
    <row r="232" spans="1:7" ht="20.100000000000001" customHeight="1">
      <c r="A232" s="478" t="s">
        <v>535</v>
      </c>
      <c r="B232" s="176"/>
      <c r="C232" s="176"/>
      <c r="D232" s="176"/>
      <c r="E232" s="176"/>
      <c r="F232" s="180" t="s">
        <v>536</v>
      </c>
      <c r="G232" s="434">
        <v>0</v>
      </c>
    </row>
    <row r="233" spans="1:7" ht="20.100000000000001" customHeight="1">
      <c r="A233" s="478" t="s">
        <v>537</v>
      </c>
      <c r="B233" s="176"/>
      <c r="C233" s="176"/>
      <c r="D233" s="176"/>
      <c r="E233" s="176"/>
      <c r="F233" s="180" t="s">
        <v>538</v>
      </c>
      <c r="G233" s="434">
        <f>770040+1303045</f>
        <v>2073085</v>
      </c>
    </row>
    <row r="234" spans="1:7" ht="20.100000000000001" customHeight="1">
      <c r="A234" s="478" t="s">
        <v>539</v>
      </c>
      <c r="B234" s="176"/>
      <c r="C234" s="176"/>
      <c r="D234" s="176"/>
      <c r="E234" s="176"/>
      <c r="F234" s="180" t="s">
        <v>540</v>
      </c>
      <c r="G234" s="434">
        <v>217400</v>
      </c>
    </row>
    <row r="235" spans="1:7" ht="20.100000000000001" customHeight="1">
      <c r="A235" s="478" t="s">
        <v>541</v>
      </c>
      <c r="B235" s="176"/>
      <c r="C235" s="176"/>
      <c r="D235" s="176"/>
      <c r="E235" s="176"/>
      <c r="F235" s="1015" t="s">
        <v>542</v>
      </c>
      <c r="G235" s="434">
        <v>0</v>
      </c>
    </row>
    <row r="236" spans="1:7" ht="20.100000000000001" customHeight="1">
      <c r="A236" s="478" t="s">
        <v>771</v>
      </c>
      <c r="B236" s="176"/>
      <c r="C236" s="176"/>
      <c r="D236" s="176"/>
      <c r="E236" s="176"/>
      <c r="F236" s="195">
        <v>73001</v>
      </c>
      <c r="G236" s="434">
        <v>0</v>
      </c>
    </row>
    <row r="237" spans="1:7" ht="20.100000000000001" customHeight="1">
      <c r="A237" s="478" t="s">
        <v>685</v>
      </c>
      <c r="B237" s="176"/>
      <c r="C237" s="176"/>
      <c r="D237" s="176"/>
      <c r="E237" s="176"/>
      <c r="F237" s="195">
        <v>73002</v>
      </c>
      <c r="G237" s="434">
        <v>0</v>
      </c>
    </row>
    <row r="238" spans="1:7" ht="20.100000000000001" customHeight="1">
      <c r="A238" s="478" t="s">
        <v>543</v>
      </c>
      <c r="B238" s="176"/>
      <c r="C238" s="176"/>
      <c r="D238" s="176"/>
      <c r="E238" s="176"/>
      <c r="F238" s="195">
        <v>73050</v>
      </c>
      <c r="G238" s="434">
        <v>0</v>
      </c>
    </row>
    <row r="239" spans="1:7" ht="20.100000000000001" customHeight="1">
      <c r="A239" s="478" t="s">
        <v>772</v>
      </c>
      <c r="B239" s="176"/>
      <c r="C239" s="176"/>
      <c r="D239" s="176"/>
      <c r="E239" s="176"/>
      <c r="F239" s="195">
        <v>73100</v>
      </c>
      <c r="G239" s="434">
        <v>70000</v>
      </c>
    </row>
    <row r="240" spans="1:7" ht="20.100000000000001" customHeight="1">
      <c r="A240" s="478" t="s">
        <v>544</v>
      </c>
      <c r="B240" s="176"/>
      <c r="C240" s="176"/>
      <c r="D240" s="176"/>
      <c r="E240" s="176"/>
      <c r="F240" s="180" t="s">
        <v>545</v>
      </c>
      <c r="G240" s="434">
        <v>0</v>
      </c>
    </row>
    <row r="241" spans="1:7" ht="20.100000000000001" customHeight="1">
      <c r="A241" s="478" t="s">
        <v>546</v>
      </c>
      <c r="B241" s="176"/>
      <c r="C241" s="176"/>
      <c r="D241" s="176"/>
      <c r="E241" s="176"/>
      <c r="F241" s="180" t="s">
        <v>547</v>
      </c>
      <c r="G241" s="434">
        <v>0</v>
      </c>
    </row>
    <row r="242" spans="1:7" ht="20.100000000000001" customHeight="1">
      <c r="A242" s="478" t="s">
        <v>548</v>
      </c>
      <c r="B242" s="176"/>
      <c r="C242" s="176"/>
      <c r="D242" s="176"/>
      <c r="E242" s="176"/>
      <c r="F242" s="180" t="s">
        <v>549</v>
      </c>
      <c r="G242" s="434">
        <v>0</v>
      </c>
    </row>
    <row r="243" spans="1:7" ht="20.100000000000001" customHeight="1">
      <c r="A243" s="478" t="s">
        <v>550</v>
      </c>
      <c r="B243" s="176"/>
      <c r="C243" s="176"/>
      <c r="D243" s="176"/>
      <c r="E243" s="176"/>
      <c r="F243" s="180" t="s">
        <v>551</v>
      </c>
      <c r="G243" s="434">
        <v>0</v>
      </c>
    </row>
    <row r="244" spans="1:7" ht="20.100000000000001" customHeight="1">
      <c r="A244" s="478" t="s">
        <v>552</v>
      </c>
      <c r="B244" s="176"/>
      <c r="C244" s="176"/>
      <c r="D244" s="176"/>
      <c r="E244" s="176"/>
      <c r="F244" s="180" t="s">
        <v>553</v>
      </c>
      <c r="G244" s="434">
        <v>0</v>
      </c>
    </row>
    <row r="245" spans="1:7" ht="20.100000000000001" customHeight="1">
      <c r="A245" s="478"/>
      <c r="B245" s="176"/>
      <c r="C245" s="176"/>
      <c r="D245" s="176"/>
      <c r="E245" s="176"/>
      <c r="F245" s="180"/>
      <c r="G245" s="714"/>
    </row>
    <row r="246" spans="1:7" ht="20.100000000000001" customHeight="1">
      <c r="A246" s="708" t="s">
        <v>554</v>
      </c>
      <c r="B246" s="545"/>
      <c r="C246" s="545"/>
      <c r="D246" s="545"/>
      <c r="E246" s="545"/>
      <c r="F246" s="546"/>
      <c r="G246" s="595">
        <f>SUM(G232:G244)</f>
        <v>2360485</v>
      </c>
    </row>
    <row r="247" spans="1:7" ht="20.100000000000001" customHeight="1">
      <c r="A247" s="488"/>
      <c r="B247" s="199"/>
      <c r="C247" s="199"/>
      <c r="D247" s="199"/>
      <c r="E247" s="199"/>
      <c r="F247" s="199"/>
      <c r="G247" s="552"/>
    </row>
    <row r="248" spans="1:7" ht="20.100000000000001" customHeight="1" thickBot="1">
      <c r="A248" s="501" t="s">
        <v>555</v>
      </c>
      <c r="B248" s="502"/>
      <c r="C248" s="502"/>
      <c r="D248" s="502"/>
      <c r="E248" s="502"/>
      <c r="F248" s="503"/>
      <c r="G248" s="504">
        <f>SUM(G194+G228+G246)</f>
        <v>73030478</v>
      </c>
    </row>
    <row r="249" spans="1:7" ht="20.100000000000001" customHeight="1" thickTop="1">
      <c r="A249" s="715"/>
      <c r="B249" s="716"/>
      <c r="C249" s="716"/>
      <c r="D249" s="716"/>
      <c r="E249" s="716"/>
      <c r="F249" s="717"/>
      <c r="G249" s="718"/>
    </row>
    <row r="250" spans="1:7" ht="20.100000000000001" customHeight="1">
      <c r="A250" s="832"/>
      <c r="B250" s="833"/>
      <c r="C250" s="833"/>
      <c r="D250" s="833"/>
      <c r="E250" s="833"/>
      <c r="F250" s="834"/>
      <c r="G250" s="719"/>
    </row>
    <row r="251" spans="1:7" ht="20.100000000000001" customHeight="1">
      <c r="A251" s="478"/>
      <c r="B251" s="176"/>
      <c r="C251" s="176"/>
      <c r="D251" s="176"/>
      <c r="E251" s="176"/>
      <c r="F251" s="180"/>
      <c r="G251" s="205"/>
    </row>
    <row r="252" spans="1:7" ht="20.100000000000001" customHeight="1">
      <c r="A252" s="478" t="s">
        <v>556</v>
      </c>
      <c r="B252" s="176"/>
      <c r="C252" s="176"/>
      <c r="D252" s="176"/>
      <c r="E252" s="176"/>
      <c r="F252" s="189">
        <v>30100</v>
      </c>
      <c r="G252" s="434">
        <v>0</v>
      </c>
    </row>
    <row r="253" spans="1:7" ht="20.100000000000001" customHeight="1">
      <c r="A253" s="478" t="s">
        <v>557</v>
      </c>
      <c r="B253" s="176"/>
      <c r="C253" s="176"/>
      <c r="D253" s="176"/>
      <c r="E253" s="176"/>
      <c r="F253" s="189">
        <v>30200</v>
      </c>
      <c r="G253" s="434">
        <v>0</v>
      </c>
    </row>
    <row r="254" spans="1:7" ht="20.100000000000001" customHeight="1">
      <c r="A254" s="478" t="s">
        <v>558</v>
      </c>
      <c r="B254" s="176"/>
      <c r="C254" s="176"/>
      <c r="D254" s="176"/>
      <c r="E254" s="176"/>
      <c r="F254" s="189">
        <v>30300</v>
      </c>
      <c r="G254" s="434">
        <v>0</v>
      </c>
    </row>
    <row r="255" spans="1:7" ht="20.100000000000001" customHeight="1">
      <c r="A255" s="478" t="s">
        <v>559</v>
      </c>
      <c r="B255" s="176"/>
      <c r="C255" s="176"/>
      <c r="D255" s="176"/>
      <c r="E255" s="176"/>
      <c r="F255" s="189">
        <v>30400</v>
      </c>
      <c r="G255" s="434">
        <v>1374334</v>
      </c>
    </row>
    <row r="256" spans="1:7" ht="20.100000000000001" customHeight="1">
      <c r="A256" s="478" t="s">
        <v>560</v>
      </c>
      <c r="B256" s="176"/>
      <c r="C256" s="176"/>
      <c r="D256" s="176"/>
      <c r="E256" s="176"/>
      <c r="F256" s="189">
        <v>30500</v>
      </c>
      <c r="G256" s="434">
        <v>0</v>
      </c>
    </row>
    <row r="257" spans="1:12" ht="20.100000000000001" customHeight="1">
      <c r="A257" s="478" t="s">
        <v>561</v>
      </c>
      <c r="B257" s="176"/>
      <c r="C257" s="176"/>
      <c r="D257" s="176"/>
      <c r="E257" s="176"/>
      <c r="F257" s="189">
        <v>30600</v>
      </c>
      <c r="G257" s="434">
        <v>0</v>
      </c>
    </row>
    <row r="258" spans="1:12" ht="20.100000000000001" customHeight="1">
      <c r="A258" s="478" t="s">
        <v>562</v>
      </c>
      <c r="B258" s="176"/>
      <c r="C258" s="176"/>
      <c r="D258" s="176"/>
      <c r="E258" s="176"/>
      <c r="F258" s="189">
        <v>30700</v>
      </c>
      <c r="G258" s="434">
        <v>0</v>
      </c>
    </row>
    <row r="259" spans="1:12" ht="20.100000000000001" customHeight="1">
      <c r="A259" s="478" t="s">
        <v>563</v>
      </c>
      <c r="B259" s="176"/>
      <c r="C259" s="176"/>
      <c r="D259" s="176"/>
      <c r="E259" s="176"/>
      <c r="F259" s="189">
        <v>30900</v>
      </c>
      <c r="G259" s="434">
        <v>0</v>
      </c>
    </row>
    <row r="260" spans="1:12" ht="20.100000000000001" customHeight="1">
      <c r="A260" s="478" t="s">
        <v>564</v>
      </c>
      <c r="B260" s="176"/>
      <c r="C260" s="176"/>
      <c r="D260" s="176"/>
      <c r="E260" s="176"/>
      <c r="F260" s="189">
        <v>31100</v>
      </c>
      <c r="G260" s="582">
        <v>14300000</v>
      </c>
    </row>
    <row r="261" spans="1:12" ht="20.100000000000001" customHeight="1">
      <c r="A261" s="478"/>
      <c r="B261" s="176"/>
      <c r="C261" s="176"/>
      <c r="D261" s="176"/>
      <c r="E261" s="176"/>
      <c r="F261" s="189"/>
      <c r="G261" s="720"/>
    </row>
    <row r="262" spans="1:12" ht="20.100000000000001" customHeight="1">
      <c r="A262" s="479" t="s">
        <v>565</v>
      </c>
      <c r="B262" s="176"/>
      <c r="C262" s="176"/>
      <c r="D262" s="176"/>
      <c r="E262" s="176"/>
      <c r="F262" s="189"/>
      <c r="G262" s="721">
        <f>SUM(G252:G260)</f>
        <v>15674334</v>
      </c>
    </row>
    <row r="263" spans="1:12" ht="20.100000000000001" customHeight="1">
      <c r="A263" s="479"/>
      <c r="B263" s="176"/>
      <c r="C263" s="176"/>
      <c r="D263" s="176"/>
      <c r="E263" s="176"/>
      <c r="F263" s="189"/>
      <c r="G263" s="205"/>
    </row>
    <row r="264" spans="1:12" ht="20.100000000000001" customHeight="1" thickBot="1">
      <c r="A264" s="490" t="s">
        <v>762</v>
      </c>
      <c r="F264" s="195">
        <v>30800</v>
      </c>
      <c r="G264" s="1156">
        <v>-31779723.190000001</v>
      </c>
      <c r="H264" s="506"/>
    </row>
    <row r="265" spans="1:12" ht="20.100000000000001" customHeight="1">
      <c r="A265" s="486"/>
      <c r="F265" s="195"/>
      <c r="G265" s="205"/>
    </row>
    <row r="266" spans="1:12" ht="20.100000000000001" customHeight="1">
      <c r="A266" s="491" t="s">
        <v>566</v>
      </c>
      <c r="B266" s="492"/>
      <c r="C266" s="492"/>
      <c r="D266" s="492"/>
      <c r="E266" s="492"/>
      <c r="F266" s="493"/>
      <c r="G266" s="494">
        <f>G262+G264</f>
        <v>-16105389.190000001</v>
      </c>
      <c r="H266" s="507"/>
    </row>
    <row r="267" spans="1:12">
      <c r="A267" s="206"/>
      <c r="B267" s="206"/>
      <c r="C267" s="206"/>
      <c r="D267" s="206"/>
      <c r="E267" s="206"/>
      <c r="F267" s="207"/>
      <c r="G267" s="208"/>
      <c r="H267" s="209"/>
      <c r="I267" s="209"/>
      <c r="J267" s="209"/>
      <c r="K267" s="209"/>
      <c r="L267" s="209"/>
    </row>
    <row r="268" spans="1:12" ht="13.5" customHeight="1">
      <c r="I268" s="209"/>
      <c r="J268" s="209"/>
      <c r="K268" s="209"/>
      <c r="L268" s="209"/>
    </row>
    <row r="269" spans="1:12">
      <c r="I269" s="209"/>
      <c r="J269" s="209"/>
      <c r="K269" s="209"/>
      <c r="L269" s="209"/>
    </row>
  </sheetData>
  <sheetProtection algorithmName="SHA-512" hashValue="P34fdHcpDdMFpgo+BC3KthkQnXWBsT+9nyBE/BgIXOol0L/82KChgaSkPMuHh/GmwpqSGbO6EK22b1bunJzkPw==" saltValue="u24oLvAFuGrYT6WAUWfDX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 right="0" top="0.5" bottom="0.5" header="0.5" footer="0.5"/>
  <pageSetup scale="50" orientation="portrait" r:id="rId1"/>
  <headerFooter alignWithMargins="0">
    <oddFooter>&amp;L&amp;Z&amp;F&amp;R&amp;D</oddFooter>
  </headerFooter>
  <rowBreaks count="5" manualBreakCount="5">
    <brk id="65" max="16383" man="1"/>
    <brk id="120" max="16383" man="1"/>
    <brk id="143" max="16383" man="1"/>
    <brk id="194" max="16383" man="1"/>
    <brk id="248" max="16383" man="1"/>
  </rowBreaks>
  <ignoredErrors>
    <ignoredError sqref="A245:A249 F138:F139 F124:F127 F118 F110:F114 F11:F17 F190:F192 F28:F34 A227:H227 F158:F171 F147:F156 A257:A261 B242:H243 B228:F228 H228 B247:H249 B246:F246 H246 F52:F66 A263 A254:A255 B229:H229 F38:F41 A251:A252 A265:H271 B264:F264 A229:A231 F68:F74 F95:F98 F100:F104 B231:H231 G230:H230 B251:H251 G250:H250 B261:H263 B232:F235 H232:H235 B252:F260 H252:H260 F89:F92 B240:F241 H240:H241 H198:H203 B198:F203 F133 F135:F136 B205:F221 B224:F226 B222:E223 H205:H226 F21:F26 F175:F188 F76:F87 F46:F50 B245:H245 B244:F244 H244" numberStoredAsText="1"/>
    <ignoredError sqref="G86 G77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ee822479-6e51-4d14-b6b0-2c589e913e66"/>
    <ds:schemaRef ds:uri="http://schemas.microsoft.com/office/2006/documentManagement/types"/>
    <ds:schemaRef ds:uri="http://purl.org/dc/terms/"/>
    <ds:schemaRef ds:uri="http://purl.org/dc/elements/1.1/"/>
    <ds:schemaRef ds:uri="http://schemas.microsoft.com/office/infopath/2007/PartnerControls"/>
    <ds:schemaRef ds:uri="http://schemas.microsoft.com/office/2006/metadata/properties"/>
    <ds:schemaRef ds:uri="http://www.w3.org/XML/1998/namespace"/>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103</vt:i4>
      </vt:variant>
    </vt:vector>
  </HeadingPairs>
  <TitlesOfParts>
    <vt:vector size="117"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ADDITIONAL__REDUCED_BUDGETED_FEE_REVENUES</vt:lpstr>
      <vt:lpstr>AMOUNT</vt:lpstr>
      <vt:lpstr>BFR</vt:lpstr>
      <vt:lpstr>BLOCK_TUITION_CHARGED</vt:lpstr>
      <vt:lpstr>VLOOKUP!BROWARD_COLLEGE</vt:lpstr>
      <vt:lpstr>Budget2</vt:lpstr>
      <vt:lpstr>BUDGETED_FEE_REVENUES</vt:lpstr>
      <vt:lpstr>CAPITAL_IMPROVEMENT_FEE__1</vt:lpstr>
      <vt:lpstr>CAPITAL_OUTLAY</vt:lpstr>
      <vt:lpstr>CAPITAL_OUTLAY_______GLC_700S</vt:lpstr>
      <vt:lpstr>CHANGE_IN_CHARGE_PER_STUDENT_CREDIT_HOUR</vt:lpstr>
      <vt:lpstr>CHARGE_PER_STUDENT_CREDIT_HOUR</vt:lpstr>
      <vt:lpstr>CURRENT_EXPENSE_______GLC_600S</vt:lpstr>
      <vt:lpstr>CURRENT_FUNDS___UNRESTRICTED_LOWER_AND_UPPER_LEVEL</vt:lpstr>
      <vt:lpstr>Disciplin2</vt:lpstr>
      <vt:lpstr>DISCIPLINE</vt:lpstr>
      <vt:lpstr>Discipline4</vt:lpstr>
      <vt:lpstr>Enter_amounts_only_for_cells_highlighted_in_light_yellow.</vt:lpstr>
      <vt:lpstr>FEE_EXEMPT__DUAL_ENROLLMENT____APPRENTICESHIP__ETC.</vt:lpstr>
      <vt:lpstr>FUNCTION</vt:lpstr>
      <vt:lpstr>FUND_TRANSFERRED_FROM</vt:lpstr>
      <vt:lpstr>FUND_TRANSFERRED_TO</vt:lpstr>
      <vt:lpstr>GENERAL__LEDGER_CODE</vt:lpstr>
      <vt:lpstr>GENERAL_LEDGER_CODE</vt:lpstr>
      <vt:lpstr>GL25p</vt:lpstr>
      <vt:lpstr>GLC</vt:lpstr>
      <vt:lpstr>GLC21b</vt:lpstr>
      <vt:lpstr>GLC23b</vt:lpstr>
      <vt:lpstr>GLCode2</vt:lpstr>
      <vt:lpstr>Ledger</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OUT_OF_STATE_FEES</vt:lpstr>
      <vt:lpstr>PERSONNEL____GLC_500S</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D'!Print_Titles</vt:lpstr>
      <vt:lpstr>'EXHIBIT G'!Print_Titles</vt:lpstr>
      <vt:lpstr>PURPOSE_OF_TRANSFER</vt:lpstr>
      <vt:lpstr>RESTRICTED_SOURCES</vt:lpstr>
      <vt:lpstr>restrictedandunrestrictedsources</vt:lpstr>
      <vt:lpstr>RestrictedSources</vt:lpstr>
      <vt:lpstr>Restrictedsources1</vt:lpstr>
      <vt:lpstr>RSources</vt:lpstr>
      <vt:lpstr>SOURCES_OF_FUNDS</vt:lpstr>
      <vt:lpstr>STUDENT_ACTIVITY_FEE__1</vt:lpstr>
      <vt:lpstr>STUDENT_BLOCK_TUITION</vt:lpstr>
      <vt:lpstr>STUDENT_FEES</vt:lpstr>
      <vt:lpstr>STUDENT_FINANCIAL_AID_FEE__1</vt:lpstr>
      <vt:lpstr>STUDENT_OUT_OF_STATE_FEES</vt:lpstr>
      <vt:lpstr>STUDENT_TUITION</vt:lpstr>
      <vt:lpstr>StudentFinancialAidfeenonres</vt:lpstr>
      <vt:lpstr>TECHNOLOGY_FEE__1</vt:lpstr>
      <vt:lpstr>TOTAL</vt:lpstr>
      <vt:lpstr>TOTAL_ANNUAL_HEADCOUNT_UNDUPLICATED_BY_TERM_BLOCK</vt:lpstr>
      <vt:lpstr>TOTAL_FEE_PAYING</vt:lpstr>
      <vt:lpstr>TOTAL_PLANNED_CREDIT_HOURS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2025-06-04T23:18:49Z</cp:lastPrinted>
  <dcterms:created xsi:type="dcterms:W3CDTF">2005-03-22T15:46:43Z</dcterms:created>
  <dcterms:modified xsi:type="dcterms:W3CDTF">2025-08-06T15:27:37Z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