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6772D816-D406-4D1E-BA5D-501ACCA4AF97}" xr6:coauthVersionLast="47" xr6:coauthVersionMax="47" xr10:uidLastSave="{00000000-0000-0000-0000-000000000000}"/>
  <workbookProtection workbookAlgorithmName="SHA-512" workbookHashValue="BCRtQs0z0cqPlVtHFbNQ70WliIc2GXWMuXKKTdEQ5j1I0qnXrYnUghiSpscyODroT0QmJc1HZabvdeHJg2WhZw==" workbookSaltValue="V/v7mCIVAaosJOgm3VF+9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2" i="7" l="1"/>
  <c r="G169" i="7"/>
  <c r="G167" i="7"/>
  <c r="G165" i="7"/>
  <c r="G162" i="7"/>
  <c r="G171" i="7"/>
  <c r="G224" i="7" l="1"/>
  <c r="B67" i="6" l="1"/>
  <c r="G238" i="7" l="1"/>
  <c r="G233" i="7"/>
  <c r="G219" i="7"/>
  <c r="G215" i="7"/>
  <c r="G212" i="7"/>
  <c r="G211" i="7"/>
  <c r="G210" i="7"/>
  <c r="G207" i="7"/>
  <c r="G201" i="7"/>
  <c r="G199" i="7"/>
  <c r="G198" i="7"/>
  <c r="G223" i="7"/>
  <c r="G216" i="7"/>
  <c r="G214" i="7"/>
  <c r="G213" i="7"/>
  <c r="G206" i="7"/>
  <c r="G205" i="7"/>
  <c r="G203" i="7"/>
  <c r="G202" i="7"/>
  <c r="G200" i="7"/>
  <c r="G153" i="7" l="1"/>
  <c r="G190" i="7"/>
  <c r="G185" i="7"/>
  <c r="G184" i="7"/>
  <c r="G176" i="7"/>
  <c r="G155" i="7"/>
  <c r="G192" i="7"/>
  <c r="G188" i="7"/>
  <c r="G187" i="7"/>
  <c r="G186" i="7"/>
  <c r="G182" i="7"/>
  <c r="G181" i="7"/>
  <c r="G179" i="7"/>
  <c r="G178" i="7"/>
  <c r="G175" i="7"/>
  <c r="G168" i="7"/>
  <c r="G154" i="7"/>
  <c r="G149" i="7"/>
  <c r="G148" i="7"/>
  <c r="G147" i="7"/>
  <c r="G61" i="7"/>
  <c r="G60" i="7"/>
  <c r="G49" i="7"/>
  <c r="D19" i="6"/>
  <c r="D23" i="6"/>
  <c r="D21" i="6"/>
  <c r="D20" i="6"/>
  <c r="D14" i="6"/>
  <c r="D12" i="6"/>
  <c r="D11" i="6"/>
  <c r="G127" i="7" l="1"/>
  <c r="G124" i="7"/>
  <c r="G112" i="7"/>
  <c r="G111" i="7"/>
  <c r="G58" i="7" l="1"/>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c r="I31" i="5"/>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G36" i="7"/>
  <c r="H37" i="6"/>
  <c r="H45" i="6"/>
  <c r="G38" i="7"/>
  <c r="G43" i="7" s="1"/>
  <c r="H17" i="6"/>
  <c r="H28" i="6" s="1"/>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<sst xmlns="http://schemas.openxmlformats.org/spreadsheetml/2006/main" count="1318" uniqueCount="795">
  <si>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</si>
  <si>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</si>
  <si>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</si>
  <si>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</si>
  <si>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</si>
  <si>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</si>
  <si>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</si>
  <si>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</si>
  <si>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</si>
  <si>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</si>
  <si>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</si>
  <si>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</si>
  <si>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</si>
  <si>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</si>
  <si>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</si>
  <si>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</si>
  <si>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</si>
  <si>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</si>
  <si>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</si>
  <si>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</si>
  <si>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</si>
  <si>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</si>
  <si>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</si>
  <si>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</si>
  <si>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</si>
  <si>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</si>
  <si>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</si>
  <si>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</si>
  <si>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</si>
  <si>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</si>
  <si>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</si>
  <si>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</si>
  <si>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</si>
  <si>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</si>
  <si>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</si>
  <si>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</si>
  <si>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</si>
  <si>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</si>
  <si>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</si>
  <si>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</si>
  <si>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</si>
  <si>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</si>
  <si>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</si>
  <si>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</si>
  <si>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</si>
  <si>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</si>
  <si>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</si>
  <si>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</si>
  <si>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</si>
  <si>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</si>
  <si>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</si>
  <si>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</si>
  <si>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</si>
  <si>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</si>
  <si>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</si>
  <si>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</si>
  <si>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</si>
  <si>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</si>
  <si>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</si>
  <si>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</si>
  <si>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</si>
  <si>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</si>
  <si>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</si>
  <si>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</si>
  <si>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</si>
  <si>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</si>
  <si>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</si>
  <si>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</si>
  <si>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</si>
  <si>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</si>
  <si>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</si>
  <si>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</si>
  <si>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</si>
  <si>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</si>
  <si>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</si>
  <si>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</si>
  <si>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</si>
  <si>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</si>
  <si>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</si>
  <si>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</si>
  <si>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</si>
  <si>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</si>
  <si>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</si>
  <si>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</si>
  <si>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</si>
  <si>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</si>
  <si>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</si>
  <si>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</si>
  <si>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</si>
  <si>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</si>
  <si>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</si>
  <si>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</si>
  <si>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</si>
  <si>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</si>
  <si>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</si>
  <si>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</si>
  <si>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</si>
  <si>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</si>
  <si>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</si>
  <si>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</si>
  <si>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</si>
  <si>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</si>
  <si>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</si>
  <si>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</si>
  <si>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</si>
  <si>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</si>
  <si>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</si>
  <si>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</si>
  <si>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</si>
  <si>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</si>
  <si>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</si>
  <si>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</si>
  <si>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</si>
  <si>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</si>
  <si>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</si>
  <si>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</si>
  <si>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</si>
  <si>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</si>
  <si>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</si>
  <si>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</si>
  <si>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</si>
  <si>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</si>
  <si>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</si>
  <si>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</si>
  <si>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</si>
  <si>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</si>
  <si>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</si>
  <si>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</si>
  <si>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</si>
  <si>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</si>
  <si>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</si>
  <si>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</si>
  <si>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</si>
  <si>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</si>
  <si>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</si>
  <si>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</si>
  <si>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</si>
  <si>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</si>
  <si>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</si>
  <si>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</si>
  <si>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</si>
  <si>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</si>
  <si>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</si>
  <si>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</si>
  <si>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</si>
  <si>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</si>
  <si>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</si>
  <si>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</si>
  <si>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</si>
  <si>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</si>
  <si>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</si>
  <si>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</si>
  <si>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</si>
  <si>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</si>
  <si>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</si>
  <si>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</si>
  <si>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</si>
  <si>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</si>
  <si>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</si>
  <si>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</si>
  <si>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</si>
  <si>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</si>
  <si>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</si>
  <si>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</si>
  <si>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</si>
  <si>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</si>
  <si>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</si>
  <si>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</si>
  <si>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</si>
  <si>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</si>
  <si>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</si>
  <si>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</si>
  <si>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</si>
  <si>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</si>
  <si>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</si>
  <si>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</si>
  <si>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</si>
  <si>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</si>
  <si>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</si>
  <si>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</si>
  <si>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</si>
  <si>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</si>
  <si>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</si>
  <si>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</si>
  <si>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</si>
  <si>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</si>
  <si>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</si>
  <si>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</si>
  <si>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</si>
  <si>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</si>
  <si>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</si>
  <si>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</si>
  <si>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</si>
  <si>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</si>
  <si>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</si>
  <si>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</si>
  <si>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</si>
  <si>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</si>
  <si>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</si>
  <si>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</si>
  <si>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</si>
  <si>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</si>
  <si>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</si>
  <si>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</si>
  <si>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</si>
  <si>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</si>
  <si>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</si>
  <si>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</si>
  <si>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</si>
  <si>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</si>
  <si>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</si>
  <si>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</si>
  <si>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</si>
  <si>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</si>
  <si>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</si>
  <si>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</si>
  <si>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</si>
  <si>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</si>
  <si>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</si>
  <si>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</si>
  <si>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</si>
  <si>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</si>
  <si>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</si>
  <si>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</si>
  <si>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</si>
  <si>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</si>
  <si>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</si>
  <si>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</si>
  <si>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</si>
  <si>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</si>
  <si>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</si>
  <si>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</si>
  <si>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</si>
  <si>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</si>
  <si>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</si>
  <si>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</si>
  <si>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</si>
  <si>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</si>
  <si>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</si>
  <si>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</si>
  <si>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</si>
  <si>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</si>
  <si>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</si>
  <si>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</si>
  <si>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</si>
  <si>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</si>
  <si>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</si>
  <si>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</si>
  <si>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</si>
  <si>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</si>
  <si>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</si>
  <si>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</si>
  <si>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</si>
  <si>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</si>
  <si>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</si>
  <si>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</si>
  <si>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</si>
  <si>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</si>
  <si>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</si>
  <si>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</si>
  <si>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</si>
  <si>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</si>
  <si>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</si>
  <si>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</si>
  <si>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</si>
  <si>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</si>
  <si>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</si>
  <si>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</si>
  <si>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</si>
  <si>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</si>
  <si>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</si>
  <si>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</si>
  <si>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</si>
  <si>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</si>
  <si>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</si>
  <si>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</si>
  <si>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</si>
  <si>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</si>
  <si>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</si>
  <si>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</si>
  <si>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</si>
  <si>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</si>
  <si>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</si>
  <si>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</si>
  <si>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</si>
  <si>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</si>
  <si>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</si>
  <si>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</si>
  <si>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</si>
  <si>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</si>
  <si>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</si>
  <si>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</si>
  <si>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</si>
  <si>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</si>
  <si>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</si>
  <si>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</si>
  <si>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</si>
  <si>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</si>
  <si>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</si>
  <si>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</si>
  <si>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</si>
  <si>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</si>
  <si>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</si>
  <si>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</si>
  <si>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</si>
  <si>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</si>
  <si>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</si>
  <si>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</si>
  <si>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</si>
  <si>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</si>
  <si>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</si>
  <si>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</si>
  <si>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</si>
  <si>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</si>
  <si>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</si>
  <si>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</si>
  <si>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</si>
  <si>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</si>
  <si>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</si>
  <si>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</si>
  <si>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</si>
  <si>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</si>
  <si>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</si>
  <si>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</si>
  <si>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</si>
  <si>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</si>
  <si>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</si>
  <si>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</si>
  <si>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</si>
  <si>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</si>
  <si>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</si>
  <si>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</si>
  <si>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</si>
  <si>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</si>
  <si>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</si>
  <si>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</si>
  <si>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</si>
  <si>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</si>
  <si>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</si>
  <si>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</si>
  <si>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</si>
  <si>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</si>
  <si>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</si>
  <si>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</si>
  <si>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</si>
  <si>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</si>
  <si>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</si>
  <si>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</si>
  <si>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</si>
  <si>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</si>
  <si>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</si>
  <si>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</si>
  <si>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</si>
  <si>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</si>
  <si>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</si>
  <si>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</si>
  <si>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</si>
  <si>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</si>
  <si>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</si>
  <si>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</si>
  <si>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</si>
  <si>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</si>
  <si>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</si>
  <si>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</si>
  <si>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</si>
  <si>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</si>
  <si>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</si>
  <si>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</si>
  <si>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</si>
  <si>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</si>
  <si>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</si>
  <si>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</si>
  <si>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</si>
  <si>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</si>
  <si>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</si>
  <si>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</si>
  <si>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</si>
  <si>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</si>
  <si>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</si>
  <si>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</si>
  <si>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</si>
  <si>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</si>
  <si>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</si>
  <si>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</si>
  <si>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</si>
  <si>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</si>
  <si>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</si>
  <si>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</si>
  <si>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</si>
  <si>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</si>
  <si>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</si>
  <si>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</si>
  <si>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</si>
  <si>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</si>
  <si>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</si>
  <si>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</si>
  <si>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</si>
  <si>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</si>
  <si>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</si>
  <si>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</si>
  <si>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</si>
  <si>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</si>
  <si>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</si>
  <si>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</si>
  <si>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</si>
  <si>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</si>
  <si>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</si>
  <si>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</si>
  <si>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</si>
  <si>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</si>
  <si>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</si>
  <si>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</si>
  <si>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</si>
  <si>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</si>
  <si>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</si>
  <si>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</si>
  <si>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</si>
  <si>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</si>
  <si>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</si>
  <si>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</si>
  <si>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</si>
  <si>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</si>
  <si>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</si>
  <si>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</si>
  <si>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</si>
  <si>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</si>
  <si>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</si>
  <si>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</si>
  <si>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</si>
  <si>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</si>
  <si>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</si>
  <si>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</si>
  <si>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</si>
  <si>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</si>
  <si>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</si>
  <si>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</si>
  <si>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</si>
  <si>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</si>
  <si>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</si>
  <si>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</si>
  <si>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</si>
  <si>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</si>
  <si>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</si>
  <si>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</si>
  <si>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</si>
  <si>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</si>
  <si>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</si>
  <si>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</si>
  <si>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</si>
  <si>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</si>
  <si>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</si>
  <si>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</si>
  <si>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</si>
  <si>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</si>
  <si>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</si>
  <si>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</si>
  <si>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</si>
  <si>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</si>
  <si>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</si>
  <si>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</si>
  <si>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</si>
  <si>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</si>
  <si>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</si>
  <si>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</si>
  <si>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</si>
  <si>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</si>
  <si>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</si>
  <si>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</si>
  <si>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</si>
  <si>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</si>
  <si>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</si>
  <si>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</si>
  <si>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</si>
  <si>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</si>
  <si>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</si>
  <si>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</si>
  <si>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</si>
  <si>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</si>
  <si>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</si>
  <si>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</si>
  <si>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</si>
  <si>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</si>
  <si>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</si>
  <si>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</si>
  <si>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</si>
  <si>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</si>
  <si>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</si>
  <si>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</si>
  <si>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</si>
  <si>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</si>
  <si>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</si>
  <si>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</si>
  <si>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</si>
  <si>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</si>
  <si>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</si>
  <si>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</si>
  <si>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</si>
  <si>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</si>
  <si>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</si>
  <si>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</si>
  <si>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</si>
  <si>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</si>
  <si>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</si>
  <si>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</si>
  <si>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</si>
  <si>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</si>
  <si>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</si>
  <si>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</si>
  <si>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</si>
  <si>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</si>
  <si>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</si>
  <si>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</si>
  <si>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</si>
  <si>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</si>
  <si>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</si>
  <si>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</si>
  <si>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</si>
  <si>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</si>
  <si>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</si>
  <si>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</si>
  <si>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</si>
  <si>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</si>
  <si>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</si>
  <si>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</si>
  <si>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</si>
  <si>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</si>
  <si>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</si>
  <si>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</si>
  <si>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</si>
  <si>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</si>
  <si>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</si>
  <si>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</si>
  <si>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</si>
  <si>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</si>
  <si>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</si>
  <si>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</si>
  <si>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</si>
  <si>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</si>
  <si>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</si>
  <si>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</si>
  <si>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</si>
  <si>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</si>
  <si>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</si>
  <si>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</si>
  <si>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</si>
  <si>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</si>
  <si>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</si>
  <si>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</si>
  <si>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</si>
  <si>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</si>
  <si>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</si>
  <si>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</si>
  <si>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</si>
  <si>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</si>
  <si>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</si>
  <si>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</si>
  <si>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</si>
  <si>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</si>
  <si>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</si>
  <si>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</si>
  <si>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</si>
  <si>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</si>
  <si>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</si>
  <si>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</si>
  <si>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</si>
  <si>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</si>
  <si>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</si>
  <si>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</si>
  <si>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</si>
  <si>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</si>
  <si>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</si>
  <si>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</si>
  <si>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</si>
  <si>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</si>
  <si>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</si>
  <si>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</si>
  <si>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</si>
  <si>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</si>
  <si>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</si>
  <si>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</si>
  <si>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</si>
  <si>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</si>
  <si>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</si>
  <si>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</si>
  <si>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</si>
  <si>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</si>
  <si>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</si>
  <si>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</si>
  <si>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</si>
  <si>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</si>
  <si>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</si>
  <si>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</si>
  <si>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</si>
  <si>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</si>
  <si>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</si>
  <si>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</si>
  <si>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</si>
  <si>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</si>
  <si>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</si>
  <si>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</si>
  <si>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</si>
  <si>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</si>
  <si>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</si>
  <si>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</si>
  <si>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</si>
  <si>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</si>
  <si>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</si>
  <si>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</si>
  <si>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</si>
  <si>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</si>
  <si>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</si>
  <si>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</si>
  <si>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</si>
  <si>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</si>
  <si>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</si>
  <si>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</si>
  <si>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</si>
  <si>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</si>
  <si>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</si>
  <si>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</si>
  <si>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</si>
  <si>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</si>
  <si>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</si>
  <si>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</si>
  <si>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</si>
  <si>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</si>
  <si>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</si>
  <si>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</si>
  <si>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</si>
  <si>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</si>
  <si>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</si>
  <si>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</si>
  <si>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</si>
  <si>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</si>
  <si>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</si>
  <si>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</si>
  <si>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</si>
  <si>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</si>
  <si>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</si>
  <si>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</si>
  <si>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</si>
  <si>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</si>
  <si>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</si>
  <si>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</si>
  <si>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</si>
  <si>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</si>
  <si>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</si>
  <si>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</si>
  <si>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</si>
  <si>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</si>
  <si>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</si>
  <si>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</si>
  <si>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</si>
  <si>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</si>
  <si>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</si>
  <si>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</si>
  <si>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</si>
  <si>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</si>
  <si>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</si>
  <si>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</si>
  <si>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</si>
  <si>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</si>
  <si>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</si>
  <si>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</si>
  <si>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</si>
  <si>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</si>
  <si>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</si>
  <si>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</si>
  <si>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</si>
  <si>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</si>
  <si>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</si>
  <si>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</si>
  <si>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</si>
  <si>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</si>
  <si>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</si>
  <si>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</si>
  <si>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</si>
  <si>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</si>
  <si>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</si>
  <si>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</si>
  <si>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</si>
  <si>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</si>
  <si>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</si>
  <si>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</si>
  <si>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</si>
  <si>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</si>
  <si>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</si>
  <si>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</si>
  <si>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</si>
  <si>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</si>
  <si>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</si>
  <si>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</si>
  <si>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</si>
  <si>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</si>
  <si>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</si>
  <si>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</si>
  <si>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</si>
  <si>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</si>
  <si>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</si>
  <si>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</si>
  <si>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</si>
  <si>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</si>
  <si>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</si>
  <si>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</si>
  <si>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</si>
  <si>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</si>
  <si>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</si>
  <si>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</si>
  <si>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</si>
  <si>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</si>
  <si>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</si>
  <si>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</si>
  <si>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</si>
  <si>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</si>
  <si>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</si>
  <si>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</si>
  <si>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</si>
  <si>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</si>
  <si>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</si>
  <si>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</si>
  <si>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</si>
  <si>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</si>
  <si>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</si>
  <si>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</si>
  <si>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</si>
  <si>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</si>
  <si>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</si>
  <si>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</si>
  <si>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</si>
  <si>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</si>
  <si>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</si>
  <si>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</si>
  <si>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</si>
  <si>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</si>
  <si>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</si>
  <si>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</si>
  <si>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</si>
  <si>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</si>
  <si>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</si>
  <si>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</si>
  <si>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</si>
  <si>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</si>
  <si>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</si>
  <si>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</si>
  <si>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</si>
  <si>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</si>
  <si>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</si>
  <si>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</si>
  <si>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</si>
  <si>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</si>
  <si>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</si>
  <si>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</si>
  <si>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</si>
  <si>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</si>
  <si>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</si>
  <si>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</si>
  <si>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</si>
  <si>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</si>
  <si>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</si>
  <si>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</si>
  <si>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</si>
  <si>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</si>
  <si>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</si>
  <si>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</si>
  <si>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</si>
  <si>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</si>
  <si>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</si>
  <si>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</si>
  <si>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</si>
  <si>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</si>
  <si>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</si>
  <si>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</si>
  <si>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</si>
  <si>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</si>
  <si>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</si>
  <si>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</si>
  <si>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</si>
  <si>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</si>
  <si>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</si>
  <si>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</si>
  <si>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</si>
  <si>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</si>
  <si>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Pipeline Funds</t>
  </si>
  <si>
    <t xml:space="preserve">Fund 1 </t>
  </si>
  <si>
    <t>Fund 3</t>
  </si>
  <si>
    <t>Fund 2</t>
  </si>
  <si>
    <t>President's Discretionary</t>
  </si>
  <si>
    <t>Business Hospitality</t>
  </si>
  <si>
    <t>Recognition and Wellness</t>
  </si>
  <si>
    <t>HR - Leadership Excellence</t>
  </si>
  <si>
    <t>VP's &amp; Deans In-district meals</t>
  </si>
  <si>
    <t>Operational Support</t>
  </si>
  <si>
    <t>Fund 1</t>
  </si>
  <si>
    <t xml:space="preserve">Postescondary vocational: The College uses estimated actual load hours versus estimated load hours from FTE.  Developmental Education: The College uses estimated actual load hours versus estimated load hours from FTE to calculate tuition revenue.  Educational Preparation Institutes: The College uses estimated actual load hours versus estimated load hours from FTE.  </t>
  </si>
  <si>
    <t xml:space="preserve">Postescondary vocational: The College uses estimated actual load hours versus estimated load hours from FTE. Developmental Education: The College uses estimated actual load hours versus estimated load hours from FTE to calculate tuition revenue. Educational Preparation Institutes: The College uses estimated actual load hours versus estimated load hours from FTE.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</si>
</sst>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
      <sz val="11"/>
      <color rgb="FF242424"/>
      <name val="Aptos Narrow"/>
      <family val="2"/>
    </font>
    <font>
      <b/>
      <sz val="18"/>
      <color rgb="FF366092"/>
      <name val="Calibri"/>
      <family val="2"/>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
      <patternFill patternType="solid">
        <fgColor rgb="FFFFFFCC"/>
        <bgColor rgb="FF000000"/>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9">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xf numFmtId="49" fontId="180" fillId="32" borderId="303" xfId="0" applyNumberFormat="1" applyFont="1" applyFill="1" applyBorder="1" applyAlignment="1" applyProtection="1">
      <alignment horizontal="centerContinuous" vertical="top" wrapText="1"/>
      <protection locked="0"/>
    </xf>
    <xf numFmtId="165" fontId="68" fillId="37" borderId="294" xfId="181" applyNumberFormat="1" applyFont="1" applyFill="1" applyBorder="1" applyAlignment="1">
      <alignment horizontal="right"/>
    </xf>
    <xf numFmtId="165" fontId="68" fillId="37" borderId="281" xfId="181" applyNumberFormat="1" applyFont="1" applyFill="1" applyBorder="1" applyAlignment="1">
      <alignment horizontal="right"/>
    </xf>
    <xf numFmtId="3" fontId="147" fillId="37" borderId="258" xfId="0" applyNumberFormat="1" applyFont="1" applyFill="1" applyBorder="1"/>
    <xf numFmtId="3" fontId="68" fillId="37" borderId="150" xfId="0" applyNumberFormat="1" applyFont="1" applyFill="1" applyBorder="1"/>
    <xf numFmtId="3" fontId="181" fillId="81" borderId="313" xfId="0" applyNumberFormat="1" applyFont="1" applyFill="1" applyBorder="1" applyProtection="1">
      <protection locked="0"/>
    </xf>
    <xf numFmtId="3" fontId="181" fillId="81" borderId="294" xfId="0" applyNumberFormat="1" applyFont="1" applyFill="1" applyBorder="1" applyProtection="1">
      <protection locked="0"/>
    </xf>
    <xf numFmtId="168" fontId="181" fillId="81" borderId="313" xfId="0"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N23" sqref="N23"/>
    </sheetView>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773</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7" t="s">
        <v>772</v>
      </c>
      <c r="B7" s="1128"/>
      <c r="C7" s="1129" t="s">
        <v>774</v>
      </c>
      <c r="D7" s="1127">
        <v>40280</v>
      </c>
      <c r="E7" s="1131" t="s">
        <v>775</v>
      </c>
    </row>
    <row r="8" spans="1:5" s="3" customFormat="1" ht="20.100000000000001" customHeight="1">
      <c r="A8" s="1127"/>
      <c r="B8" s="1128"/>
      <c r="C8" s="1129"/>
      <c r="D8" s="1127"/>
      <c r="E8" s="1131"/>
    </row>
    <row r="9" spans="1:5" s="3" customFormat="1" ht="20.100000000000001" customHeight="1">
      <c r="A9" s="1130"/>
      <c r="B9" s="1132"/>
      <c r="C9" s="1129"/>
      <c r="D9" s="1137"/>
      <c r="E9" s="1131"/>
    </row>
    <row r="10" spans="1:5" s="3" customFormat="1" ht="20.100000000000001" customHeight="1">
      <c r="A10" s="1133" t="s">
        <v>9</v>
      </c>
      <c r="B10" s="1134"/>
      <c r="C10" s="1135" t="s">
        <v>10</v>
      </c>
      <c r="D10" s="1135"/>
      <c r="E10" s="1135" t="s">
        <v>10</v>
      </c>
    </row>
    <row r="11" spans="1:5" s="3" customFormat="1" ht="20.100000000000001" customHeight="1">
      <c r="A11" s="1133"/>
      <c r="B11" s="1134"/>
      <c r="C11" s="1134"/>
      <c r="D11" s="1135"/>
      <c r="E11" s="1134"/>
    </row>
    <row r="12" spans="1:5" ht="20.100000000000001" customHeight="1">
      <c r="A12" s="1134"/>
      <c r="B12" s="1134"/>
      <c r="C12" s="1134"/>
      <c r="D12" s="1135"/>
      <c r="E12" s="1134"/>
    </row>
    <row r="13" spans="1:5" ht="20.100000000000001" customHeight="1">
      <c r="A13" s="1136" t="s">
        <v>10</v>
      </c>
      <c r="B13" s="1134"/>
      <c r="C13" s="1134"/>
      <c r="D13" s="1135"/>
      <c r="E13" s="1134"/>
    </row>
    <row r="14" spans="1:5" ht="20.100000000000001" customHeight="1">
      <c r="A14" s="1136"/>
      <c r="B14" s="1134"/>
      <c r="C14" s="1134"/>
      <c r="D14" s="1138"/>
      <c r="E14" s="1134"/>
    </row>
    <row r="15" spans="1:5" ht="20.100000000000001" customHeight="1">
      <c r="A15" s="1136"/>
      <c r="B15" s="1134"/>
      <c r="C15" s="1134"/>
      <c r="D15" s="1138"/>
      <c r="E15" s="1134"/>
    </row>
    <row r="16" spans="1:5" ht="20.100000000000001" customHeight="1">
      <c r="A16" s="1136"/>
      <c r="B16" s="1134"/>
      <c r="C16" s="1134"/>
      <c r="D16" s="1138"/>
      <c r="E16" s="1134"/>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State College of Florida, Manatee-Sarasota</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761</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17640228</v>
      </c>
      <c r="C10" s="436">
        <v>7161299</v>
      </c>
      <c r="D10" s="436">
        <v>0</v>
      </c>
      <c r="E10" s="359">
        <f>SUM(B10:D10)</f>
        <v>24801527</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2480858</v>
      </c>
      <c r="C14" s="438">
        <v>855431</v>
      </c>
      <c r="D14" s="438">
        <v>0</v>
      </c>
      <c r="E14" s="360">
        <f t="shared" ref="E14:E20" si="0">SUM(B14:D14)</f>
        <v>3336289</v>
      </c>
      <c r="F14" s="342"/>
    </row>
    <row r="15" spans="1:8" s="11" customFormat="1" ht="20.100000000000001" customHeight="1">
      <c r="A15" s="358" t="s">
        <v>580</v>
      </c>
      <c r="B15" s="437">
        <v>0</v>
      </c>
      <c r="C15" s="430">
        <v>260000</v>
      </c>
      <c r="D15" s="430">
        <v>0</v>
      </c>
      <c r="E15" s="360">
        <f>SUM(B15:D15)</f>
        <v>260000</v>
      </c>
      <c r="F15" s="342"/>
    </row>
    <row r="16" spans="1:8" s="11" customFormat="1" ht="20.100000000000001" customHeight="1">
      <c r="A16" s="358" t="s">
        <v>581</v>
      </c>
      <c r="B16" s="437">
        <v>5733182</v>
      </c>
      <c r="C16" s="430">
        <v>493464</v>
      </c>
      <c r="D16" s="430">
        <v>0</v>
      </c>
      <c r="E16" s="360">
        <f t="shared" si="0"/>
        <v>6226646</v>
      </c>
      <c r="F16" s="342"/>
    </row>
    <row r="17" spans="1:6" s="11" customFormat="1" ht="20.100000000000001" customHeight="1">
      <c r="A17" s="358" t="s">
        <v>582</v>
      </c>
      <c r="B17" s="437">
        <v>17443479</v>
      </c>
      <c r="C17" s="430">
        <v>10632091</v>
      </c>
      <c r="D17" s="430">
        <v>0</v>
      </c>
      <c r="E17" s="360">
        <f t="shared" si="0"/>
        <v>28075570</v>
      </c>
      <c r="F17" s="342"/>
    </row>
    <row r="18" spans="1:6" s="11" customFormat="1" ht="20.100000000000001" customHeight="1">
      <c r="A18" s="358" t="s">
        <v>583</v>
      </c>
      <c r="B18" s="437">
        <v>1805465</v>
      </c>
      <c r="C18" s="430">
        <v>4721454</v>
      </c>
      <c r="D18" s="430">
        <v>13000</v>
      </c>
      <c r="E18" s="360">
        <f t="shared" si="0"/>
        <v>6539919</v>
      </c>
      <c r="F18" s="342"/>
    </row>
    <row r="19" spans="1:6" s="11" customFormat="1" ht="20.100000000000001" customHeight="1">
      <c r="A19" s="358" t="s">
        <v>584</v>
      </c>
      <c r="B19" s="437">
        <v>0</v>
      </c>
      <c r="C19" s="430">
        <v>822900</v>
      </c>
      <c r="D19" s="430">
        <v>0</v>
      </c>
      <c r="E19" s="360">
        <f t="shared" si="0"/>
        <v>822900</v>
      </c>
      <c r="F19" s="342"/>
    </row>
    <row r="20" spans="1:6" s="11" customFormat="1" ht="20.100000000000001" customHeight="1" thickBot="1">
      <c r="A20" s="358" t="s">
        <v>585</v>
      </c>
      <c r="B20" s="437">
        <v>0</v>
      </c>
      <c r="C20" s="431">
        <v>0</v>
      </c>
      <c r="D20" s="431">
        <v>0</v>
      </c>
      <c r="E20" s="360">
        <f t="shared" si="0"/>
        <v>0</v>
      </c>
      <c r="F20" s="342"/>
    </row>
    <row r="21" spans="1:6" s="11" customFormat="1" ht="24" customHeight="1" thickBot="1">
      <c r="A21" s="283" t="s">
        <v>48</v>
      </c>
      <c r="B21" s="343">
        <f>SUM(B10:B20)</f>
        <v>45103212</v>
      </c>
      <c r="C21" s="346">
        <f>SUM(C10:C20)</f>
        <v>24946639</v>
      </c>
      <c r="D21" s="346">
        <f>SUM(D10:D20)</f>
        <v>13000</v>
      </c>
      <c r="E21" s="345">
        <f>SUM(E10:E20)</f>
        <v>70062851</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State College of Florida, Manatee-Sarasota</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761</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741</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66">
        <v>0</v>
      </c>
      <c r="E10" s="1146">
        <v>0</v>
      </c>
      <c r="F10" s="1147">
        <f t="shared" ref="F10:F73" si="0">+D10+E10</f>
        <v>0</v>
      </c>
      <c r="I10" s="82"/>
      <c r="J10" s="23"/>
      <c r="K10" s="87"/>
      <c r="L10" s="87"/>
      <c r="M10" s="87"/>
      <c r="N10" s="87"/>
    </row>
    <row r="11" spans="1:224" s="11" customFormat="1" ht="30" customHeight="1">
      <c r="A11" s="722" t="s">
        <v>396</v>
      </c>
      <c r="B11" s="723"/>
      <c r="C11" s="724" t="s">
        <v>397</v>
      </c>
      <c r="D11" s="1167">
        <v>0</v>
      </c>
      <c r="E11" s="725">
        <v>0</v>
      </c>
      <c r="F11" s="726">
        <f t="shared" si="0"/>
        <v>0</v>
      </c>
      <c r="I11" s="82"/>
      <c r="J11" s="23"/>
      <c r="K11" s="87"/>
      <c r="L11" s="87"/>
      <c r="M11" s="87"/>
      <c r="N11" s="87"/>
    </row>
    <row r="12" spans="1:224" s="11" customFormat="1" ht="30" customHeight="1">
      <c r="A12" s="722" t="s">
        <v>398</v>
      </c>
      <c r="B12" s="723"/>
      <c r="C12" s="724" t="s">
        <v>399</v>
      </c>
      <c r="D12" s="1167">
        <v>0</v>
      </c>
      <c r="E12" s="725">
        <v>0</v>
      </c>
      <c r="F12" s="726">
        <f t="shared" si="0"/>
        <v>0</v>
      </c>
      <c r="I12" s="82"/>
      <c r="J12" s="23"/>
      <c r="K12" s="87"/>
      <c r="L12" s="87"/>
      <c r="M12" s="87"/>
      <c r="N12" s="87"/>
    </row>
    <row r="13" spans="1:224" s="11" customFormat="1" ht="30" customHeight="1">
      <c r="A13" s="722" t="s">
        <v>400</v>
      </c>
      <c r="B13" s="723"/>
      <c r="C13" s="724" t="s">
        <v>401</v>
      </c>
      <c r="D13" s="1167">
        <v>0</v>
      </c>
      <c r="E13" s="725">
        <v>0</v>
      </c>
      <c r="F13" s="726">
        <f t="shared" si="0"/>
        <v>0</v>
      </c>
      <c r="I13" s="82"/>
      <c r="J13" s="23"/>
      <c r="K13" s="87"/>
      <c r="L13" s="87"/>
      <c r="M13" s="87"/>
      <c r="N13" s="87"/>
    </row>
    <row r="14" spans="1:224" s="11" customFormat="1" ht="30" customHeight="1">
      <c r="A14" s="722" t="s">
        <v>402</v>
      </c>
      <c r="B14" s="723"/>
      <c r="C14" s="724" t="s">
        <v>403</v>
      </c>
      <c r="D14" s="1167">
        <v>0</v>
      </c>
      <c r="E14" s="725">
        <v>0</v>
      </c>
      <c r="F14" s="726">
        <f t="shared" si="0"/>
        <v>0</v>
      </c>
      <c r="I14" s="82"/>
      <c r="J14" s="23"/>
      <c r="K14" s="87"/>
      <c r="L14" s="87"/>
      <c r="M14" s="87"/>
      <c r="N14" s="87"/>
    </row>
    <row r="15" spans="1:224" s="11" customFormat="1" ht="30" customHeight="1">
      <c r="A15" s="722" t="s">
        <v>404</v>
      </c>
      <c r="B15" s="723"/>
      <c r="C15" s="724" t="s">
        <v>405</v>
      </c>
      <c r="D15" s="1167">
        <v>655004</v>
      </c>
      <c r="E15" s="725">
        <v>0</v>
      </c>
      <c r="F15" s="726">
        <f t="shared" si="0"/>
        <v>655004</v>
      </c>
      <c r="I15" s="82"/>
      <c r="J15" s="23"/>
      <c r="K15" s="87"/>
      <c r="L15" s="87"/>
      <c r="M15" s="87"/>
      <c r="N15" s="87"/>
    </row>
    <row r="16" spans="1:224" s="11" customFormat="1" ht="30" customHeight="1">
      <c r="A16" s="722" t="s">
        <v>406</v>
      </c>
      <c r="B16" s="723"/>
      <c r="C16" s="724" t="s">
        <v>407</v>
      </c>
      <c r="D16" s="1167">
        <v>242000</v>
      </c>
      <c r="E16" s="725">
        <v>0</v>
      </c>
      <c r="F16" s="726">
        <f t="shared" si="0"/>
        <v>242000</v>
      </c>
    </row>
    <row r="17" spans="1:6" s="11" customFormat="1" ht="30" customHeight="1">
      <c r="A17" s="722" t="s">
        <v>408</v>
      </c>
      <c r="B17" s="723"/>
      <c r="C17" s="724" t="s">
        <v>409</v>
      </c>
      <c r="D17" s="1167">
        <v>0</v>
      </c>
      <c r="E17" s="725">
        <v>0</v>
      </c>
      <c r="F17" s="726">
        <f t="shared" si="0"/>
        <v>0</v>
      </c>
    </row>
    <row r="18" spans="1:6" s="11" customFormat="1" ht="30" customHeight="1">
      <c r="A18" s="722" t="s">
        <v>410</v>
      </c>
      <c r="B18" s="723"/>
      <c r="C18" s="724" t="s">
        <v>411</v>
      </c>
      <c r="D18" s="1167">
        <v>0</v>
      </c>
      <c r="E18" s="725">
        <v>0</v>
      </c>
      <c r="F18" s="726">
        <f t="shared" si="0"/>
        <v>0</v>
      </c>
    </row>
    <row r="19" spans="1:6" s="11" customFormat="1" ht="30" customHeight="1">
      <c r="A19" s="722" t="s">
        <v>688</v>
      </c>
      <c r="B19" s="723"/>
      <c r="C19" s="724" t="s">
        <v>413</v>
      </c>
      <c r="D19" s="1167">
        <v>0</v>
      </c>
      <c r="E19" s="725">
        <v>0</v>
      </c>
      <c r="F19" s="726">
        <f t="shared" si="0"/>
        <v>0</v>
      </c>
    </row>
    <row r="20" spans="1:6" s="11" customFormat="1" ht="30" customHeight="1">
      <c r="A20" s="722" t="s">
        <v>414</v>
      </c>
      <c r="B20" s="723"/>
      <c r="C20" s="724">
        <v>52500</v>
      </c>
      <c r="D20" s="1167">
        <v>0</v>
      </c>
      <c r="E20" s="725">
        <v>0</v>
      </c>
      <c r="F20" s="726">
        <f>+D20+E20</f>
        <v>0</v>
      </c>
    </row>
    <row r="21" spans="1:6" s="11" customFormat="1" ht="30" customHeight="1">
      <c r="A21" s="722" t="s">
        <v>415</v>
      </c>
      <c r="B21" s="723"/>
      <c r="C21" s="724" t="s">
        <v>416</v>
      </c>
      <c r="D21" s="1167">
        <v>0</v>
      </c>
      <c r="E21" s="725">
        <v>0</v>
      </c>
      <c r="F21" s="726">
        <f t="shared" si="0"/>
        <v>0</v>
      </c>
    </row>
    <row r="22" spans="1:6" s="11" customFormat="1" ht="30" customHeight="1">
      <c r="A22" s="722" t="s">
        <v>417</v>
      </c>
      <c r="B22" s="723"/>
      <c r="C22" s="724" t="s">
        <v>418</v>
      </c>
      <c r="D22" s="1167">
        <v>0</v>
      </c>
      <c r="E22" s="725">
        <v>0</v>
      </c>
      <c r="F22" s="726">
        <f t="shared" si="0"/>
        <v>0</v>
      </c>
    </row>
    <row r="23" spans="1:6" s="11" customFormat="1" ht="30" customHeight="1">
      <c r="A23" s="722" t="s">
        <v>419</v>
      </c>
      <c r="B23" s="723"/>
      <c r="C23" s="724" t="s">
        <v>420</v>
      </c>
      <c r="D23" s="1167">
        <v>0</v>
      </c>
      <c r="E23" s="725">
        <v>0</v>
      </c>
      <c r="F23" s="726">
        <f t="shared" si="0"/>
        <v>0</v>
      </c>
    </row>
    <row r="24" spans="1:6" s="11" customFormat="1" ht="30" customHeight="1">
      <c r="A24" s="722" t="s">
        <v>421</v>
      </c>
      <c r="B24" s="723"/>
      <c r="C24" s="724" t="s">
        <v>422</v>
      </c>
      <c r="D24" s="1167">
        <v>0</v>
      </c>
      <c r="E24" s="725">
        <v>0</v>
      </c>
      <c r="F24" s="726">
        <f t="shared" si="0"/>
        <v>0</v>
      </c>
    </row>
    <row r="25" spans="1:6" s="11" customFormat="1" ht="30" customHeight="1">
      <c r="A25" s="722" t="s">
        <v>423</v>
      </c>
      <c r="B25" s="723"/>
      <c r="C25" s="724" t="s">
        <v>424</v>
      </c>
      <c r="D25" s="1167">
        <v>65000</v>
      </c>
      <c r="E25" s="725">
        <v>0</v>
      </c>
      <c r="F25" s="726">
        <f t="shared" si="0"/>
        <v>65000</v>
      </c>
    </row>
    <row r="26" spans="1:6" s="11" customFormat="1" ht="30" customHeight="1">
      <c r="A26" s="722" t="s">
        <v>425</v>
      </c>
      <c r="B26" s="723"/>
      <c r="C26" s="724" t="s">
        <v>426</v>
      </c>
      <c r="D26" s="1167">
        <v>0</v>
      </c>
      <c r="E26" s="725">
        <v>0</v>
      </c>
      <c r="F26" s="726">
        <f t="shared" si="0"/>
        <v>0</v>
      </c>
    </row>
    <row r="27" spans="1:6" s="11" customFormat="1" ht="30" customHeight="1">
      <c r="A27" s="722" t="s">
        <v>427</v>
      </c>
      <c r="B27" s="723"/>
      <c r="C27" s="724" t="s">
        <v>428</v>
      </c>
      <c r="D27" s="1167">
        <v>0</v>
      </c>
      <c r="E27" s="725">
        <v>0</v>
      </c>
      <c r="F27" s="726">
        <f t="shared" si="0"/>
        <v>0</v>
      </c>
    </row>
    <row r="28" spans="1:6" s="11" customFormat="1" ht="30" customHeight="1">
      <c r="A28" s="722" t="s">
        <v>429</v>
      </c>
      <c r="B28" s="723"/>
      <c r="C28" s="724" t="s">
        <v>430</v>
      </c>
      <c r="D28" s="1167">
        <v>0</v>
      </c>
      <c r="E28" s="725">
        <v>0</v>
      </c>
      <c r="F28" s="726">
        <f t="shared" si="0"/>
        <v>0</v>
      </c>
    </row>
    <row r="29" spans="1:6" s="11" customFormat="1" ht="30" customHeight="1">
      <c r="A29" s="722" t="s">
        <v>431</v>
      </c>
      <c r="B29" s="723"/>
      <c r="C29" s="724" t="s">
        <v>432</v>
      </c>
      <c r="D29" s="1167">
        <v>0</v>
      </c>
      <c r="E29" s="725">
        <v>0</v>
      </c>
      <c r="F29" s="726">
        <f t="shared" si="0"/>
        <v>0</v>
      </c>
    </row>
    <row r="30" spans="1:6" s="11" customFormat="1" ht="30" customHeight="1">
      <c r="A30" s="722" t="s">
        <v>433</v>
      </c>
      <c r="B30" s="723"/>
      <c r="C30" s="724" t="s">
        <v>434</v>
      </c>
      <c r="D30" s="1167">
        <v>50000</v>
      </c>
      <c r="E30" s="725">
        <v>0</v>
      </c>
      <c r="F30" s="726">
        <f t="shared" si="0"/>
        <v>50000</v>
      </c>
    </row>
    <row r="31" spans="1:6" s="11" customFormat="1" ht="30" customHeight="1">
      <c r="A31" s="722" t="s">
        <v>435</v>
      </c>
      <c r="B31" s="723"/>
      <c r="C31" s="724" t="s">
        <v>436</v>
      </c>
      <c r="D31" s="1167">
        <v>0</v>
      </c>
      <c r="E31" s="725">
        <v>0</v>
      </c>
      <c r="F31" s="726">
        <f t="shared" si="0"/>
        <v>0</v>
      </c>
    </row>
    <row r="32" spans="1:6" s="11" customFormat="1" ht="30" customHeight="1">
      <c r="A32" s="722" t="s">
        <v>437</v>
      </c>
      <c r="B32" s="723"/>
      <c r="C32" s="724" t="s">
        <v>438</v>
      </c>
      <c r="D32" s="1167">
        <v>0</v>
      </c>
      <c r="E32" s="725">
        <v>0</v>
      </c>
      <c r="F32" s="726">
        <f>+D32+E32</f>
        <v>0</v>
      </c>
    </row>
    <row r="33" spans="1:6" s="11" customFormat="1" ht="30" customHeight="1">
      <c r="A33" s="722" t="s">
        <v>439</v>
      </c>
      <c r="B33" s="723"/>
      <c r="C33" s="724" t="s">
        <v>440</v>
      </c>
      <c r="D33" s="1167">
        <v>0</v>
      </c>
      <c r="E33" s="725">
        <v>0</v>
      </c>
      <c r="F33" s="726">
        <f t="shared" si="0"/>
        <v>0</v>
      </c>
    </row>
    <row r="34" spans="1:6" s="11" customFormat="1" ht="30" customHeight="1">
      <c r="A34" s="722" t="s">
        <v>441</v>
      </c>
      <c r="B34" s="723"/>
      <c r="C34" s="724" t="s">
        <v>442</v>
      </c>
      <c r="D34" s="1167">
        <v>10000</v>
      </c>
      <c r="E34" s="725">
        <v>0</v>
      </c>
      <c r="F34" s="726">
        <f t="shared" si="0"/>
        <v>10000</v>
      </c>
    </row>
    <row r="35" spans="1:6" s="11" customFormat="1" ht="30" customHeight="1">
      <c r="A35" s="722" t="s">
        <v>443</v>
      </c>
      <c r="B35" s="723"/>
      <c r="C35" s="724">
        <v>56001</v>
      </c>
      <c r="D35" s="1167">
        <v>0</v>
      </c>
      <c r="E35" s="725">
        <v>0</v>
      </c>
      <c r="F35" s="726">
        <f>+D35+E35</f>
        <v>0</v>
      </c>
    </row>
    <row r="36" spans="1:6" s="11" customFormat="1" ht="30" customHeight="1">
      <c r="A36" s="722" t="s">
        <v>444</v>
      </c>
      <c r="B36" s="723"/>
      <c r="C36" s="724">
        <v>56002</v>
      </c>
      <c r="D36" s="1167">
        <v>0</v>
      </c>
      <c r="E36" s="725">
        <v>0</v>
      </c>
      <c r="F36" s="726">
        <f>+D36+E36</f>
        <v>0</v>
      </c>
    </row>
    <row r="37" spans="1:6" s="11" customFormat="1" ht="30" customHeight="1">
      <c r="A37" s="722" t="s">
        <v>445</v>
      </c>
      <c r="B37" s="723"/>
      <c r="C37" s="724">
        <v>56003</v>
      </c>
      <c r="D37" s="1167">
        <v>0</v>
      </c>
      <c r="E37" s="725">
        <v>0</v>
      </c>
      <c r="F37" s="726">
        <f>+D37+E37</f>
        <v>0</v>
      </c>
    </row>
    <row r="38" spans="1:6" s="11" customFormat="1" ht="30" customHeight="1">
      <c r="A38" s="722" t="s">
        <v>446</v>
      </c>
      <c r="B38" s="723"/>
      <c r="C38" s="724" t="s">
        <v>447</v>
      </c>
      <c r="D38" s="1167">
        <v>0</v>
      </c>
      <c r="E38" s="725">
        <v>0</v>
      </c>
      <c r="F38" s="726">
        <f>+D38+E38</f>
        <v>0</v>
      </c>
    </row>
    <row r="39" spans="1:6" s="11" customFormat="1" ht="30" customHeight="1">
      <c r="A39" s="722" t="s">
        <v>448</v>
      </c>
      <c r="B39" s="723"/>
      <c r="C39" s="724" t="s">
        <v>449</v>
      </c>
      <c r="D39" s="1167">
        <v>357000</v>
      </c>
      <c r="E39" s="725">
        <v>0</v>
      </c>
      <c r="F39" s="726">
        <f t="shared" si="0"/>
        <v>357000</v>
      </c>
    </row>
    <row r="40" spans="1:6" s="11" customFormat="1" ht="30" customHeight="1">
      <c r="A40" s="722" t="s">
        <v>450</v>
      </c>
      <c r="B40" s="723"/>
      <c r="C40" s="724" t="s">
        <v>451</v>
      </c>
      <c r="D40" s="1167">
        <v>0</v>
      </c>
      <c r="E40" s="725">
        <v>0</v>
      </c>
      <c r="F40" s="726">
        <f t="shared" si="0"/>
        <v>0</v>
      </c>
    </row>
    <row r="41" spans="1:6" s="11" customFormat="1" ht="30" customHeight="1">
      <c r="A41" s="722" t="s">
        <v>452</v>
      </c>
      <c r="B41" s="723"/>
      <c r="C41" s="724" t="s">
        <v>453</v>
      </c>
      <c r="D41" s="1167">
        <v>0</v>
      </c>
      <c r="E41" s="725">
        <v>0</v>
      </c>
      <c r="F41" s="726">
        <f t="shared" si="0"/>
        <v>0</v>
      </c>
    </row>
    <row r="42" spans="1:6" s="11" customFormat="1" ht="30" customHeight="1">
      <c r="A42" s="722" t="s">
        <v>454</v>
      </c>
      <c r="B42" s="723"/>
      <c r="C42" s="724" t="s">
        <v>455</v>
      </c>
      <c r="D42" s="1167">
        <v>0</v>
      </c>
      <c r="E42" s="725">
        <v>0</v>
      </c>
      <c r="F42" s="726">
        <f t="shared" si="0"/>
        <v>0</v>
      </c>
    </row>
    <row r="43" spans="1:6" s="11" customFormat="1" ht="30" customHeight="1">
      <c r="A43" s="722" t="s">
        <v>456</v>
      </c>
      <c r="B43" s="723"/>
      <c r="C43" s="724" t="s">
        <v>457</v>
      </c>
      <c r="D43" s="1167">
        <v>0</v>
      </c>
      <c r="E43" s="725">
        <v>0</v>
      </c>
      <c r="F43" s="726">
        <f t="shared" si="0"/>
        <v>0</v>
      </c>
    </row>
    <row r="44" spans="1:6" s="11" customFormat="1" ht="30" customHeight="1">
      <c r="A44" s="722" t="s">
        <v>458</v>
      </c>
      <c r="B44" s="723"/>
      <c r="C44" s="724" t="s">
        <v>459</v>
      </c>
      <c r="D44" s="1167">
        <v>0</v>
      </c>
      <c r="E44" s="725">
        <v>0</v>
      </c>
      <c r="F44" s="726">
        <f t="shared" si="0"/>
        <v>0</v>
      </c>
    </row>
    <row r="45" spans="1:6" s="11" customFormat="1" ht="30" customHeight="1">
      <c r="A45" s="722" t="s">
        <v>460</v>
      </c>
      <c r="B45" s="723"/>
      <c r="C45" s="724" t="s">
        <v>461</v>
      </c>
      <c r="D45" s="1167">
        <v>0</v>
      </c>
      <c r="E45" s="725">
        <v>0</v>
      </c>
      <c r="F45" s="726">
        <f t="shared" si="0"/>
        <v>0</v>
      </c>
    </row>
    <row r="46" spans="1:6" s="11" customFormat="1" ht="30" customHeight="1">
      <c r="A46" s="722" t="s">
        <v>462</v>
      </c>
      <c r="B46" s="723"/>
      <c r="C46" s="724" t="s">
        <v>463</v>
      </c>
      <c r="D46" s="1167">
        <v>0</v>
      </c>
      <c r="E46" s="725">
        <v>0</v>
      </c>
      <c r="F46" s="726">
        <f t="shared" si="0"/>
        <v>0</v>
      </c>
    </row>
    <row r="47" spans="1:6" s="11" customFormat="1" ht="30" customHeight="1">
      <c r="A47" s="722" t="s">
        <v>464</v>
      </c>
      <c r="B47" s="723"/>
      <c r="C47" s="724" t="s">
        <v>465</v>
      </c>
      <c r="D47" s="1167">
        <v>57559</v>
      </c>
      <c r="E47" s="725">
        <v>0</v>
      </c>
      <c r="F47" s="726">
        <f t="shared" si="0"/>
        <v>57559</v>
      </c>
    </row>
    <row r="48" spans="1:6" s="11" customFormat="1" ht="30" customHeight="1">
      <c r="A48" s="722" t="s">
        <v>466</v>
      </c>
      <c r="B48" s="723"/>
      <c r="C48" s="724" t="s">
        <v>467</v>
      </c>
      <c r="D48" s="1167">
        <v>97812</v>
      </c>
      <c r="E48" s="725">
        <v>0</v>
      </c>
      <c r="F48" s="726">
        <f t="shared" si="0"/>
        <v>97812</v>
      </c>
    </row>
    <row r="49" spans="1:6" s="11" customFormat="1" ht="30" customHeight="1">
      <c r="A49" s="722" t="s">
        <v>468</v>
      </c>
      <c r="B49" s="723"/>
      <c r="C49" s="724" t="s">
        <v>469</v>
      </c>
      <c r="D49" s="1167">
        <v>0</v>
      </c>
      <c r="E49" s="725">
        <v>0</v>
      </c>
      <c r="F49" s="726">
        <f t="shared" si="0"/>
        <v>0</v>
      </c>
    </row>
    <row r="50" spans="1:6" s="11" customFormat="1" ht="30" customHeight="1">
      <c r="A50" s="722" t="s">
        <v>470</v>
      </c>
      <c r="B50" s="723"/>
      <c r="C50" s="724" t="s">
        <v>471</v>
      </c>
      <c r="D50" s="1167">
        <v>0</v>
      </c>
      <c r="E50" s="725">
        <v>0</v>
      </c>
      <c r="F50" s="726">
        <f t="shared" si="0"/>
        <v>0</v>
      </c>
    </row>
    <row r="51" spans="1:6" s="11" customFormat="1" ht="30" customHeight="1">
      <c r="A51" s="722" t="s">
        <v>472</v>
      </c>
      <c r="B51" s="723"/>
      <c r="C51" s="724" t="s">
        <v>473</v>
      </c>
      <c r="D51" s="1167">
        <v>0</v>
      </c>
      <c r="E51" s="725">
        <v>0</v>
      </c>
      <c r="F51" s="726">
        <f t="shared" si="0"/>
        <v>0</v>
      </c>
    </row>
    <row r="52" spans="1:6" s="11" customFormat="1" ht="30" customHeight="1">
      <c r="A52" s="722" t="s">
        <v>595</v>
      </c>
      <c r="B52" s="723"/>
      <c r="C52" s="724" t="s">
        <v>596</v>
      </c>
      <c r="D52" s="1167">
        <v>0</v>
      </c>
      <c r="E52" s="725">
        <v>0</v>
      </c>
      <c r="F52" s="726">
        <f>+D52+E52</f>
        <v>0</v>
      </c>
    </row>
    <row r="53" spans="1:6" s="11" customFormat="1" ht="30" customHeight="1">
      <c r="A53" s="722" t="s">
        <v>475</v>
      </c>
      <c r="B53" s="723"/>
      <c r="C53" s="724" t="s">
        <v>476</v>
      </c>
      <c r="D53" s="1167">
        <v>174144</v>
      </c>
      <c r="E53" s="725">
        <v>0</v>
      </c>
      <c r="F53" s="726">
        <f t="shared" si="0"/>
        <v>174144</v>
      </c>
    </row>
    <row r="54" spans="1:6" s="11" customFormat="1" ht="30" customHeight="1">
      <c r="A54" s="722" t="s">
        <v>477</v>
      </c>
      <c r="B54" s="723"/>
      <c r="C54" s="724" t="s">
        <v>478</v>
      </c>
      <c r="D54" s="1167">
        <v>0</v>
      </c>
      <c r="E54" s="725">
        <v>0</v>
      </c>
      <c r="F54" s="726">
        <f t="shared" si="0"/>
        <v>0</v>
      </c>
    </row>
    <row r="55" spans="1:6" s="11" customFormat="1" ht="30" customHeight="1" thickBot="1">
      <c r="A55" s="727" t="s">
        <v>479</v>
      </c>
      <c r="B55" s="728"/>
      <c r="C55" s="729" t="s">
        <v>480</v>
      </c>
      <c r="D55" s="1167">
        <v>0</v>
      </c>
      <c r="E55" s="730">
        <v>0</v>
      </c>
      <c r="F55" s="731">
        <f t="shared" si="0"/>
        <v>0</v>
      </c>
    </row>
    <row r="56" spans="1:6" s="169" customFormat="1" ht="30" customHeight="1" thickBot="1">
      <c r="A56" s="252" t="s">
        <v>481</v>
      </c>
      <c r="B56" s="253"/>
      <c r="C56" s="538"/>
      <c r="D56" s="258">
        <f>SUM(D10:D55)</f>
        <v>1708519</v>
      </c>
      <c r="E56" s="258">
        <f>SUM(E10:E55)</f>
        <v>0</v>
      </c>
      <c r="F56" s="258">
        <f t="shared" si="0"/>
        <v>1708519</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1168">
        <v>13865</v>
      </c>
      <c r="E63" s="1168">
        <v>0</v>
      </c>
      <c r="F63" s="224">
        <f t="shared" si="0"/>
        <v>13865</v>
      </c>
    </row>
    <row r="64" spans="1:6" s="11" customFormat="1" ht="30" customHeight="1">
      <c r="A64" s="722" t="s">
        <v>485</v>
      </c>
      <c r="B64" s="723"/>
      <c r="C64" s="732" t="s">
        <v>486</v>
      </c>
      <c r="D64" s="1167">
        <v>245</v>
      </c>
      <c r="E64" s="1167">
        <v>0</v>
      </c>
      <c r="F64" s="726">
        <f t="shared" si="0"/>
        <v>245</v>
      </c>
    </row>
    <row r="65" spans="1:6" s="11" customFormat="1" ht="30" customHeight="1">
      <c r="A65" s="722" t="s">
        <v>487</v>
      </c>
      <c r="B65" s="723"/>
      <c r="C65" s="732" t="s">
        <v>488</v>
      </c>
      <c r="D65" s="1167">
        <v>0</v>
      </c>
      <c r="E65" s="1167">
        <v>0</v>
      </c>
      <c r="F65" s="726">
        <f t="shared" si="0"/>
        <v>0</v>
      </c>
    </row>
    <row r="66" spans="1:6" s="11" customFormat="1" ht="30" customHeight="1">
      <c r="A66" s="722" t="s">
        <v>489</v>
      </c>
      <c r="B66" s="723"/>
      <c r="C66" s="732" t="s">
        <v>490</v>
      </c>
      <c r="D66" s="1167">
        <v>5650</v>
      </c>
      <c r="E66" s="1167">
        <v>0</v>
      </c>
      <c r="F66" s="726">
        <f t="shared" si="0"/>
        <v>5650</v>
      </c>
    </row>
    <row r="67" spans="1:6" s="11" customFormat="1" ht="30" customHeight="1">
      <c r="A67" s="722" t="s">
        <v>597</v>
      </c>
      <c r="B67" s="723"/>
      <c r="C67" s="732" t="s">
        <v>492</v>
      </c>
      <c r="D67" s="1167">
        <v>0</v>
      </c>
      <c r="E67" s="1167">
        <v>0</v>
      </c>
      <c r="F67" s="726">
        <f t="shared" si="0"/>
        <v>0</v>
      </c>
    </row>
    <row r="68" spans="1:6" s="11" customFormat="1" ht="30" customHeight="1">
      <c r="A68" s="722" t="s">
        <v>493</v>
      </c>
      <c r="B68" s="723"/>
      <c r="C68" s="732" t="s">
        <v>494</v>
      </c>
      <c r="D68" s="1167">
        <v>0</v>
      </c>
      <c r="E68" s="1167">
        <v>0</v>
      </c>
      <c r="F68" s="726">
        <f t="shared" si="0"/>
        <v>0</v>
      </c>
    </row>
    <row r="69" spans="1:6" s="11" customFormat="1" ht="30" customHeight="1">
      <c r="A69" s="984" t="s">
        <v>681</v>
      </c>
      <c r="B69" s="723"/>
      <c r="C69" s="981">
        <v>63100</v>
      </c>
      <c r="D69" s="1167">
        <v>0</v>
      </c>
      <c r="E69" s="1167">
        <v>0</v>
      </c>
      <c r="F69" s="983">
        <v>0</v>
      </c>
    </row>
    <row r="70" spans="1:6" s="11" customFormat="1" ht="30" customHeight="1">
      <c r="A70" s="722" t="s">
        <v>495</v>
      </c>
      <c r="B70" s="723"/>
      <c r="C70" s="732" t="s">
        <v>496</v>
      </c>
      <c r="D70" s="1167">
        <v>0</v>
      </c>
      <c r="E70" s="1167">
        <v>0</v>
      </c>
      <c r="F70" s="726">
        <f t="shared" si="0"/>
        <v>0</v>
      </c>
    </row>
    <row r="71" spans="1:6" s="11" customFormat="1" ht="30" customHeight="1">
      <c r="A71" s="722" t="s">
        <v>692</v>
      </c>
      <c r="B71" s="723"/>
      <c r="C71" s="732" t="s">
        <v>498</v>
      </c>
      <c r="D71" s="1167">
        <v>0</v>
      </c>
      <c r="E71" s="1167">
        <v>0</v>
      </c>
      <c r="F71" s="726">
        <f t="shared" si="0"/>
        <v>0</v>
      </c>
    </row>
    <row r="72" spans="1:6" s="11" customFormat="1" ht="30" customHeight="1">
      <c r="A72" s="722" t="s">
        <v>499</v>
      </c>
      <c r="B72" s="723"/>
      <c r="C72" s="732" t="s">
        <v>500</v>
      </c>
      <c r="D72" s="1167">
        <v>8885</v>
      </c>
      <c r="E72" s="1167">
        <v>81175</v>
      </c>
      <c r="F72" s="726">
        <f t="shared" si="0"/>
        <v>90060</v>
      </c>
    </row>
    <row r="73" spans="1:6" s="11" customFormat="1" ht="30" customHeight="1">
      <c r="A73" s="722" t="s">
        <v>678</v>
      </c>
      <c r="B73" s="723"/>
      <c r="C73" s="732" t="s">
        <v>501</v>
      </c>
      <c r="D73" s="1167">
        <v>0</v>
      </c>
      <c r="E73" s="1167">
        <v>0</v>
      </c>
      <c r="F73" s="726">
        <f t="shared" si="0"/>
        <v>0</v>
      </c>
    </row>
    <row r="74" spans="1:6" s="11" customFormat="1" ht="30" customHeight="1">
      <c r="A74" s="722" t="s">
        <v>502</v>
      </c>
      <c r="B74" s="723"/>
      <c r="C74" s="732" t="s">
        <v>503</v>
      </c>
      <c r="D74" s="1167">
        <v>0</v>
      </c>
      <c r="E74" s="1167">
        <v>0</v>
      </c>
      <c r="F74" s="726">
        <f t="shared" ref="F74:F109" si="1">+D74+E74</f>
        <v>0</v>
      </c>
    </row>
    <row r="75" spans="1:6" s="11" customFormat="1" ht="30" customHeight="1">
      <c r="A75" s="722" t="s">
        <v>504</v>
      </c>
      <c r="B75" s="723"/>
      <c r="C75" s="732" t="s">
        <v>505</v>
      </c>
      <c r="D75" s="1167">
        <v>3000</v>
      </c>
      <c r="E75" s="1167">
        <v>0</v>
      </c>
      <c r="F75" s="726">
        <f t="shared" si="1"/>
        <v>3000</v>
      </c>
    </row>
    <row r="76" spans="1:6" s="11" customFormat="1" ht="30" customHeight="1">
      <c r="A76" s="722" t="s">
        <v>506</v>
      </c>
      <c r="B76" s="723"/>
      <c r="C76" s="732" t="s">
        <v>507</v>
      </c>
      <c r="D76" s="1167">
        <v>11180</v>
      </c>
      <c r="E76" s="1167">
        <v>0</v>
      </c>
      <c r="F76" s="726">
        <f t="shared" si="1"/>
        <v>11180</v>
      </c>
    </row>
    <row r="77" spans="1:6" s="11" customFormat="1" ht="30" customHeight="1">
      <c r="A77" s="722" t="s">
        <v>508</v>
      </c>
      <c r="B77" s="723"/>
      <c r="C77" s="732" t="s">
        <v>509</v>
      </c>
      <c r="D77" s="1167">
        <v>0</v>
      </c>
      <c r="E77" s="1167">
        <v>0</v>
      </c>
      <c r="F77" s="726">
        <f t="shared" si="1"/>
        <v>0</v>
      </c>
    </row>
    <row r="78" spans="1:6" s="11" customFormat="1" ht="30" customHeight="1">
      <c r="A78" s="722" t="s">
        <v>510</v>
      </c>
      <c r="B78" s="723"/>
      <c r="C78" s="732" t="s">
        <v>511</v>
      </c>
      <c r="D78" s="1167">
        <v>0</v>
      </c>
      <c r="E78" s="1167">
        <v>0</v>
      </c>
      <c r="F78" s="726">
        <f t="shared" si="1"/>
        <v>0</v>
      </c>
    </row>
    <row r="79" spans="1:6" s="11" customFormat="1" ht="30" customHeight="1">
      <c r="A79" s="722" t="s">
        <v>512</v>
      </c>
      <c r="B79" s="723"/>
      <c r="C79" s="732" t="s">
        <v>513</v>
      </c>
      <c r="D79" s="1167">
        <v>0</v>
      </c>
      <c r="E79" s="1167">
        <v>1000</v>
      </c>
      <c r="F79" s="726">
        <f t="shared" si="1"/>
        <v>1000</v>
      </c>
    </row>
    <row r="80" spans="1:6" s="11" customFormat="1" ht="30" customHeight="1">
      <c r="A80" s="722" t="s">
        <v>514</v>
      </c>
      <c r="B80" s="723"/>
      <c r="C80" s="732" t="s">
        <v>515</v>
      </c>
      <c r="D80" s="1167">
        <v>83897</v>
      </c>
      <c r="E80" s="1167">
        <v>0</v>
      </c>
      <c r="F80" s="726">
        <f t="shared" ref="F80:F85" si="2">+D80+E80</f>
        <v>83897</v>
      </c>
    </row>
    <row r="81" spans="1:6" s="11" customFormat="1" ht="30" customHeight="1">
      <c r="A81" s="722" t="s">
        <v>516</v>
      </c>
      <c r="B81" s="723"/>
      <c r="C81" s="732" t="s">
        <v>517</v>
      </c>
      <c r="D81" s="1167">
        <v>0</v>
      </c>
      <c r="E81" s="1167">
        <v>0</v>
      </c>
      <c r="F81" s="726">
        <f t="shared" si="2"/>
        <v>0</v>
      </c>
    </row>
    <row r="82" spans="1:6" s="11" customFormat="1" ht="30" customHeight="1">
      <c r="A82" s="722" t="s">
        <v>518</v>
      </c>
      <c r="B82" s="723"/>
      <c r="C82" s="732" t="s">
        <v>519</v>
      </c>
      <c r="D82" s="1167">
        <v>0</v>
      </c>
      <c r="E82" s="1167">
        <v>0</v>
      </c>
      <c r="F82" s="726">
        <f t="shared" si="2"/>
        <v>0</v>
      </c>
    </row>
    <row r="83" spans="1:6" s="11" customFormat="1" ht="30" customHeight="1">
      <c r="A83" s="722" t="s">
        <v>520</v>
      </c>
      <c r="B83" s="723"/>
      <c r="C83" s="732" t="s">
        <v>521</v>
      </c>
      <c r="D83" s="1167">
        <v>0</v>
      </c>
      <c r="E83" s="1167">
        <v>0</v>
      </c>
      <c r="F83" s="726">
        <f t="shared" si="2"/>
        <v>0</v>
      </c>
    </row>
    <row r="84" spans="1:6" s="11" customFormat="1" ht="30" customHeight="1">
      <c r="A84" s="722" t="s">
        <v>522</v>
      </c>
      <c r="B84" s="723"/>
      <c r="C84" s="732" t="s">
        <v>523</v>
      </c>
      <c r="D84" s="1167">
        <v>50000</v>
      </c>
      <c r="E84" s="1167">
        <v>0</v>
      </c>
      <c r="F84" s="726">
        <f t="shared" si="2"/>
        <v>50000</v>
      </c>
    </row>
    <row r="85" spans="1:6" s="11" customFormat="1" ht="30" customHeight="1">
      <c r="A85" s="722" t="s">
        <v>524</v>
      </c>
      <c r="B85" s="723"/>
      <c r="C85" s="732" t="s">
        <v>525</v>
      </c>
      <c r="D85" s="1167">
        <v>0</v>
      </c>
      <c r="E85" s="1167">
        <v>0</v>
      </c>
      <c r="F85" s="726">
        <f t="shared" si="2"/>
        <v>0</v>
      </c>
    </row>
    <row r="86" spans="1:6" s="11" customFormat="1" ht="30" customHeight="1">
      <c r="A86" s="722" t="s">
        <v>526</v>
      </c>
      <c r="B86" s="723"/>
      <c r="C86" s="732" t="s">
        <v>527</v>
      </c>
      <c r="D86" s="1167">
        <v>0</v>
      </c>
      <c r="E86" s="1167">
        <v>0</v>
      </c>
      <c r="F86" s="726">
        <f t="shared" si="1"/>
        <v>0</v>
      </c>
    </row>
    <row r="87" spans="1:6" s="11" customFormat="1" ht="30" customHeight="1">
      <c r="A87" s="722" t="s">
        <v>598</v>
      </c>
      <c r="B87" s="723"/>
      <c r="C87" s="732">
        <v>69100</v>
      </c>
      <c r="D87" s="1167">
        <v>0</v>
      </c>
      <c r="E87" s="1167">
        <v>0</v>
      </c>
      <c r="F87" s="726">
        <f t="shared" si="1"/>
        <v>0</v>
      </c>
    </row>
    <row r="88" spans="1:6" s="11" customFormat="1" ht="30" customHeight="1">
      <c r="A88" s="722" t="s">
        <v>599</v>
      </c>
      <c r="B88" s="723"/>
      <c r="C88" s="732">
        <v>69200</v>
      </c>
      <c r="D88" s="1167">
        <v>0</v>
      </c>
      <c r="E88" s="1167">
        <v>0</v>
      </c>
      <c r="F88" s="726">
        <f t="shared" si="1"/>
        <v>0</v>
      </c>
    </row>
    <row r="89" spans="1:6" s="11" customFormat="1" ht="30" customHeight="1">
      <c r="A89" s="722" t="s">
        <v>528</v>
      </c>
      <c r="B89" s="723"/>
      <c r="C89" s="732" t="s">
        <v>529</v>
      </c>
      <c r="D89" s="1167">
        <v>0</v>
      </c>
      <c r="E89" s="1167">
        <v>208002</v>
      </c>
      <c r="F89" s="726">
        <f t="shared" si="1"/>
        <v>208002</v>
      </c>
    </row>
    <row r="90" spans="1:6" s="11" customFormat="1" ht="30" customHeight="1">
      <c r="A90" s="722" t="s">
        <v>387</v>
      </c>
      <c r="B90" s="723"/>
      <c r="C90" s="732" t="s">
        <v>531</v>
      </c>
      <c r="D90" s="1167">
        <v>0</v>
      </c>
      <c r="E90" s="1167">
        <v>0</v>
      </c>
      <c r="F90" s="726">
        <f t="shared" si="1"/>
        <v>0</v>
      </c>
    </row>
    <row r="91" spans="1:6" s="11" customFormat="1" ht="30" customHeight="1" thickBot="1">
      <c r="A91" s="727" t="s">
        <v>532</v>
      </c>
      <c r="B91" s="728"/>
      <c r="C91" s="733" t="s">
        <v>533</v>
      </c>
      <c r="D91" s="1167">
        <v>189851</v>
      </c>
      <c r="E91" s="1167">
        <v>5707</v>
      </c>
      <c r="F91" s="731">
        <f t="shared" si="1"/>
        <v>195558</v>
      </c>
    </row>
    <row r="92" spans="1:6" s="11" customFormat="1" ht="30" customHeight="1" thickBot="1">
      <c r="A92" s="836" t="s">
        <v>600</v>
      </c>
      <c r="B92" s="841"/>
      <c r="C92" s="255"/>
      <c r="D92" s="254">
        <f>SUM(D63:D91)</f>
        <v>366573</v>
      </c>
      <c r="E92" s="254">
        <f>SUM(E63:E91)</f>
        <v>295884</v>
      </c>
      <c r="F92" s="254">
        <f t="shared" si="1"/>
        <v>662457</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59" t="s">
        <v>769</v>
      </c>
      <c r="B102" s="1060"/>
      <c r="C102" s="1061">
        <v>73001</v>
      </c>
      <c r="D102" s="1085">
        <v>0</v>
      </c>
      <c r="E102" s="1085">
        <v>0</v>
      </c>
      <c r="F102" s="1019">
        <f t="shared" si="1"/>
        <v>0</v>
      </c>
    </row>
    <row r="103" spans="1:6" s="11" customFormat="1" ht="30" customHeight="1">
      <c r="A103" s="1062" t="s">
        <v>683</v>
      </c>
      <c r="B103" s="1063"/>
      <c r="C103" s="1064">
        <v>73002</v>
      </c>
      <c r="D103" s="1086">
        <v>0</v>
      </c>
      <c r="E103" s="1086">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770</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2075092</v>
      </c>
      <c r="E112" s="254">
        <f>+E56+E92+E110</f>
        <v>295884</v>
      </c>
      <c r="F112" s="254">
        <f>SUM(D112:E112)</f>
        <v>2370976</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1398421</v>
      </c>
      <c r="E117" s="725">
        <v>0</v>
      </c>
      <c r="F117" s="726">
        <f t="shared" ref="F117:F127" si="3">+D117+E117</f>
        <v>1398421</v>
      </c>
    </row>
    <row r="118" spans="1:6" s="63" customFormat="1" ht="30" customHeight="1">
      <c r="A118" s="722" t="s">
        <v>606</v>
      </c>
      <c r="B118" s="575"/>
      <c r="C118" s="734"/>
      <c r="D118" s="1042">
        <f>'EXHIBIT C'!F19</f>
        <v>197175</v>
      </c>
      <c r="E118" s="725">
        <v>0</v>
      </c>
      <c r="F118" s="726">
        <f t="shared" si="3"/>
        <v>197175</v>
      </c>
    </row>
    <row r="119" spans="1:6" s="63" customFormat="1" ht="50.25" customHeight="1">
      <c r="A119" s="722" t="s">
        <v>607</v>
      </c>
      <c r="B119" s="575"/>
      <c r="C119" s="734"/>
      <c r="D119" s="1167">
        <v>151332</v>
      </c>
      <c r="E119" s="1167">
        <v>295884</v>
      </c>
      <c r="F119" s="726">
        <f t="shared" si="3"/>
        <v>447216</v>
      </c>
    </row>
    <row r="120" spans="1:6" s="63" customFormat="1" ht="30" customHeight="1">
      <c r="A120" s="722" t="s">
        <v>608</v>
      </c>
      <c r="B120" s="575"/>
      <c r="C120" s="734"/>
      <c r="D120" s="1167">
        <v>0</v>
      </c>
      <c r="E120" s="1167">
        <v>0</v>
      </c>
      <c r="F120" s="726">
        <f t="shared" si="3"/>
        <v>0</v>
      </c>
    </row>
    <row r="121" spans="1:6" s="63" customFormat="1" ht="30" customHeight="1">
      <c r="A121" s="956" t="s">
        <v>679</v>
      </c>
      <c r="B121" s="575"/>
      <c r="C121" s="734"/>
      <c r="D121" s="1167">
        <v>0</v>
      </c>
      <c r="E121" s="1167">
        <v>0</v>
      </c>
      <c r="F121" s="726">
        <f t="shared" si="3"/>
        <v>0</v>
      </c>
    </row>
    <row r="122" spans="1:6" s="63" customFormat="1" ht="30" customHeight="1">
      <c r="A122" s="722" t="s">
        <v>609</v>
      </c>
      <c r="B122" s="575"/>
      <c r="C122" s="734"/>
      <c r="D122" s="1167">
        <v>178164</v>
      </c>
      <c r="E122" s="1167">
        <v>0</v>
      </c>
      <c r="F122" s="726">
        <f t="shared" si="3"/>
        <v>178164</v>
      </c>
    </row>
    <row r="123" spans="1:6" s="63" customFormat="1" ht="30" customHeight="1">
      <c r="A123" s="722" t="s">
        <v>610</v>
      </c>
      <c r="B123" s="575"/>
      <c r="C123" s="734"/>
      <c r="D123" s="1167">
        <v>0</v>
      </c>
      <c r="E123" s="1167">
        <v>0</v>
      </c>
      <c r="F123" s="726">
        <f t="shared" si="3"/>
        <v>0</v>
      </c>
    </row>
    <row r="124" spans="1:6" s="63" customFormat="1" ht="30" customHeight="1">
      <c r="A124" s="722" t="s">
        <v>611</v>
      </c>
      <c r="B124" s="575"/>
      <c r="C124" s="734"/>
      <c r="D124" s="1167">
        <v>0</v>
      </c>
      <c r="E124" s="1167">
        <v>0</v>
      </c>
      <c r="F124" s="726">
        <f t="shared" si="3"/>
        <v>0</v>
      </c>
    </row>
    <row r="125" spans="1:6" s="63" customFormat="1" ht="30" customHeight="1">
      <c r="A125" s="722" t="s">
        <v>612</v>
      </c>
      <c r="B125" s="575"/>
      <c r="C125" s="734"/>
      <c r="D125" s="1167">
        <v>150000</v>
      </c>
      <c r="E125" s="1167">
        <v>0</v>
      </c>
      <c r="F125" s="726">
        <f t="shared" si="3"/>
        <v>150000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2075092</v>
      </c>
      <c r="E128" s="248">
        <f>SUM(E116:E127)</f>
        <v>295884</v>
      </c>
      <c r="F128" s="249">
        <f>SUM(F116:F127)</f>
        <v>2370976</v>
      </c>
    </row>
    <row r="129" spans="1:6" ht="14.1" customHeight="1">
      <c r="A129" s="237"/>
      <c r="B129" s="237"/>
      <c r="C129" s="238"/>
      <c r="D129" s="239"/>
      <c r="E129" s="239"/>
      <c r="F129" s="239"/>
    </row>
    <row r="130" spans="1:6" ht="83.25" customHeight="1">
      <c r="A130" s="899" t="s">
        <v>693</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694</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762</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701</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4" sqref="A4"/>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739</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78" zoomScale="60" zoomScaleNormal="60" zoomScalePageLayoutView="80" workbookViewId="0">
      <selection activeCell="A3" sqref="A3"/>
    </sheetView>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716</v>
      </c>
      <c r="C3" s="58"/>
      <c r="D3" s="67"/>
      <c r="E3" s="66"/>
    </row>
    <row r="4" spans="1:10" ht="25.35" customHeight="1" thickBot="1">
      <c r="A4" s="56">
        <v>1</v>
      </c>
      <c r="B4" s="46">
        <v>2</v>
      </c>
      <c r="C4" s="46">
        <v>3</v>
      </c>
      <c r="D4" s="46">
        <v>4</v>
      </c>
      <c r="E4" s="13"/>
    </row>
    <row r="5" spans="1:10" ht="44.1" customHeight="1" thickBot="1">
      <c r="A5" s="32" t="s">
        <v>16</v>
      </c>
      <c r="B5" s="1030" t="s">
        <v>710</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7">
        <v>9683162.5702465735</v>
      </c>
      <c r="D7" s="75">
        <f t="shared" ref="D7:D34" si="0">SUM(B7:C7)</f>
        <v>53283437</v>
      </c>
      <c r="E7" s="421"/>
      <c r="F7" s="422"/>
      <c r="G7" s="42"/>
      <c r="I7" s="42"/>
      <c r="J7" s="42"/>
    </row>
    <row r="8" spans="1:10" ht="25.35" customHeight="1">
      <c r="A8" s="377" t="s">
        <v>22</v>
      </c>
      <c r="B8" s="1084">
        <v>90255203.52015838</v>
      </c>
      <c r="C8" s="1107">
        <v>19406699.479841623</v>
      </c>
      <c r="D8" s="68">
        <f t="shared" si="0"/>
        <v>109661903</v>
      </c>
      <c r="E8" s="399"/>
      <c r="F8" s="42"/>
      <c r="G8" s="42"/>
      <c r="I8" s="42"/>
      <c r="J8" s="42"/>
    </row>
    <row r="9" spans="1:10" ht="25.35" customHeight="1">
      <c r="A9" s="377" t="s">
        <v>23</v>
      </c>
      <c r="B9" s="909">
        <v>35165545.160336338</v>
      </c>
      <c r="C9" s="1107">
        <v>5543604.8396636629</v>
      </c>
      <c r="D9" s="68">
        <f t="shared" si="0"/>
        <v>40709150</v>
      </c>
      <c r="E9" s="399"/>
      <c r="F9" s="42"/>
      <c r="G9" s="42"/>
      <c r="I9" s="42"/>
      <c r="J9" s="42"/>
    </row>
    <row r="10" spans="1:10" ht="25.35" customHeight="1">
      <c r="A10" s="377" t="s">
        <v>24</v>
      </c>
      <c r="B10" s="909">
        <v>13053746.353345605</v>
      </c>
      <c r="C10" s="1107">
        <v>3049204.6466543949</v>
      </c>
      <c r="D10" s="68">
        <f t="shared" si="0"/>
        <v>16102951</v>
      </c>
      <c r="E10" s="399"/>
      <c r="F10" s="42"/>
      <c r="G10" s="42"/>
      <c r="I10" s="42"/>
      <c r="J10" s="42"/>
    </row>
    <row r="11" spans="1:10" ht="25.35" customHeight="1">
      <c r="A11" s="377" t="s">
        <v>25</v>
      </c>
      <c r="B11" s="909">
        <v>51911674.267480284</v>
      </c>
      <c r="C11" s="1107">
        <v>11651335.732519712</v>
      </c>
      <c r="D11" s="68">
        <f t="shared" si="0"/>
        <v>63563010</v>
      </c>
      <c r="E11" s="399"/>
      <c r="F11" s="42"/>
      <c r="G11" s="42"/>
      <c r="I11" s="42"/>
      <c r="J11" s="42"/>
    </row>
    <row r="12" spans="1:10" ht="25.35" customHeight="1">
      <c r="A12" s="377" t="s">
        <v>26</v>
      </c>
      <c r="B12" s="909">
        <v>46221977.178284936</v>
      </c>
      <c r="C12" s="1107">
        <v>7423501.8217150643</v>
      </c>
      <c r="D12" s="68">
        <f t="shared" si="0"/>
        <v>53645479</v>
      </c>
      <c r="E12" s="399"/>
      <c r="F12" s="42"/>
      <c r="G12" s="42"/>
      <c r="I12" s="42"/>
      <c r="J12" s="42"/>
    </row>
    <row r="13" spans="1:10" ht="25.35" customHeight="1">
      <c r="A13" s="377" t="s">
        <v>27</v>
      </c>
      <c r="B13" s="909">
        <v>70522268.071765155</v>
      </c>
      <c r="C13" s="1107">
        <v>17443886.928234838</v>
      </c>
      <c r="D13" s="68">
        <f t="shared" si="0"/>
        <v>87966155</v>
      </c>
      <c r="E13" s="399"/>
      <c r="F13" s="42"/>
      <c r="G13" s="42"/>
      <c r="I13" s="42"/>
      <c r="J13" s="42"/>
    </row>
    <row r="14" spans="1:10" ht="25.35" customHeight="1">
      <c r="A14" s="377" t="s">
        <v>28</v>
      </c>
      <c r="B14" s="909">
        <v>9205482.6022929847</v>
      </c>
      <c r="C14" s="1107">
        <v>1571784.3977070146</v>
      </c>
      <c r="D14" s="68">
        <f t="shared" si="0"/>
        <v>10777267</v>
      </c>
      <c r="E14" s="399"/>
      <c r="F14" s="42"/>
      <c r="G14" s="42"/>
      <c r="I14" s="42"/>
      <c r="J14" s="42"/>
    </row>
    <row r="15" spans="1:10" ht="25.35" customHeight="1">
      <c r="A15" s="377" t="s">
        <v>29</v>
      </c>
      <c r="B15" s="909">
        <v>22103920.083340969</v>
      </c>
      <c r="C15" s="1107">
        <v>4970200.9166590301</v>
      </c>
      <c r="D15" s="68">
        <f t="shared" si="0"/>
        <v>27074121</v>
      </c>
      <c r="E15" s="399"/>
      <c r="F15" s="42"/>
      <c r="G15" s="42"/>
      <c r="I15" s="42"/>
      <c r="J15" s="42"/>
    </row>
    <row r="16" spans="1:10" ht="25.35" customHeight="1">
      <c r="A16" s="377" t="s">
        <v>781</v>
      </c>
      <c r="B16" s="909">
        <v>71153026.980324924</v>
      </c>
      <c r="C16" s="1107">
        <v>13180273.01967508</v>
      </c>
      <c r="D16" s="68">
        <f t="shared" si="0"/>
        <v>84333300</v>
      </c>
      <c r="E16" s="399"/>
      <c r="F16" s="42"/>
      <c r="G16" s="42"/>
      <c r="I16" s="42"/>
      <c r="J16" s="42"/>
    </row>
    <row r="17" spans="1:10" ht="25.35" customHeight="1">
      <c r="A17" s="377" t="s">
        <v>30</v>
      </c>
      <c r="B17" s="909">
        <v>49338008.875280872</v>
      </c>
      <c r="C17" s="1107">
        <v>10681339.124719128</v>
      </c>
      <c r="D17" s="68">
        <f t="shared" si="0"/>
        <v>60019348</v>
      </c>
      <c r="E17" s="399"/>
      <c r="F17" s="42"/>
      <c r="G17" s="42"/>
      <c r="I17" s="42"/>
      <c r="J17" s="42"/>
    </row>
    <row r="18" spans="1:10" ht="25.35" customHeight="1">
      <c r="A18" s="377" t="s">
        <v>31</v>
      </c>
      <c r="B18" s="909">
        <v>16227012.774821987</v>
      </c>
      <c r="C18" s="1107">
        <v>3109791.2251780131</v>
      </c>
      <c r="D18" s="68">
        <f t="shared" si="0"/>
        <v>19336804</v>
      </c>
      <c r="E18" s="399"/>
      <c r="F18" s="42"/>
      <c r="G18" s="42"/>
      <c r="I18" s="42"/>
      <c r="J18" s="42"/>
    </row>
    <row r="19" spans="1:10" ht="25.35" customHeight="1">
      <c r="A19" s="377" t="s">
        <v>32</v>
      </c>
      <c r="B19" s="909">
        <v>21135195.500593662</v>
      </c>
      <c r="C19" s="1107">
        <v>3055669.4994063387</v>
      </c>
      <c r="D19" s="68">
        <f t="shared" si="0"/>
        <v>24190865</v>
      </c>
      <c r="E19" s="399"/>
      <c r="F19" s="42"/>
      <c r="G19" s="42"/>
      <c r="I19" s="42"/>
      <c r="J19" s="42"/>
    </row>
    <row r="20" spans="1:10" ht="25.35" customHeight="1">
      <c r="A20" s="377" t="s">
        <v>33</v>
      </c>
      <c r="B20" s="1163">
        <v>32985403</v>
      </c>
      <c r="C20" s="1164">
        <v>5065814</v>
      </c>
      <c r="D20" s="1165">
        <f t="shared" si="0"/>
        <v>38051217</v>
      </c>
      <c r="E20" s="399"/>
      <c r="F20" s="42"/>
      <c r="G20" s="42"/>
      <c r="H20" s="42"/>
      <c r="I20" s="42"/>
      <c r="J20" s="42"/>
    </row>
    <row r="21" spans="1:10" ht="25.35" customHeight="1">
      <c r="A21" s="377" t="s">
        <v>34</v>
      </c>
      <c r="B21" s="909">
        <v>165651995.20318142</v>
      </c>
      <c r="C21" s="1107">
        <v>39356905.796818577</v>
      </c>
      <c r="D21" s="68">
        <f t="shared" si="0"/>
        <v>205008901</v>
      </c>
      <c r="E21" s="399"/>
      <c r="F21" s="42"/>
      <c r="G21" s="42"/>
      <c r="I21" s="42"/>
      <c r="J21" s="42"/>
    </row>
    <row r="22" spans="1:10" ht="25.35" customHeight="1">
      <c r="A22" s="377" t="s">
        <v>35</v>
      </c>
      <c r="B22" s="909">
        <v>8949937.6940170676</v>
      </c>
      <c r="C22" s="1107">
        <v>1656741.3059829331</v>
      </c>
      <c r="D22" s="68">
        <f t="shared" si="0"/>
        <v>10606679</v>
      </c>
      <c r="E22" s="399"/>
      <c r="F22" s="42"/>
      <c r="G22" s="42"/>
      <c r="I22" s="42"/>
      <c r="J22" s="42"/>
    </row>
    <row r="23" spans="1:10" ht="25.35" customHeight="1">
      <c r="A23" s="377" t="s">
        <v>36</v>
      </c>
      <c r="B23" s="909">
        <v>24756000.410122402</v>
      </c>
      <c r="C23" s="1107">
        <v>4377734.5898775999</v>
      </c>
      <c r="D23" s="68">
        <f t="shared" si="0"/>
        <v>29133735</v>
      </c>
      <c r="E23" s="399"/>
      <c r="F23" s="42"/>
      <c r="G23" s="42"/>
      <c r="I23" s="42"/>
      <c r="J23" s="42"/>
    </row>
    <row r="24" spans="1:10" ht="25.35" customHeight="1">
      <c r="A24" s="377" t="s">
        <v>37</v>
      </c>
      <c r="B24" s="909">
        <v>65808360.931644589</v>
      </c>
      <c r="C24" s="1107">
        <v>13200326.068355408</v>
      </c>
      <c r="D24" s="68">
        <f t="shared" si="0"/>
        <v>79008687</v>
      </c>
      <c r="E24" s="399"/>
      <c r="F24" s="42"/>
      <c r="G24" s="42"/>
      <c r="I24" s="42"/>
      <c r="J24" s="42"/>
    </row>
    <row r="25" spans="1:10" ht="25.35" customHeight="1">
      <c r="A25" s="377" t="s">
        <v>38</v>
      </c>
      <c r="B25" s="909">
        <v>45144249.785152942</v>
      </c>
      <c r="C25" s="1107">
        <v>6373548.2148470599</v>
      </c>
      <c r="D25" s="68">
        <f t="shared" si="0"/>
        <v>51517798</v>
      </c>
      <c r="E25" s="399"/>
      <c r="F25" s="42"/>
      <c r="G25" s="42"/>
      <c r="I25" s="42"/>
      <c r="J25" s="42"/>
    </row>
    <row r="26" spans="1:10" ht="25.35" customHeight="1">
      <c r="A26" s="377" t="s">
        <v>39</v>
      </c>
      <c r="B26" s="909">
        <v>54382200.078217097</v>
      </c>
      <c r="C26" s="1107">
        <v>7904347.9217829015</v>
      </c>
      <c r="D26" s="68">
        <f t="shared" si="0"/>
        <v>62286548</v>
      </c>
      <c r="E26" s="399"/>
      <c r="F26" s="42"/>
      <c r="G26" s="42"/>
      <c r="I26" s="42"/>
      <c r="J26" s="42"/>
    </row>
    <row r="27" spans="1:10" ht="25.35" customHeight="1">
      <c r="A27" s="377" t="s">
        <v>40</v>
      </c>
      <c r="B27" s="909">
        <v>43580224.848735243</v>
      </c>
      <c r="C27" s="1107">
        <v>6479015.1512647606</v>
      </c>
      <c r="D27" s="68">
        <f t="shared" si="0"/>
        <v>50059240</v>
      </c>
      <c r="E27" s="399"/>
      <c r="F27" s="42"/>
      <c r="G27" s="42"/>
      <c r="I27" s="42"/>
      <c r="J27" s="42"/>
    </row>
    <row r="28" spans="1:10" ht="25.35" customHeight="1">
      <c r="A28" s="377" t="s">
        <v>41</v>
      </c>
      <c r="B28" s="909">
        <v>33932430.755269237</v>
      </c>
      <c r="C28" s="1107">
        <v>4419727.2447307603</v>
      </c>
      <c r="D28" s="68">
        <f t="shared" si="0"/>
        <v>38352158</v>
      </c>
      <c r="E28" s="399"/>
      <c r="F28" s="42"/>
      <c r="G28" s="42"/>
      <c r="I28" s="42"/>
      <c r="J28" s="42"/>
    </row>
    <row r="29" spans="1:10" ht="25.35" customHeight="1">
      <c r="A29" s="377" t="s">
        <v>42</v>
      </c>
      <c r="B29" s="909">
        <v>77492481.402347744</v>
      </c>
      <c r="C29" s="1107">
        <v>15840843.597652253</v>
      </c>
      <c r="D29" s="68">
        <f t="shared" si="0"/>
        <v>93333325</v>
      </c>
      <c r="E29" s="399"/>
      <c r="F29" s="42"/>
      <c r="G29" s="42"/>
      <c r="I29" s="42"/>
      <c r="J29" s="42"/>
    </row>
    <row r="30" spans="1:10" ht="25.35" customHeight="1">
      <c r="A30" s="377" t="s">
        <v>43</v>
      </c>
      <c r="B30" s="909">
        <v>45822834.425018497</v>
      </c>
      <c r="C30" s="1107">
        <v>8042112.5749815032</v>
      </c>
      <c r="D30" s="68">
        <f t="shared" si="0"/>
        <v>53864947</v>
      </c>
      <c r="E30" s="399"/>
      <c r="F30" s="42"/>
      <c r="G30" s="42"/>
      <c r="I30" s="42"/>
      <c r="J30" s="42"/>
    </row>
    <row r="31" spans="1:10" ht="25.35" customHeight="1">
      <c r="A31" s="377" t="s">
        <v>44</v>
      </c>
      <c r="B31" s="909">
        <v>47618457.312297449</v>
      </c>
      <c r="C31" s="1107">
        <v>8663977.6877025533</v>
      </c>
      <c r="D31" s="68">
        <f t="shared" si="0"/>
        <v>56282435</v>
      </c>
      <c r="E31" s="399"/>
      <c r="F31" s="42"/>
      <c r="G31" s="42"/>
      <c r="I31" s="42"/>
      <c r="J31" s="42"/>
    </row>
    <row r="32" spans="1:10" ht="25.35" customHeight="1">
      <c r="A32" s="377" t="s">
        <v>45</v>
      </c>
      <c r="B32" s="909">
        <v>22811855.379114985</v>
      </c>
      <c r="C32" s="1107">
        <v>3719348.6208850164</v>
      </c>
      <c r="D32" s="68">
        <f t="shared" si="0"/>
        <v>26531204</v>
      </c>
      <c r="E32" s="399"/>
      <c r="F32" s="42"/>
      <c r="G32" s="42"/>
      <c r="I32" s="42" t="s">
        <v>46</v>
      </c>
      <c r="J32" s="42"/>
    </row>
    <row r="33" spans="1:12" ht="25.35" customHeight="1">
      <c r="A33" s="377" t="s">
        <v>711</v>
      </c>
      <c r="B33" s="909">
        <v>34145110.16823367</v>
      </c>
      <c r="C33" s="1107">
        <v>7234580.8317663297</v>
      </c>
      <c r="D33" s="68">
        <f t="shared" si="0"/>
        <v>41379691</v>
      </c>
      <c r="E33" s="399"/>
      <c r="F33" s="42"/>
      <c r="G33" s="42"/>
      <c r="I33" s="399"/>
      <c r="J33" s="42"/>
      <c r="K33" s="399"/>
    </row>
    <row r="34" spans="1:12" ht="25.35" customHeight="1" thickBot="1">
      <c r="A34" s="378" t="s">
        <v>47</v>
      </c>
      <c r="B34" s="909">
        <v>110093250.74129009</v>
      </c>
      <c r="C34" s="1107">
        <v>15737996.258709911</v>
      </c>
      <c r="D34" s="69">
        <f t="shared" si="0"/>
        <v>125831247</v>
      </c>
      <c r="E34" s="399"/>
      <c r="F34" s="42"/>
      <c r="G34" s="42"/>
      <c r="I34" s="399"/>
      <c r="J34" s="42"/>
      <c r="K34" s="399"/>
    </row>
    <row r="35" spans="1:12" ht="25.35" customHeight="1" thickBot="1">
      <c r="A35" s="379" t="s">
        <v>48</v>
      </c>
      <c r="B35" s="418">
        <f>SUM(B7:B34)</f>
        <v>1353068127.9324219</v>
      </c>
      <c r="C35" s="418">
        <f>SUM(C7:C34)</f>
        <v>258843474.06757811</v>
      </c>
      <c r="D35" s="391">
        <f>SUM(D7:D34)</f>
        <v>1611911602</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714</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717</v>
      </c>
      <c r="B40" s="904" t="s">
        <v>729</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718</v>
      </c>
      <c r="C43" s="597"/>
      <c r="D43" s="597">
        <v>0</v>
      </c>
      <c r="E43" s="598">
        <f t="shared" ref="E43:E53" si="1">C43+D43</f>
        <v>0</v>
      </c>
    </row>
    <row r="44" spans="1:12" ht="63" hidden="1">
      <c r="A44" s="912" t="str">
        <f>A11</f>
        <v>Daytona State College</v>
      </c>
      <c r="B44" s="599" t="s">
        <v>719</v>
      </c>
      <c r="C44" s="597"/>
      <c r="D44" s="597">
        <v>0</v>
      </c>
      <c r="E44" s="598">
        <f t="shared" si="1"/>
        <v>0</v>
      </c>
    </row>
    <row r="45" spans="1:12" ht="84.75" hidden="1" customHeight="1">
      <c r="A45" s="910" t="s">
        <v>25</v>
      </c>
      <c r="B45" s="599" t="s">
        <v>720</v>
      </c>
      <c r="C45" s="597"/>
      <c r="D45" s="597">
        <v>0</v>
      </c>
      <c r="E45" s="598">
        <f t="shared" si="1"/>
        <v>0</v>
      </c>
    </row>
    <row r="46" spans="1:12" ht="84.75" hidden="1" customHeight="1">
      <c r="A46" s="910" t="s">
        <v>25</v>
      </c>
      <c r="B46" s="985" t="s">
        <v>721</v>
      </c>
      <c r="C46" s="986"/>
      <c r="D46" s="986">
        <v>0</v>
      </c>
      <c r="E46" s="598">
        <f t="shared" si="1"/>
        <v>0</v>
      </c>
    </row>
    <row r="47" spans="1:12" ht="84.75" hidden="1" customHeight="1">
      <c r="A47" s="910" t="s">
        <v>709</v>
      </c>
      <c r="B47" s="985" t="s">
        <v>722</v>
      </c>
      <c r="C47" s="986"/>
      <c r="D47" s="986">
        <v>0</v>
      </c>
      <c r="E47" s="598">
        <f t="shared" si="1"/>
        <v>0</v>
      </c>
      <c r="G47" s="155" t="s">
        <v>10</v>
      </c>
    </row>
    <row r="48" spans="1:12" ht="62.45" hidden="1" customHeight="1">
      <c r="A48" s="910" t="s">
        <v>709</v>
      </c>
      <c r="B48" s="599" t="s">
        <v>723</v>
      </c>
      <c r="C48" s="597"/>
      <c r="D48" s="597">
        <v>0</v>
      </c>
      <c r="E48" s="598">
        <f t="shared" si="1"/>
        <v>0</v>
      </c>
    </row>
    <row r="49" spans="1:5" ht="62.45" hidden="1" customHeight="1">
      <c r="A49" s="910" t="s">
        <v>34</v>
      </c>
      <c r="B49" s="985" t="s">
        <v>724</v>
      </c>
      <c r="C49" s="986"/>
      <c r="D49" s="986">
        <v>0</v>
      </c>
      <c r="E49" s="598">
        <f t="shared" si="1"/>
        <v>0</v>
      </c>
    </row>
    <row r="50" spans="1:5" ht="62.45" hidden="1" customHeight="1">
      <c r="A50" s="910" t="s">
        <v>34</v>
      </c>
      <c r="B50" s="985" t="s">
        <v>725</v>
      </c>
      <c r="C50" s="986"/>
      <c r="D50" s="986">
        <v>0</v>
      </c>
      <c r="E50" s="598">
        <f t="shared" si="1"/>
        <v>0</v>
      </c>
    </row>
    <row r="51" spans="1:5" ht="62.45" hidden="1" customHeight="1">
      <c r="A51" s="1098" t="s">
        <v>726</v>
      </c>
      <c r="B51" s="985" t="s">
        <v>727</v>
      </c>
      <c r="C51" s="986"/>
      <c r="D51" s="986">
        <v>0</v>
      </c>
      <c r="E51" s="1083">
        <f t="shared" si="1"/>
        <v>0</v>
      </c>
    </row>
    <row r="52" spans="1:5" ht="62.45" hidden="1" customHeight="1" thickBot="1">
      <c r="A52" s="1103" t="s">
        <v>45</v>
      </c>
      <c r="B52" s="1104" t="s">
        <v>728</v>
      </c>
      <c r="C52" s="1105"/>
      <c r="D52" s="1105">
        <v>0</v>
      </c>
      <c r="E52" s="1106">
        <f t="shared" si="1"/>
        <v>0</v>
      </c>
    </row>
    <row r="53" spans="1:5" ht="62.45" hidden="1" customHeight="1" thickBot="1">
      <c r="A53" s="1103" t="s">
        <v>33</v>
      </c>
      <c r="B53" s="1104" t="s">
        <v>732</v>
      </c>
      <c r="C53" s="1105"/>
      <c r="D53" s="1105">
        <v>0</v>
      </c>
      <c r="E53" s="1106">
        <f t="shared" si="1"/>
        <v>0</v>
      </c>
    </row>
    <row r="54" spans="1:5" ht="24.6" hidden="1" customHeight="1" thickBot="1">
      <c r="A54" s="1099" t="s">
        <v>53</v>
      </c>
      <c r="B54" s="1100"/>
      <c r="C54" s="1101">
        <f>SUM(C43:C51)</f>
        <v>0</v>
      </c>
      <c r="D54" s="1101">
        <f>SUM(D43:D53)</f>
        <v>0</v>
      </c>
      <c r="E54" s="1102">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712</v>
      </c>
      <c r="B58" s="381" t="s">
        <v>730</v>
      </c>
      <c r="C58" s="10" t="s">
        <v>10</v>
      </c>
      <c r="D58" s="10"/>
    </row>
    <row r="59" spans="1:5" ht="69" hidden="1" customHeight="1" thickBot="1">
      <c r="A59" s="1000" t="s">
        <v>731</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764</v>
      </c>
      <c r="B65" s="1002" t="s">
        <v>763</v>
      </c>
      <c r="C65" s="1003"/>
      <c r="D65" s="1003"/>
      <c r="E65" s="1004"/>
      <c r="F65" s="12"/>
      <c r="G65" s="10"/>
    </row>
    <row r="66" spans="1:7" ht="87.6" customHeight="1" thickBot="1">
      <c r="A66" s="34" t="s">
        <v>17</v>
      </c>
      <c r="B66" s="18" t="s">
        <v>768</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767</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765</v>
      </c>
      <c r="B104" s="989" t="s">
        <v>779</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684</v>
      </c>
      <c r="U106" s="26"/>
      <c r="V106" s="27"/>
      <c r="W106" s="28"/>
      <c r="X106" s="29"/>
      <c r="Y106" s="53"/>
      <c r="Z106" s="1009"/>
      <c r="AA106" s="1010"/>
      <c r="AB106" s="1011"/>
      <c r="AC106" s="13"/>
      <c r="AD106" s="1097" t="s">
        <v>778</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708</v>
      </c>
      <c r="R107" s="1025"/>
      <c r="S107" s="1026"/>
      <c r="T107" s="1082"/>
      <c r="U107" s="15"/>
      <c r="V107" s="1139" t="s">
        <v>77</v>
      </c>
      <c r="W107" s="1142"/>
      <c r="X107" s="1143"/>
      <c r="Y107" s="1141"/>
      <c r="Z107" s="1139" t="s">
        <v>78</v>
      </c>
      <c r="AA107" s="1140"/>
      <c r="AB107" s="997"/>
      <c r="AD107" s="37" t="s">
        <v>79</v>
      </c>
      <c r="AF107" s="13"/>
      <c r="AI107" s="1029" t="s">
        <v>685</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1"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5">
        <v>1791.0290909090911</v>
      </c>
      <c r="I109" s="1076">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7">
        <v>6540.9687888604021</v>
      </c>
      <c r="I110" s="1078">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7">
        <v>1217.0137785291631</v>
      </c>
      <c r="I111" s="1078">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7">
        <v>176.61202185792351</v>
      </c>
      <c r="I112" s="1078">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7">
        <v>2078.2681063610989</v>
      </c>
      <c r="I113" s="1078">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7">
        <v>1223.9419134396355</v>
      </c>
      <c r="I114" s="1078">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776</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7">
        <v>3425.5373247068869</v>
      </c>
      <c r="I115" s="1078">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7">
        <v>209.1978138222849</v>
      </c>
      <c r="I116" s="1078">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7">
        <v>519.67653758542133</v>
      </c>
      <c r="I117" s="1078">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7">
        <v>4503.6660264533493</v>
      </c>
      <c r="I118" s="1078">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777</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7">
        <v>2247.8246989270856</v>
      </c>
      <c r="I119" s="1078">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7">
        <v>402.17190037899297</v>
      </c>
      <c r="I120" s="1078">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7">
        <v>604.49777965743283</v>
      </c>
      <c r="I121" s="1078">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7">
        <v>638.73826714801453</v>
      </c>
      <c r="I122" s="1078">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7">
        <v>4515.5803949224264</v>
      </c>
      <c r="I123" s="1078">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7">
        <v>88.286964129483806</v>
      </c>
      <c r="I124" s="1078">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7">
        <v>522.19764011799407</v>
      </c>
      <c r="I125" s="1078">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7">
        <v>1487.5113744422499</v>
      </c>
      <c r="I126" s="1078">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7">
        <v>1570.3220015057625</v>
      </c>
      <c r="I127" s="1078">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7">
        <v>1333.1676629103381</v>
      </c>
      <c r="I128" s="1078">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7">
        <v>1344.2773162939297</v>
      </c>
      <c r="I129" s="1078">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7">
        <v>723.87584711303873</v>
      </c>
      <c r="I130" s="1078">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7">
        <v>3647.7516879219806</v>
      </c>
      <c r="I131" s="1078">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7">
        <v>2141.0359024390245</v>
      </c>
      <c r="I132" s="1078">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7">
        <v>2360.9423675428397</v>
      </c>
      <c r="I133" s="1078">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7">
        <v>293</v>
      </c>
      <c r="I134" s="1078">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7">
        <v>1567.3072472153913</v>
      </c>
      <c r="I135" s="1078">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79">
        <v>8142.6811519960011</v>
      </c>
      <c r="I136" s="1080">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680</v>
      </c>
      <c r="V139" s="47"/>
      <c r="W139" s="47"/>
      <c r="X139" s="47"/>
      <c r="Y139" s="47"/>
      <c r="Z139" s="47"/>
      <c r="AA139" s="47"/>
      <c r="AB139" s="47"/>
    </row>
    <row r="140" spans="1:44">
      <c r="A140" s="11" t="s">
        <v>766</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2" t="s">
        <v>707</v>
      </c>
      <c r="B145" s="995"/>
      <c r="C145" s="1071"/>
      <c r="D145" s="1071"/>
    </row>
    <row r="146" spans="1:4" ht="21.75" thickBot="1">
      <c r="A146" s="56"/>
      <c r="B146" s="57" t="s">
        <v>715</v>
      </c>
    </row>
    <row r="147" spans="1:4" ht="21.75" thickBot="1">
      <c r="A147" s="56">
        <v>1</v>
      </c>
      <c r="B147" s="46">
        <v>2</v>
      </c>
    </row>
    <row r="148" spans="1:4" ht="57" customHeight="1" thickBot="1">
      <c r="A148" s="32" t="s">
        <v>149</v>
      </c>
      <c r="B148" s="1067" t="str">
        <f>B5</f>
        <v xml:space="preserve">2024-25 BASE BUDGET </v>
      </c>
    </row>
    <row r="149" spans="1:4" ht="63.75" thickBot="1">
      <c r="A149" s="280" t="s">
        <v>17</v>
      </c>
      <c r="B149" s="17" t="s">
        <v>149</v>
      </c>
    </row>
    <row r="150" spans="1:4">
      <c r="A150" s="397" t="str">
        <f t="shared" ref="A150:A177" si="23">A7</f>
        <v>Eastern Florida State College</v>
      </c>
      <c r="B150" s="1068">
        <v>1223211</v>
      </c>
    </row>
    <row r="151" spans="1:4">
      <c r="A151" s="377" t="str">
        <f t="shared" si="23"/>
        <v>Broward College</v>
      </c>
      <c r="B151" s="1069">
        <v>2901756</v>
      </c>
    </row>
    <row r="152" spans="1:4">
      <c r="A152" s="377" t="str">
        <f t="shared" si="23"/>
        <v>College of Central Florida</v>
      </c>
      <c r="B152" s="1069">
        <v>580642</v>
      </c>
    </row>
    <row r="153" spans="1:4">
      <c r="A153" s="377" t="str">
        <f t="shared" si="23"/>
        <v>Chipola College</v>
      </c>
      <c r="B153" s="1069">
        <v>199039</v>
      </c>
    </row>
    <row r="154" spans="1:4">
      <c r="A154" s="377" t="str">
        <f t="shared" si="23"/>
        <v>Daytona State College</v>
      </c>
      <c r="B154" s="1069">
        <v>806367</v>
      </c>
    </row>
    <row r="155" spans="1:4">
      <c r="A155" s="377" t="str">
        <f t="shared" si="23"/>
        <v>Florida SouthWestern State College</v>
      </c>
      <c r="B155" s="1069">
        <v>831927</v>
      </c>
    </row>
    <row r="156" spans="1:4">
      <c r="A156" s="377" t="str">
        <f t="shared" si="23"/>
        <v>Florida State College at Jacksonville</v>
      </c>
      <c r="B156" s="1069">
        <v>1522554</v>
      </c>
    </row>
    <row r="157" spans="1:4">
      <c r="A157" s="377" t="str">
        <f t="shared" si="23"/>
        <v>College of the Florida Keys</v>
      </c>
      <c r="B157" s="1069">
        <v>55645</v>
      </c>
    </row>
    <row r="158" spans="1:4">
      <c r="A158" s="377" t="str">
        <f t="shared" si="23"/>
        <v>Gulf Coast State College</v>
      </c>
      <c r="B158" s="1069">
        <v>281214</v>
      </c>
    </row>
    <row r="159" spans="1:4">
      <c r="A159" s="377" t="str">
        <f t="shared" si="23"/>
        <v>Hillsborough Community College</v>
      </c>
      <c r="B159" s="1069">
        <v>1535676</v>
      </c>
    </row>
    <row r="160" spans="1:4">
      <c r="A160" s="377" t="str">
        <f t="shared" si="23"/>
        <v>Indian River State College</v>
      </c>
      <c r="B160" s="1069">
        <v>861594</v>
      </c>
    </row>
    <row r="161" spans="1:2">
      <c r="A161" s="377" t="str">
        <f t="shared" si="23"/>
        <v>Florida Gateway College</v>
      </c>
      <c r="B161" s="1069">
        <v>234886</v>
      </c>
    </row>
    <row r="162" spans="1:2">
      <c r="A162" s="377" t="str">
        <f t="shared" si="23"/>
        <v>Lake-Sumter State College</v>
      </c>
      <c r="B162" s="1069">
        <v>334183</v>
      </c>
    </row>
    <row r="163" spans="1:2">
      <c r="A163" s="377" t="str">
        <f t="shared" si="23"/>
        <v>State College of Florida, Manatee-Sarasota</v>
      </c>
      <c r="B163" s="1162">
        <v>534602</v>
      </c>
    </row>
    <row r="164" spans="1:2">
      <c r="A164" s="377" t="str">
        <f t="shared" si="23"/>
        <v>Miami Dade College</v>
      </c>
      <c r="B164" s="1069">
        <v>4079933</v>
      </c>
    </row>
    <row r="165" spans="1:2">
      <c r="A165" s="377" t="str">
        <f t="shared" si="23"/>
        <v>North Florida College</v>
      </c>
      <c r="B165" s="1069">
        <v>134140</v>
      </c>
    </row>
    <row r="166" spans="1:2">
      <c r="A166" s="377" t="str">
        <f t="shared" si="23"/>
        <v>Northwest Florida State College</v>
      </c>
      <c r="B166" s="1069">
        <v>337943</v>
      </c>
    </row>
    <row r="167" spans="1:2">
      <c r="A167" s="377" t="str">
        <f t="shared" si="23"/>
        <v>Palm Beach State College</v>
      </c>
      <c r="B167" s="1069">
        <v>1362933</v>
      </c>
    </row>
    <row r="168" spans="1:2">
      <c r="A168" s="377" t="str">
        <f t="shared" si="23"/>
        <v>Pasco-Hernando State College</v>
      </c>
      <c r="B168" s="1069">
        <v>656969</v>
      </c>
    </row>
    <row r="169" spans="1:2">
      <c r="A169" s="377" t="str">
        <f t="shared" si="23"/>
        <v>Pensacola State College</v>
      </c>
      <c r="B169" s="1069">
        <v>468310</v>
      </c>
    </row>
    <row r="170" spans="1:2">
      <c r="A170" s="377" t="str">
        <f t="shared" si="23"/>
        <v>Polk State College</v>
      </c>
      <c r="B170" s="1069">
        <v>612408</v>
      </c>
    </row>
    <row r="171" spans="1:2">
      <c r="A171" s="377" t="str">
        <f t="shared" si="23"/>
        <v>St. Johns River State College</v>
      </c>
      <c r="B171" s="1069">
        <v>432461</v>
      </c>
    </row>
    <row r="172" spans="1:2">
      <c r="A172" s="377" t="str">
        <f t="shared" si="23"/>
        <v>St. Petersburg College</v>
      </c>
      <c r="B172" s="1069">
        <v>1662776</v>
      </c>
    </row>
    <row r="173" spans="1:2">
      <c r="A173" s="377" t="str">
        <f t="shared" si="23"/>
        <v>Santa Fe College</v>
      </c>
      <c r="B173" s="1069">
        <v>1069199</v>
      </c>
    </row>
    <row r="174" spans="1:2">
      <c r="A174" s="377" t="str">
        <f t="shared" si="23"/>
        <v>Seminole State College of Florida</v>
      </c>
      <c r="B174" s="1069">
        <v>1560101</v>
      </c>
    </row>
    <row r="175" spans="1:2">
      <c r="A175" s="377" t="str">
        <f t="shared" si="23"/>
        <v>South Florida State College</v>
      </c>
      <c r="B175" s="1069">
        <v>188239</v>
      </c>
    </row>
    <row r="176" spans="1:2">
      <c r="A176" s="377" t="str">
        <f t="shared" si="23"/>
        <v>Tallahassee State College</v>
      </c>
      <c r="B176" s="1069">
        <v>1011402</v>
      </c>
    </row>
    <row r="177" spans="1:2" ht="21.75" thickBot="1">
      <c r="A177" s="378" t="str">
        <f t="shared" si="23"/>
        <v>Valencia College</v>
      </c>
      <c r="B177" s="1070">
        <v>4516182</v>
      </c>
    </row>
    <row r="178" spans="1:2" ht="24" thickBot="1">
      <c r="A178" s="379" t="s">
        <v>48</v>
      </c>
      <c r="B178" s="417">
        <f>SUM(B150:B177)</f>
        <v>29996292</v>
      </c>
    </row>
    <row r="180" spans="1:2" ht="36.75" thickBot="1">
      <c r="A180" s="1072" t="s">
        <v>707</v>
      </c>
      <c r="B180" s="995"/>
    </row>
    <row r="181" spans="1:2" ht="21.75" thickBot="1">
      <c r="A181" s="56"/>
      <c r="B181" s="57" t="s">
        <v>715</v>
      </c>
    </row>
    <row r="182" spans="1:2" ht="21.75" thickBot="1">
      <c r="A182" s="56">
        <v>1</v>
      </c>
      <c r="B182" s="46">
        <v>2</v>
      </c>
    </row>
    <row r="183" spans="1:2" ht="54" thickBot="1">
      <c r="A183" s="1073" t="s">
        <v>686</v>
      </c>
      <c r="B183" s="1067" t="str">
        <f>B5</f>
        <v xml:space="preserve">2024-25 BASE BUDGET </v>
      </c>
    </row>
    <row r="184" spans="1:2" ht="42.75" thickBot="1">
      <c r="A184" s="280" t="s">
        <v>17</v>
      </c>
      <c r="B184" s="17" t="s">
        <v>686</v>
      </c>
    </row>
    <row r="185" spans="1:2">
      <c r="A185" s="397" t="str">
        <f t="shared" ref="A185:A212" si="24">A7</f>
        <v>Eastern Florida State College</v>
      </c>
      <c r="B185" s="1074">
        <v>1305041</v>
      </c>
    </row>
    <row r="186" spans="1:2">
      <c r="A186" s="377" t="str">
        <f t="shared" si="24"/>
        <v>Broward College</v>
      </c>
      <c r="B186" s="1069">
        <v>1431485</v>
      </c>
    </row>
    <row r="187" spans="1:2">
      <c r="A187" s="377" t="str">
        <f t="shared" si="24"/>
        <v>College of Central Florida</v>
      </c>
      <c r="B187" s="1069">
        <v>1049273</v>
      </c>
    </row>
    <row r="188" spans="1:2">
      <c r="A188" s="377" t="str">
        <f t="shared" si="24"/>
        <v>Chipola College</v>
      </c>
      <c r="B188" s="1069">
        <v>432695</v>
      </c>
    </row>
    <row r="189" spans="1:2">
      <c r="A189" s="377" t="str">
        <f t="shared" si="24"/>
        <v>Daytona State College</v>
      </c>
      <c r="B189" s="1069">
        <v>2291042</v>
      </c>
    </row>
    <row r="190" spans="1:2">
      <c r="A190" s="377" t="str">
        <f t="shared" si="24"/>
        <v>Florida SouthWestern State College</v>
      </c>
      <c r="B190" s="1069">
        <v>1383615</v>
      </c>
    </row>
    <row r="191" spans="1:2">
      <c r="A191" s="377" t="str">
        <f t="shared" si="24"/>
        <v>Florida State College at Jacksonville</v>
      </c>
      <c r="B191" s="1069">
        <v>2284275</v>
      </c>
    </row>
    <row r="192" spans="1:2">
      <c r="A192" s="377" t="str">
        <f t="shared" si="24"/>
        <v>College of the Florida Keys</v>
      </c>
      <c r="B192" s="1069">
        <v>338573</v>
      </c>
    </row>
    <row r="193" spans="1:2">
      <c r="A193" s="377" t="str">
        <f t="shared" si="24"/>
        <v>Gulf Coast State College</v>
      </c>
      <c r="B193" s="1069">
        <v>1680100</v>
      </c>
    </row>
    <row r="194" spans="1:2">
      <c r="A194" s="377" t="str">
        <f t="shared" si="24"/>
        <v>Hillsborough Community College</v>
      </c>
      <c r="B194" s="1069">
        <v>653062</v>
      </c>
    </row>
    <row r="195" spans="1:2">
      <c r="A195" s="377" t="str">
        <f t="shared" si="24"/>
        <v>Indian River State College</v>
      </c>
      <c r="B195" s="1069">
        <v>1644383</v>
      </c>
    </row>
    <row r="196" spans="1:2">
      <c r="A196" s="377" t="str">
        <f t="shared" si="24"/>
        <v>Florida Gateway College</v>
      </c>
      <c r="B196" s="1069">
        <v>1502315</v>
      </c>
    </row>
    <row r="197" spans="1:2">
      <c r="A197" s="377" t="str">
        <f t="shared" si="24"/>
        <v>Lake-Sumter State College</v>
      </c>
      <c r="B197" s="1069">
        <v>1203371</v>
      </c>
    </row>
    <row r="198" spans="1:2">
      <c r="A198" s="377" t="str">
        <f t="shared" si="24"/>
        <v>State College of Florida, Manatee-Sarasota</v>
      </c>
      <c r="B198" s="1162">
        <v>1433772</v>
      </c>
    </row>
    <row r="199" spans="1:2">
      <c r="A199" s="377" t="str">
        <f t="shared" si="24"/>
        <v>Miami Dade College</v>
      </c>
      <c r="B199" s="1069">
        <v>2347456</v>
      </c>
    </row>
    <row r="200" spans="1:2">
      <c r="A200" s="377" t="str">
        <f t="shared" si="24"/>
        <v>North Florida College</v>
      </c>
      <c r="B200" s="1069">
        <v>909979</v>
      </c>
    </row>
    <row r="201" spans="1:2">
      <c r="A201" s="377" t="str">
        <f t="shared" si="24"/>
        <v>Northwest Florida State College</v>
      </c>
      <c r="B201" s="1069">
        <v>846604</v>
      </c>
    </row>
    <row r="202" spans="1:2">
      <c r="A202" s="377" t="str">
        <f t="shared" si="24"/>
        <v>Palm Beach State College</v>
      </c>
      <c r="B202" s="1069">
        <v>1637660</v>
      </c>
    </row>
    <row r="203" spans="1:2">
      <c r="A203" s="377" t="str">
        <f t="shared" si="24"/>
        <v>Pasco-Hernando State College</v>
      </c>
      <c r="B203" s="1069">
        <v>2453045</v>
      </c>
    </row>
    <row r="204" spans="1:2">
      <c r="A204" s="377" t="str">
        <f t="shared" si="24"/>
        <v>Pensacola State College</v>
      </c>
      <c r="B204" s="1069">
        <v>1084766</v>
      </c>
    </row>
    <row r="205" spans="1:2">
      <c r="A205" s="377" t="str">
        <f t="shared" si="24"/>
        <v>Polk State College</v>
      </c>
      <c r="B205" s="1069">
        <v>1287984</v>
      </c>
    </row>
    <row r="206" spans="1:2">
      <c r="A206" s="377" t="str">
        <f t="shared" si="24"/>
        <v>St. Johns River State College</v>
      </c>
      <c r="B206" s="1069">
        <v>1161973</v>
      </c>
    </row>
    <row r="207" spans="1:2">
      <c r="A207" s="377" t="str">
        <f t="shared" si="24"/>
        <v>St. Petersburg College</v>
      </c>
      <c r="B207" s="1069">
        <v>2139506</v>
      </c>
    </row>
    <row r="208" spans="1:2">
      <c r="A208" s="377" t="str">
        <f t="shared" si="24"/>
        <v>Santa Fe College</v>
      </c>
      <c r="B208" s="1069">
        <v>1764750</v>
      </c>
    </row>
    <row r="209" spans="1:2">
      <c r="A209" s="377" t="str">
        <f t="shared" si="24"/>
        <v>Seminole State College of Florida</v>
      </c>
      <c r="B209" s="1069">
        <v>1473391</v>
      </c>
    </row>
    <row r="210" spans="1:2">
      <c r="A210" s="377" t="str">
        <f t="shared" si="24"/>
        <v>South Florida State College</v>
      </c>
      <c r="B210" s="1069">
        <v>1194691</v>
      </c>
    </row>
    <row r="211" spans="1:2">
      <c r="A211" s="377" t="str">
        <f t="shared" si="24"/>
        <v>Tallahassee State College</v>
      </c>
      <c r="B211" s="1069">
        <v>678930</v>
      </c>
    </row>
    <row r="212" spans="1:2" ht="21.75" thickBot="1">
      <c r="A212" s="378" t="str">
        <f t="shared" si="24"/>
        <v>Valencia College</v>
      </c>
      <c r="B212" s="1070">
        <v>2111359</v>
      </c>
    </row>
    <row r="213" spans="1:2" ht="24" thickBot="1">
      <c r="A213" s="379" t="s">
        <v>48</v>
      </c>
      <c r="B213" s="417">
        <f>SUM(B185:B212)</f>
        <v>39725096</v>
      </c>
    </row>
  </sheetData>
  <sheetProtection algorithmName="SHA-512" hashValue="noDhg60OlwiJrxlsggF+G6X2ljM9HnfRDVZ13QcKN8O3wlLNna3tfFST3iQbHMexdQ44qYlzNxdSJU0wylFcgg==" saltValue="oQjQtTHBOZewsPtw0c83/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740</v>
      </c>
      <c r="B2" s="869"/>
      <c r="C2" s="869"/>
      <c r="D2" s="869"/>
      <c r="E2" s="869"/>
      <c r="F2" s="869"/>
      <c r="G2" s="869"/>
    </row>
    <row r="3" spans="1:9" ht="20.100000000000001" customHeight="1">
      <c r="A3" s="869"/>
      <c r="B3" s="869"/>
      <c r="C3" s="869"/>
      <c r="D3" s="869"/>
      <c r="E3" s="869"/>
      <c r="F3" s="869"/>
      <c r="G3" s="869"/>
      <c r="H3" s="82"/>
    </row>
    <row r="4" spans="1:9" ht="28.35" customHeight="1">
      <c r="A4" s="1087" t="s">
        <v>702</v>
      </c>
      <c r="B4" s="1087"/>
      <c r="C4" s="1087"/>
      <c r="D4" s="1087"/>
      <c r="E4" s="1087"/>
      <c r="F4" s="1087"/>
      <c r="G4" s="1087"/>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33</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780</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0.17018164111301465</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2"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741</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14070</v>
      </c>
      <c r="E44" s="108">
        <f>+'EXHIBIT C'!F10</f>
        <v>15235</v>
      </c>
      <c r="F44" s="109">
        <f t="shared" ref="F44:F50" si="0">IF(D44=0,"0",(E44/D44-1))</f>
        <v>8.2800284292821713E-2</v>
      </c>
      <c r="G44" s="110" t="str">
        <f t="shared" ref="G44:G50" si="1">IF(OR(F44&gt;3%, F44&lt;-3%),"YES","NO")</f>
        <v>YES</v>
      </c>
      <c r="H44" s="82"/>
    </row>
    <row r="45" spans="1:8" ht="20.100000000000001" customHeight="1">
      <c r="C45" s="111" t="s">
        <v>125</v>
      </c>
      <c r="D45" s="621">
        <f>VLOOKUP($D$7,VLOOKUP!$A$109:$S$137,5)*30+D60</f>
        <v>128601.8174669055</v>
      </c>
      <c r="E45" s="112">
        <f>+'EXHIBIT C'!F11</f>
        <v>138094.95000000001</v>
      </c>
      <c r="F45" s="622">
        <f t="shared" si="0"/>
        <v>7.3818027770388817E-2</v>
      </c>
      <c r="G45" s="623" t="str">
        <f t="shared" si="1"/>
        <v>YES</v>
      </c>
      <c r="H45" s="82"/>
    </row>
    <row r="46" spans="1:8" ht="20.100000000000001" customHeight="1">
      <c r="C46" s="624" t="s">
        <v>126</v>
      </c>
      <c r="D46" s="625">
        <f>VLOOKUP($D$7,VLOOKUP!$A$109:$S$137,8)*30</f>
        <v>19162.148014440434</v>
      </c>
      <c r="E46" s="626">
        <f>+'EXHIBIT C'!F12</f>
        <v>21346.5</v>
      </c>
      <c r="F46" s="622">
        <f t="shared" si="0"/>
        <v>0.1139930650735741</v>
      </c>
      <c r="G46" s="623" t="str">
        <f t="shared" si="1"/>
        <v>YES</v>
      </c>
      <c r="H46" s="82"/>
    </row>
    <row r="47" spans="1:8" ht="20.100000000000001" customHeight="1">
      <c r="C47" s="624" t="s">
        <v>75</v>
      </c>
      <c r="D47" s="625">
        <f>VLOOKUP($D$7,VLOOKUP!$A$109:$S$137,17)*30</f>
        <v>0</v>
      </c>
      <c r="E47" s="626">
        <f>+'EXHIBIT C'!F13</f>
        <v>0</v>
      </c>
      <c r="F47" s="622" t="str">
        <f t="shared" si="0"/>
        <v>0</v>
      </c>
      <c r="G47" s="623" t="str">
        <f t="shared" si="1"/>
        <v>NO</v>
      </c>
      <c r="H47" s="82"/>
    </row>
    <row r="48" spans="1:8" ht="20.100000000000001" customHeight="1">
      <c r="C48" s="624" t="s">
        <v>127</v>
      </c>
      <c r="D48" s="625">
        <f>VLOOKUP($D$7,VLOOKUP!$A$109:$S$137,11)*30</f>
        <v>3435.6554781507284</v>
      </c>
      <c r="E48" s="626">
        <f>+'EXHIBIT C'!F14</f>
        <v>4278.75</v>
      </c>
      <c r="F48" s="622">
        <f t="shared" si="0"/>
        <v>0.24539553724492613</v>
      </c>
      <c r="G48" s="623" t="str">
        <f t="shared" si="1"/>
        <v>YES</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165269.62095949668</v>
      </c>
      <c r="E50" s="115">
        <f>+'EXHIBIT C'!F17</f>
        <v>178955.2</v>
      </c>
      <c r="F50" s="116">
        <f t="shared" si="0"/>
        <v>8.2807590173255896E-2</v>
      </c>
      <c r="G50" s="117" t="str">
        <f t="shared" si="1"/>
        <v>YES</v>
      </c>
      <c r="H50" s="82"/>
    </row>
    <row r="51" spans="3:8" ht="46.5" customHeight="1" thickBot="1">
      <c r="C51" s="872" t="s">
        <v>129</v>
      </c>
      <c r="D51" s="873"/>
      <c r="E51" s="873"/>
      <c r="F51" s="873"/>
      <c r="G51" s="874"/>
      <c r="H51" s="82"/>
    </row>
    <row r="52" spans="3:8" ht="24.6" customHeight="1" thickBot="1">
      <c r="C52" s="796" t="s">
        <v>703</v>
      </c>
      <c r="D52" s="797"/>
      <c r="E52" s="797"/>
      <c r="F52" s="797"/>
      <c r="G52" s="798"/>
      <c r="H52" s="118"/>
    </row>
    <row r="53" spans="3:8" ht="205.5" customHeight="1" thickBot="1">
      <c r="C53" s="1161" t="s">
        <v>794</v>
      </c>
      <c r="D53" s="1048"/>
      <c r="E53" s="1048"/>
      <c r="F53" s="1048"/>
      <c r="G53" s="1049"/>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717</v>
      </c>
      <c r="F59" s="633" t="str">
        <f t="shared" ref="F59:F65" si="2">IF(D59=0,"0",(E59/D59-1))</f>
        <v>0</v>
      </c>
      <c r="G59" s="634" t="str">
        <f>IF(OR(F59&gt;5%, F59&lt;-5%),"YES","NO")</f>
        <v>NO</v>
      </c>
    </row>
    <row r="60" spans="3:8" ht="20.100000000000001" customHeight="1">
      <c r="C60" s="111" t="s">
        <v>125</v>
      </c>
      <c r="D60" s="632">
        <f>VLOOKUP($D$7,VLOOKUP!$A$109:$S$137,6)*30</f>
        <v>6595.7665254052163</v>
      </c>
      <c r="E60" s="125">
        <f>+'EXHIBIT C'!D20</f>
        <v>6490.05</v>
      </c>
      <c r="F60" s="633">
        <f t="shared" si="2"/>
        <v>-1.6027936252446584E-2</v>
      </c>
      <c r="G60" s="634" t="str">
        <f t="shared" ref="G60:G65" si="3">IF(OR(F60&gt;5%, F60&lt;-5%),"YES","NO")</f>
        <v>NO</v>
      </c>
      <c r="H60" s="82"/>
    </row>
    <row r="61" spans="3:8" ht="20.100000000000001" customHeight="1">
      <c r="C61" s="624" t="s">
        <v>126</v>
      </c>
      <c r="D61" s="635">
        <f>VLOOKUP($D$7,VLOOKUP!$A$109:$S$137,9)*30</f>
        <v>934.81949458483757</v>
      </c>
      <c r="E61" s="636">
        <f>+'EXHIBIT C'!D21</f>
        <v>1002.75</v>
      </c>
      <c r="F61" s="633">
        <f t="shared" si="2"/>
        <v>7.266697561258173E-2</v>
      </c>
      <c r="G61" s="634" t="str">
        <f t="shared" si="3"/>
        <v>YES</v>
      </c>
      <c r="H61" s="82"/>
    </row>
    <row r="62" spans="3:8" ht="20.100000000000001" customHeight="1">
      <c r="C62" s="624" t="s">
        <v>75</v>
      </c>
      <c r="D62" s="635">
        <f>VLOOKUP($D$7,VLOOKUP!$A$109:$S$137,18)*30</f>
        <v>0</v>
      </c>
      <c r="E62" s="636">
        <f>+'EXHIBIT C'!D22</f>
        <v>0</v>
      </c>
      <c r="F62" s="633" t="str">
        <f t="shared" si="2"/>
        <v>0</v>
      </c>
      <c r="G62" s="634" t="str">
        <f t="shared" si="3"/>
        <v>NO</v>
      </c>
      <c r="H62" s="82"/>
    </row>
    <row r="63" spans="3:8" ht="20.100000000000001" customHeight="1">
      <c r="C63" s="624" t="s">
        <v>127</v>
      </c>
      <c r="D63" s="635">
        <f>VLOOKUP($D$7,VLOOKUP!$A$109:$S$137,12)*30</f>
        <v>464.3445218492717</v>
      </c>
      <c r="E63" s="636">
        <f>+'EXHIBIT C'!D23</f>
        <v>201.60000000000002</v>
      </c>
      <c r="F63" s="633">
        <f t="shared" si="2"/>
        <v>-0.56583960720130921</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7994.9305418393251</v>
      </c>
      <c r="E65" s="127">
        <f>SUM(E59:E64)</f>
        <v>8411.4</v>
      </c>
      <c r="F65" s="128">
        <f t="shared" si="2"/>
        <v>5.2091691851629429E-2</v>
      </c>
      <c r="G65" s="129" t="str">
        <f t="shared" si="3"/>
        <v>YES</v>
      </c>
      <c r="H65" s="82"/>
    </row>
    <row r="66" spans="1:8" ht="42" customHeight="1" thickBot="1">
      <c r="C66" s="872" t="s">
        <v>134</v>
      </c>
      <c r="D66" s="873"/>
      <c r="E66" s="873"/>
      <c r="F66" s="873"/>
      <c r="G66" s="874"/>
      <c r="H66" s="82"/>
    </row>
    <row r="67" spans="1:8" ht="24.6" customHeight="1" thickBot="1">
      <c r="A67" s="92"/>
      <c r="B67" s="92"/>
      <c r="C67" s="793" t="s">
        <v>703</v>
      </c>
      <c r="D67" s="794"/>
      <c r="E67" s="794"/>
      <c r="F67" s="794"/>
      <c r="G67" s="795"/>
      <c r="H67" s="82"/>
    </row>
    <row r="68" spans="1:8" ht="227.25" customHeight="1" thickBot="1">
      <c r="A68" s="92"/>
      <c r="B68" s="92"/>
      <c r="C68" s="1050" t="s">
        <v>793</v>
      </c>
      <c r="D68" s="1051"/>
      <c r="E68" s="1051"/>
      <c r="F68" s="1051"/>
      <c r="G68" s="1052"/>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3"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3"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32985403</v>
      </c>
      <c r="E84" s="1088">
        <f>+'EXHIBIT D'!G77</f>
        <v>32985403</v>
      </c>
      <c r="F84" s="1088">
        <f>D84-E84</f>
        <v>0</v>
      </c>
      <c r="G84" s="82"/>
      <c r="H84" s="82"/>
    </row>
    <row r="85" spans="1:8" ht="20.100000000000001" customHeight="1">
      <c r="A85" s="92"/>
      <c r="B85" s="92"/>
      <c r="C85" s="643" t="s">
        <v>149</v>
      </c>
      <c r="D85" s="642">
        <f>VLOOKUP($D$7,VLOOKUP!$A$150:$B$178,2)</f>
        <v>534602</v>
      </c>
      <c r="E85" s="1088">
        <f>'EXHIBIT D'!G79</f>
        <v>534602</v>
      </c>
      <c r="F85" s="1088">
        <f>D85-E85</f>
        <v>0</v>
      </c>
      <c r="G85" s="82"/>
      <c r="H85" s="82"/>
    </row>
    <row r="86" spans="1:8" ht="20.100000000000001" customHeight="1">
      <c r="A86" s="92"/>
      <c r="B86" s="92"/>
      <c r="C86" s="643" t="s">
        <v>150</v>
      </c>
      <c r="D86" s="642">
        <f>VLOOKUP($D$7,VLOOKUP!$A$7:$E$35,3)</f>
        <v>5065814</v>
      </c>
      <c r="E86" s="1088">
        <f>'EXHIBIT D'!G82</f>
        <v>5065814</v>
      </c>
      <c r="F86" s="1088">
        <f>D86-E86</f>
        <v>0</v>
      </c>
      <c r="G86" s="82"/>
      <c r="H86" s="82"/>
    </row>
    <row r="87" spans="1:8" ht="20.100000000000001" customHeight="1" thickBot="1">
      <c r="A87" s="91"/>
      <c r="B87" s="91"/>
      <c r="C87" s="137" t="s">
        <v>686</v>
      </c>
      <c r="D87" s="642">
        <f>VLOOKUP($D$7,VLOOKUP!$A$185:$B$213,2)</f>
        <v>1433772</v>
      </c>
      <c r="E87" s="1089">
        <f>'EXHIBIT D'!G78</f>
        <v>1433772</v>
      </c>
      <c r="F87" s="1088">
        <f>D87-E87</f>
        <v>0</v>
      </c>
      <c r="G87" s="82"/>
      <c r="H87" s="82"/>
    </row>
    <row r="88" spans="1:8" ht="20.100000000000001" customHeight="1" thickBot="1">
      <c r="A88" s="91"/>
      <c r="B88" s="91"/>
      <c r="C88" s="138" t="s">
        <v>151</v>
      </c>
      <c r="D88" s="139">
        <f>SUM(D84:D87)</f>
        <v>40019591</v>
      </c>
      <c r="E88" s="139">
        <f>SUM(E84:E87)</f>
        <v>40019591</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713</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11870865</v>
      </c>
      <c r="D101" s="787" t="s">
        <v>742</v>
      </c>
      <c r="E101" s="787"/>
      <c r="F101" s="787"/>
      <c r="G101" s="82"/>
      <c r="H101" s="82"/>
    </row>
    <row r="102" spans="1:8" ht="20.100000000000001" customHeight="1">
      <c r="A102" s="89"/>
      <c r="B102" s="89"/>
      <c r="C102" s="645">
        <f>'EXHIBIT D'!G266-'EXHIBIT D'!G252-'EXHIBIT D'!G264</f>
        <v>11870865</v>
      </c>
      <c r="D102" s="789" t="s">
        <v>743</v>
      </c>
      <c r="E102" s="789"/>
      <c r="F102" s="789"/>
      <c r="G102" s="82"/>
      <c r="H102" s="82"/>
    </row>
    <row r="103" spans="1:8" ht="66.599999999999994" customHeight="1">
      <c r="A103" s="145"/>
      <c r="B103" s="145"/>
      <c r="C103" s="646">
        <f>C101-C102</f>
        <v>0</v>
      </c>
      <c r="D103" s="877" t="s">
        <v>695</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700</v>
      </c>
      <c r="D106" s="870"/>
      <c r="E106" s="870"/>
      <c r="F106" s="870"/>
      <c r="G106" s="870"/>
      <c r="H106" s="788"/>
    </row>
    <row r="107" spans="1:8" ht="20.100000000000001" customHeight="1">
      <c r="A107" s="145"/>
      <c r="B107" s="145"/>
    </row>
    <row r="108" spans="1:8" ht="24.75" customHeight="1">
      <c r="A108" s="145"/>
      <c r="B108" s="145"/>
      <c r="C108" s="148">
        <f>'EXHIBIT A'!E14</f>
        <v>24637980</v>
      </c>
      <c r="D108" s="11" t="s">
        <v>744</v>
      </c>
    </row>
    <row r="109" spans="1:8" ht="26.25" customHeight="1">
      <c r="A109" s="145"/>
      <c r="B109" s="145"/>
      <c r="C109" s="647">
        <f>'EXHIBIT A'!E36</f>
        <v>24977980</v>
      </c>
      <c r="D109" s="11" t="s">
        <v>745</v>
      </c>
    </row>
    <row r="110" spans="1:8" ht="26.1" customHeight="1">
      <c r="A110" s="145"/>
      <c r="B110" s="145"/>
      <c r="C110" s="648">
        <f>C108-C109</f>
        <v>-340000</v>
      </c>
      <c r="D110" s="83" t="s">
        <v>159</v>
      </c>
      <c r="E110" s="83"/>
      <c r="F110" s="83"/>
      <c r="G110" s="83"/>
    </row>
    <row r="111" spans="1:8" ht="20.100000000000001" customHeight="1">
      <c r="A111" s="145"/>
      <c r="B111" s="145"/>
      <c r="C111" s="148"/>
    </row>
    <row r="112" spans="1:8" ht="26.1" customHeight="1">
      <c r="A112" s="145"/>
      <c r="B112" s="145"/>
      <c r="C112" s="646">
        <f>'EXHIBIT D'!G186</f>
        <v>340000</v>
      </c>
      <c r="D112" s="142" t="s">
        <v>160</v>
      </c>
      <c r="E112" s="86"/>
      <c r="F112" s="86"/>
    </row>
    <row r="113" spans="1:8" ht="20.100000000000001" customHeight="1"/>
    <row r="114" spans="1:8" ht="38.450000000000003" customHeight="1">
      <c r="C114" s="1091">
        <f>C110+C112</f>
        <v>0</v>
      </c>
      <c r="D114" s="877" t="s">
        <v>696</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91.79002297341647</v>
      </c>
      <c r="D119" s="11" t="s">
        <v>80</v>
      </c>
    </row>
    <row r="120" spans="1:8" ht="20.100000000000001" customHeight="1">
      <c r="C120" s="151"/>
    </row>
    <row r="121" spans="1:8" ht="20.100000000000001" customHeight="1">
      <c r="C121" s="152">
        <f>IF('EXHIBIT G'!D118=0,"No Credit Hours or Not Applicable",('EXHIBIT G'!D118/'EXHIBIT C'!D19))</f>
        <v>275</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0" t="str">
        <f>IF(+'EXHIBIT G'!D117='EXHIBIT C'!H10,"Equal","Not Equal")</f>
        <v>Equal</v>
      </c>
      <c r="D126" s="878" t="s">
        <v>697</v>
      </c>
      <c r="E126" s="878"/>
      <c r="F126" s="878"/>
      <c r="G126" s="878"/>
    </row>
    <row r="127" spans="1:8" ht="20.100000000000001" customHeight="1">
      <c r="C127" s="151"/>
      <c r="D127" s="84"/>
      <c r="E127" s="84"/>
      <c r="F127" s="84"/>
      <c r="G127" s="84"/>
    </row>
    <row r="128" spans="1:8" ht="20.100000000000001" customHeight="1"/>
    <row r="129" spans="1:8" ht="58.35" customHeight="1">
      <c r="C129" s="1090" t="str">
        <f>IF(+'EXHIBIT G'!D118='EXHIBIT C'!F19,"Equal","Not Equal")</f>
        <v>Equal</v>
      </c>
      <c r="D129" s="878" t="s">
        <v>698</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699</v>
      </c>
      <c r="D133" s="870"/>
      <c r="E133" s="870"/>
      <c r="F133" s="870"/>
      <c r="G133" s="870"/>
      <c r="H133" s="788"/>
    </row>
    <row r="134" spans="1:8" ht="20.100000000000001" customHeight="1"/>
    <row r="135" spans="1:8" ht="20.100000000000001" customHeight="1">
      <c r="C135" s="1090" t="str">
        <f>IF(+'EXHIBIT G'!F112='EXHIBIT G'!F128,"Equal","Not Equal")</f>
        <v>Equal</v>
      </c>
      <c r="D135" s="787" t="s">
        <v>167</v>
      </c>
      <c r="E135" s="787"/>
      <c r="F135" s="787"/>
    </row>
    <row r="136" spans="1:8" ht="20.100000000000001" customHeight="1" thickBot="1">
      <c r="C136" s="10"/>
    </row>
    <row r="137" spans="1:8" ht="24.6" customHeight="1" thickBot="1">
      <c r="C137" s="796" t="s">
        <v>704</v>
      </c>
      <c r="D137" s="797"/>
      <c r="E137" s="797"/>
      <c r="F137" s="797"/>
      <c r="G137" s="798"/>
      <c r="H137" s="22"/>
    </row>
    <row r="138" spans="1:8" ht="199.5" customHeight="1" thickBot="1">
      <c r="C138" s="1053"/>
      <c r="D138" s="1054"/>
      <c r="E138" s="1054"/>
      <c r="F138" s="1054"/>
      <c r="G138" s="1055"/>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746</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State College of Florida, Manatee-Sarasota</v>
      </c>
      <c r="D8" s="804"/>
      <c r="E8" s="804"/>
      <c r="F8" s="273"/>
      <c r="G8" s="273"/>
    </row>
    <row r="9" spans="2:7" ht="25.35" customHeight="1"/>
    <row r="10" spans="2:7" ht="41.45" customHeight="1">
      <c r="E10" s="555" t="s">
        <v>172</v>
      </c>
    </row>
    <row r="11" spans="2:7" ht="25.35" customHeight="1">
      <c r="B11" s="22" t="s">
        <v>747</v>
      </c>
      <c r="D11" s="22"/>
      <c r="E11" s="155"/>
    </row>
    <row r="12" spans="2:7" ht="25.35" customHeight="1">
      <c r="B12" s="22"/>
      <c r="C12" s="22"/>
      <c r="D12" s="22"/>
    </row>
    <row r="13" spans="2:7" ht="25.35" customHeight="1">
      <c r="B13" s="11" t="s">
        <v>748</v>
      </c>
      <c r="C13" s="22"/>
      <c r="D13" s="22"/>
      <c r="E13" s="1096">
        <v>-19158002</v>
      </c>
    </row>
    <row r="14" spans="2:7" ht="25.35" customHeight="1">
      <c r="B14" s="11" t="s">
        <v>173</v>
      </c>
      <c r="D14" s="22"/>
      <c r="E14" s="1160">
        <v>24637980</v>
      </c>
    </row>
    <row r="15" spans="2:7" ht="25.35" customHeight="1">
      <c r="B15" s="22"/>
      <c r="D15" s="22"/>
      <c r="E15" s="156"/>
    </row>
    <row r="16" spans="2:7" ht="25.35" customHeight="1">
      <c r="B16" s="11" t="s">
        <v>749</v>
      </c>
      <c r="C16" s="22"/>
      <c r="D16" s="22"/>
      <c r="E16" s="556">
        <f>+E14+E13</f>
        <v>5479978</v>
      </c>
    </row>
    <row r="17" spans="2:7" ht="25.35" customHeight="1">
      <c r="B17" s="22"/>
      <c r="C17" s="22"/>
      <c r="D17" s="22"/>
      <c r="E17" s="157"/>
    </row>
    <row r="18" spans="2:7" ht="25.35" customHeight="1">
      <c r="B18" s="11" t="s">
        <v>174</v>
      </c>
      <c r="C18" s="22"/>
      <c r="D18" s="22"/>
      <c r="E18" s="167">
        <f>+'EXHIBIT D'!G143-SUM(+'EXHIBIT D'!G133+'EXHIBIT D'!G134)</f>
        <v>63995006</v>
      </c>
      <c r="G18" s="132"/>
    </row>
    <row r="19" spans="2:7" ht="25.35" customHeight="1">
      <c r="B19" s="11" t="s">
        <v>175</v>
      </c>
      <c r="D19" s="22"/>
      <c r="E19" s="556">
        <f>+'EXHIBIT D'!G133+'EXHIBIT D'!G134</f>
        <v>279103</v>
      </c>
    </row>
    <row r="20" spans="2:7" ht="25.35" customHeight="1">
      <c r="B20" s="22"/>
      <c r="D20" s="22"/>
      <c r="E20" s="162"/>
    </row>
    <row r="21" spans="2:7" ht="25.35" customHeight="1">
      <c r="B21" s="11" t="s">
        <v>176</v>
      </c>
      <c r="C21" s="22"/>
      <c r="D21" s="22"/>
      <c r="E21" s="557">
        <f>+E19+E18</f>
        <v>64274109</v>
      </c>
    </row>
    <row r="22" spans="2:7" ht="25.35" customHeight="1">
      <c r="B22" s="22"/>
      <c r="C22" s="22"/>
      <c r="D22" s="22"/>
      <c r="E22" s="162"/>
    </row>
    <row r="23" spans="2:7" ht="25.35" customHeight="1">
      <c r="B23" s="22" t="s">
        <v>177</v>
      </c>
      <c r="C23" s="22"/>
      <c r="D23" s="22"/>
      <c r="E23" s="557">
        <f>+E21+E16</f>
        <v>69754087</v>
      </c>
    </row>
    <row r="24" spans="2:7" ht="25.35" customHeight="1">
      <c r="B24" s="22"/>
      <c r="C24" s="22"/>
      <c r="D24" s="22"/>
      <c r="E24" s="162"/>
    </row>
    <row r="25" spans="2:7" ht="25.35" customHeight="1">
      <c r="B25" s="11" t="s">
        <v>178</v>
      </c>
      <c r="C25" s="22"/>
      <c r="D25" s="22"/>
      <c r="E25" s="168">
        <f>'EXHIBIT D'!G248-SUM(+'EXHIBIT D'!G222+'EXHIBIT D'!G223)</f>
        <v>68629079</v>
      </c>
    </row>
    <row r="26" spans="2:7" ht="25.35" customHeight="1">
      <c r="B26" s="11" t="s">
        <v>179</v>
      </c>
      <c r="D26" s="22"/>
      <c r="E26" s="556">
        <f>'EXHIBIT D'!G222+'EXHIBIT D'!G223</f>
        <v>1433772</v>
      </c>
    </row>
    <row r="27" spans="2:7" ht="25.35" customHeight="1">
      <c r="B27" s="22"/>
      <c r="D27" s="22"/>
      <c r="E27" s="162"/>
    </row>
    <row r="28" spans="2:7" ht="25.35" customHeight="1">
      <c r="B28" s="22" t="s">
        <v>180</v>
      </c>
      <c r="C28" s="22"/>
      <c r="D28" s="22"/>
      <c r="E28" s="558">
        <f>+E26+E25</f>
        <v>70062851</v>
      </c>
    </row>
    <row r="29" spans="2:7" ht="25.35" customHeight="1">
      <c r="B29" s="22"/>
      <c r="C29" s="22"/>
      <c r="D29" s="22"/>
      <c r="E29" s="158"/>
    </row>
    <row r="30" spans="2:7" ht="25.35" customHeight="1">
      <c r="B30" s="22" t="s">
        <v>750</v>
      </c>
      <c r="C30" s="22"/>
      <c r="D30" s="22"/>
      <c r="E30" s="158"/>
    </row>
    <row r="31" spans="2:7" ht="25.35" customHeight="1">
      <c r="B31" s="22"/>
      <c r="C31" s="22"/>
      <c r="D31" s="22"/>
      <c r="E31" s="158"/>
    </row>
    <row r="32" spans="2:7" ht="25.35" customHeight="1">
      <c r="B32" s="11" t="s">
        <v>181</v>
      </c>
      <c r="C32" s="22"/>
      <c r="D32" s="159">
        <f>+E23-E28</f>
        <v>-308764</v>
      </c>
      <c r="E32" s="158"/>
    </row>
    <row r="33" spans="2:10" ht="25.35" customHeight="1">
      <c r="B33" s="11" t="s">
        <v>182</v>
      </c>
      <c r="C33" s="22"/>
      <c r="D33" s="559">
        <f>+'EXHIBIT D'!G186</f>
        <v>340000</v>
      </c>
      <c r="E33" s="158"/>
    </row>
    <row r="34" spans="2:10" ht="25.35" customHeight="1">
      <c r="B34" s="22"/>
      <c r="D34" s="22"/>
      <c r="E34" s="158"/>
      <c r="J34" s="160"/>
    </row>
    <row r="35" spans="2:10" ht="25.35" customHeight="1">
      <c r="B35" s="11" t="s">
        <v>751</v>
      </c>
      <c r="C35" s="22"/>
      <c r="D35" s="22"/>
      <c r="E35" s="161">
        <f>+D32+D33</f>
        <v>31236</v>
      </c>
    </row>
    <row r="36" spans="2:10" ht="25.35" customHeight="1">
      <c r="B36" s="11" t="s">
        <v>752</v>
      </c>
      <c r="C36" s="22"/>
      <c r="D36" s="22"/>
      <c r="E36" s="557">
        <f>-'EXHIBIT D'!G264</f>
        <v>24977980</v>
      </c>
      <c r="J36" s="42"/>
    </row>
    <row r="37" spans="2:10" ht="25.35" customHeight="1">
      <c r="D37" s="22"/>
      <c r="E37" s="161"/>
    </row>
    <row r="38" spans="2:10" ht="25.35" customHeight="1">
      <c r="B38" s="22" t="s">
        <v>753</v>
      </c>
      <c r="D38" s="22"/>
      <c r="E38" s="556">
        <f>+E35-E36</f>
        <v>-24946744</v>
      </c>
    </row>
    <row r="39" spans="2:10" ht="25.35" customHeight="1">
      <c r="B39" s="22"/>
      <c r="C39" s="22"/>
      <c r="D39" s="22"/>
      <c r="E39" s="162"/>
    </row>
    <row r="40" spans="2:10" ht="25.35" customHeight="1">
      <c r="B40" s="11" t="s">
        <v>754</v>
      </c>
      <c r="C40" s="22"/>
      <c r="D40" s="22"/>
      <c r="E40" s="558">
        <f>'EXHIBIT D'!G253+'EXHIBIT D'!G254+'EXHIBIT D'!G255+'EXHIBIT D'!G256+'EXHIBIT D'!G257+'EXHIBIT D'!G258+'EXHIBIT D'!G259+'EXHIBIT D'!G260</f>
        <v>11870865</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755</v>
      </c>
      <c r="C44" s="22"/>
      <c r="D44" s="22"/>
      <c r="E44" s="560">
        <f>+E40/E23</f>
        <v>0.17018164111301465</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756</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State College of Florida, Manatee-Sarasota</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4.37</v>
      </c>
      <c r="D14" s="930">
        <v>6.55</v>
      </c>
      <c r="E14" s="930">
        <v>6.56</v>
      </c>
      <c r="F14" s="930">
        <v>2.81</v>
      </c>
      <c r="G14" s="650">
        <f>SUM(B14:F14)</f>
        <v>112.08000000000001</v>
      </c>
      <c r="H14" s="355">
        <f>G14*30</f>
        <v>3362.4000000000005</v>
      </c>
    </row>
    <row r="15" spans="1:18" s="11" customFormat="1" ht="20.100000000000001" customHeight="1">
      <c r="A15" s="22" t="s">
        <v>200</v>
      </c>
      <c r="B15" s="931">
        <v>78.84</v>
      </c>
      <c r="C15" s="931">
        <v>3.94</v>
      </c>
      <c r="D15" s="931">
        <v>7.88</v>
      </c>
      <c r="E15" s="931">
        <v>7.88</v>
      </c>
      <c r="F15" s="931">
        <v>3.94</v>
      </c>
      <c r="G15" s="650">
        <f>SUM(B15:F15)</f>
        <v>102.47999999999999</v>
      </c>
      <c r="H15" s="328">
        <f>G15*30</f>
        <v>3074.3999999999996</v>
      </c>
    </row>
    <row r="16" spans="1:18" s="11" customFormat="1" ht="20.100000000000001" customHeight="1" thickBot="1">
      <c r="A16" s="22" t="s">
        <v>75</v>
      </c>
      <c r="B16" s="932">
        <v>0</v>
      </c>
      <c r="C16" s="932">
        <v>0</v>
      </c>
      <c r="D16" s="933"/>
      <c r="E16" s="932">
        <v>0</v>
      </c>
      <c r="F16" s="932">
        <v>0</v>
      </c>
      <c r="G16" s="329">
        <f>SUM(B16:F16)</f>
        <v>0</v>
      </c>
      <c r="H16" s="651">
        <f>G16*30</f>
        <v>0</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v>
      </c>
      <c r="D29" s="930">
        <v>18.12</v>
      </c>
      <c r="E29" s="516">
        <f>D14</f>
        <v>6.55</v>
      </c>
      <c r="F29" s="930">
        <v>34.06</v>
      </c>
      <c r="G29" s="930">
        <v>16.559999999999999</v>
      </c>
      <c r="H29" s="336">
        <f>SUM(B29:G29)</f>
        <v>442.08000000000004</v>
      </c>
      <c r="I29" s="349">
        <f>H29*30</f>
        <v>13262.400000000001</v>
      </c>
    </row>
    <row r="30" spans="1:11" s="11" customFormat="1" ht="20.100000000000001" customHeight="1">
      <c r="A30" s="22" t="str">
        <f t="shared" si="0"/>
        <v>LOWER LEVEL - CREDIT (A &amp; P, PSV, DEVELOPMENTAL EDUCATION AND EPI)</v>
      </c>
      <c r="B30" s="654">
        <f t="shared" si="0"/>
        <v>78.84</v>
      </c>
      <c r="C30" s="934">
        <v>236.69</v>
      </c>
      <c r="D30" s="934">
        <v>15.78</v>
      </c>
      <c r="E30" s="655">
        <f>D15</f>
        <v>7.88</v>
      </c>
      <c r="F30" s="934">
        <v>31.55</v>
      </c>
      <c r="G30" s="934">
        <v>15.78</v>
      </c>
      <c r="H30" s="650">
        <f>SUM(B30:G30)</f>
        <v>386.51999999999992</v>
      </c>
      <c r="I30" s="328">
        <f>H30*30</f>
        <v>11595.599999999999</v>
      </c>
    </row>
    <row r="31" spans="1:11" s="11" customFormat="1" ht="20.100000000000001" customHeight="1">
      <c r="A31" s="22" t="str">
        <f t="shared" si="0"/>
        <v>CAREER CERTIFICATE AND APPLIED TECHNOLOGY DIPLOMA</v>
      </c>
      <c r="B31" s="1108">
        <f t="shared" si="0"/>
        <v>0</v>
      </c>
      <c r="C31" s="931">
        <v>0</v>
      </c>
      <c r="D31" s="931">
        <v>0</v>
      </c>
      <c r="E31" s="1109"/>
      <c r="F31" s="931">
        <v>0</v>
      </c>
      <c r="G31" s="931">
        <v>0</v>
      </c>
      <c r="H31" s="1110">
        <f>SUM(B31:G31)</f>
        <v>0</v>
      </c>
      <c r="I31" s="1110">
        <f>H31*30</f>
        <v>0</v>
      </c>
    </row>
    <row r="32" spans="1:11" s="11" customFormat="1" ht="20.100000000000001" customHeight="1" thickBot="1">
      <c r="A32" s="22" t="s">
        <v>736</v>
      </c>
      <c r="B32" s="1125">
        <v>0</v>
      </c>
      <c r="C32" s="1123">
        <v>0</v>
      </c>
      <c r="D32" s="1123">
        <v>0</v>
      </c>
      <c r="E32" s="1124"/>
      <c r="F32" s="1123">
        <v>0</v>
      </c>
      <c r="G32" s="1123">
        <v>0</v>
      </c>
      <c r="H32" s="1110">
        <f>SUM(B32:G32)</f>
        <v>0</v>
      </c>
      <c r="I32" s="1110">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735</v>
      </c>
      <c r="B41" s="883"/>
      <c r="C41" s="883"/>
      <c r="D41" s="883"/>
      <c r="E41" s="883"/>
      <c r="F41" s="883"/>
      <c r="G41" s="883"/>
      <c r="H41" s="883"/>
      <c r="I41" s="883"/>
      <c r="J41" s="169"/>
    </row>
    <row r="42" spans="1:11" ht="20.25" customHeight="1">
      <c r="A42" s="11" t="s">
        <v>757</v>
      </c>
      <c r="B42" s="171"/>
      <c r="C42" s="171"/>
      <c r="D42" s="171"/>
      <c r="E42" s="171"/>
      <c r="F42" s="171"/>
      <c r="G42" s="171"/>
      <c r="H42" s="171"/>
      <c r="I42" s="171"/>
    </row>
    <row r="43" spans="1:11" ht="20.25" customHeight="1">
      <c r="A43" s="11" t="s">
        <v>737</v>
      </c>
      <c r="B43" s="171"/>
      <c r="C43" s="171"/>
      <c r="D43" s="171"/>
      <c r="E43" s="171"/>
      <c r="F43" s="171"/>
      <c r="G43" s="171"/>
      <c r="H43" s="171"/>
      <c r="I43" s="171"/>
    </row>
    <row r="44" spans="1:11" ht="20.25" customHeight="1">
      <c r="A44" s="11" t="s">
        <v>771</v>
      </c>
      <c r="B44" s="171"/>
      <c r="C44" s="171"/>
      <c r="D44" s="171"/>
      <c r="E44" s="171"/>
      <c r="F44" s="171"/>
      <c r="G44" s="171"/>
      <c r="H44" s="171"/>
      <c r="I44" s="171"/>
    </row>
    <row r="45" spans="1:11" ht="20.25" customHeight="1">
      <c r="A45" s="11" t="s">
        <v>738</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55" zoomScaleNormal="55"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758</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State College of Florida, Manatee-Sarasota</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15235</v>
      </c>
      <c r="E10" s="519">
        <v>0</v>
      </c>
      <c r="F10" s="520">
        <f t="shared" ref="F10:F15" si="0">+D10-E10</f>
        <v>15235</v>
      </c>
      <c r="G10" s="520">
        <f>'EXHIBIT B'!B14</f>
        <v>91.79</v>
      </c>
      <c r="H10" s="1159">
        <f>ROUND(+F10*G10,0)</f>
        <v>1398421</v>
      </c>
    </row>
    <row r="11" spans="1:9" ht="20.100000000000001" customHeight="1">
      <c r="A11" s="661" t="s">
        <v>193</v>
      </c>
      <c r="B11" s="661" t="s">
        <v>125</v>
      </c>
      <c r="C11" s="662" t="s">
        <v>220</v>
      </c>
      <c r="D11" s="660">
        <f>131519*1.05</f>
        <v>138094.95000000001</v>
      </c>
      <c r="E11" s="660">
        <v>0</v>
      </c>
      <c r="F11" s="663">
        <f t="shared" si="0"/>
        <v>138094.95000000001</v>
      </c>
      <c r="G11" s="663">
        <f>+'EXHIBIT B'!B15</f>
        <v>78.84</v>
      </c>
      <c r="H11" s="664">
        <f t="shared" ref="H11:H15" si="1">ROUND(+F11*G11,0)</f>
        <v>10887406</v>
      </c>
    </row>
    <row r="12" spans="1:9" ht="20.100000000000001" customHeight="1">
      <c r="A12" s="661" t="s">
        <v>193</v>
      </c>
      <c r="B12" s="661" t="s">
        <v>126</v>
      </c>
      <c r="C12" s="662" t="s">
        <v>221</v>
      </c>
      <c r="D12" s="660">
        <f>20330*1.05</f>
        <v>21346.5</v>
      </c>
      <c r="E12" s="660">
        <v>0</v>
      </c>
      <c r="F12" s="663">
        <f t="shared" si="0"/>
        <v>21346.5</v>
      </c>
      <c r="G12" s="663">
        <f>+'EXHIBIT B'!B15</f>
        <v>78.84</v>
      </c>
      <c r="H12" s="664">
        <f t="shared" si="1"/>
        <v>1682958</v>
      </c>
    </row>
    <row r="13" spans="1:9" ht="20.100000000000001" customHeight="1">
      <c r="A13" s="661" t="s">
        <v>193</v>
      </c>
      <c r="B13" s="661" t="s">
        <v>75</v>
      </c>
      <c r="C13" s="662" t="s">
        <v>222</v>
      </c>
      <c r="D13" s="665">
        <v>0</v>
      </c>
      <c r="E13" s="665">
        <v>0</v>
      </c>
      <c r="F13" s="663">
        <f t="shared" si="0"/>
        <v>0</v>
      </c>
      <c r="G13" s="663">
        <f>+'EXHIBIT B'!B16</f>
        <v>0</v>
      </c>
      <c r="H13" s="664">
        <f t="shared" si="1"/>
        <v>0</v>
      </c>
    </row>
    <row r="14" spans="1:9" ht="20.100000000000001" customHeight="1">
      <c r="A14" s="661" t="s">
        <v>193</v>
      </c>
      <c r="B14" s="661" t="s">
        <v>127</v>
      </c>
      <c r="C14" s="662" t="s">
        <v>223</v>
      </c>
      <c r="D14" s="660">
        <f>4075*1.05</f>
        <v>4278.75</v>
      </c>
      <c r="E14" s="660">
        <v>0</v>
      </c>
      <c r="F14" s="663">
        <f t="shared" si="0"/>
        <v>4278.75</v>
      </c>
      <c r="G14" s="663">
        <f>+'EXHIBIT B'!B15</f>
        <v>78.84</v>
      </c>
      <c r="H14" s="664">
        <f t="shared" si="1"/>
        <v>337337</v>
      </c>
    </row>
    <row r="15" spans="1:9" ht="20.100000000000001" customHeight="1" thickBot="1">
      <c r="A15" s="666" t="s">
        <v>193</v>
      </c>
      <c r="B15" s="666" t="s">
        <v>128</v>
      </c>
      <c r="C15" s="667">
        <v>40160</v>
      </c>
      <c r="D15" s="668">
        <v>0</v>
      </c>
      <c r="E15" s="668">
        <v>0</v>
      </c>
      <c r="F15" s="669">
        <f t="shared" si="0"/>
        <v>0</v>
      </c>
      <c r="G15" s="669">
        <f>+'EXHIBIT B'!B15</f>
        <v>78.84</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178955.2</v>
      </c>
      <c r="E17" s="292">
        <f>SUM(E10:E15)</f>
        <v>0</v>
      </c>
      <c r="F17" s="293">
        <f>SUM(F10:F15)</f>
        <v>178955.2</v>
      </c>
      <c r="G17" s="293"/>
      <c r="H17" s="294">
        <f>SUM(H10:H15)</f>
        <v>14306122</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f>717</f>
        <v>717</v>
      </c>
      <c r="E19" s="672">
        <f>'EXHIBIT B'!C29</f>
        <v>275</v>
      </c>
      <c r="F19" s="1158">
        <f t="shared" ref="F19:F25" si="2">ROUND(+D19*E19,0)</f>
        <v>197175</v>
      </c>
      <c r="G19" s="296"/>
      <c r="H19" s="296"/>
    </row>
    <row r="20" spans="1:9" ht="20.100000000000001" customHeight="1">
      <c r="A20" s="612" t="s">
        <v>208</v>
      </c>
      <c r="B20" s="612" t="s">
        <v>125</v>
      </c>
      <c r="C20" s="673" t="s">
        <v>227</v>
      </c>
      <c r="D20" s="680">
        <f>6181*1.05</f>
        <v>6490.05</v>
      </c>
      <c r="E20" s="674">
        <f>+'EXHIBIT B'!C30</f>
        <v>236.69</v>
      </c>
      <c r="F20" s="675">
        <f t="shared" si="2"/>
        <v>1536130</v>
      </c>
      <c r="G20" s="42"/>
      <c r="H20" s="42"/>
    </row>
    <row r="21" spans="1:9" ht="20.100000000000001" customHeight="1">
      <c r="A21" s="612" t="s">
        <v>208</v>
      </c>
      <c r="B21" s="612" t="s">
        <v>126</v>
      </c>
      <c r="C21" s="673" t="s">
        <v>228</v>
      </c>
      <c r="D21" s="680">
        <f>955*1.05</f>
        <v>1002.75</v>
      </c>
      <c r="E21" s="674">
        <f>+'EXHIBIT B'!C30</f>
        <v>236.69</v>
      </c>
      <c r="F21" s="675">
        <f t="shared" si="2"/>
        <v>237341</v>
      </c>
      <c r="G21" s="42"/>
      <c r="H21" s="42"/>
    </row>
    <row r="22" spans="1:9" ht="20.100000000000001" customHeight="1">
      <c r="A22" s="612" t="s">
        <v>208</v>
      </c>
      <c r="B22" s="612" t="s">
        <v>75</v>
      </c>
      <c r="C22" s="673" t="s">
        <v>229</v>
      </c>
      <c r="D22" s="680">
        <v>0</v>
      </c>
      <c r="E22" s="674">
        <f>+'EXHIBIT B'!C31</f>
        <v>0</v>
      </c>
      <c r="F22" s="675">
        <f t="shared" si="2"/>
        <v>0</v>
      </c>
      <c r="G22" s="42"/>
      <c r="H22" s="42"/>
    </row>
    <row r="23" spans="1:9" ht="20.100000000000001" customHeight="1">
      <c r="A23" s="612" t="s">
        <v>208</v>
      </c>
      <c r="B23" s="612" t="s">
        <v>127</v>
      </c>
      <c r="C23" s="673" t="s">
        <v>230</v>
      </c>
      <c r="D23" s="680">
        <f>192*1.05</f>
        <v>201.60000000000002</v>
      </c>
      <c r="E23" s="674">
        <f>+'EXHIBIT B'!C30</f>
        <v>236.69</v>
      </c>
      <c r="F23" s="675">
        <f t="shared" si="2"/>
        <v>47717</v>
      </c>
      <c r="G23" s="42"/>
      <c r="H23" s="42"/>
    </row>
    <row r="24" spans="1:9" ht="20.100000000000001" customHeight="1">
      <c r="A24" s="1020" t="s">
        <v>208</v>
      </c>
      <c r="B24" s="1020" t="s">
        <v>128</v>
      </c>
      <c r="C24" s="1113">
        <v>40360</v>
      </c>
      <c r="D24" s="1114">
        <v>0</v>
      </c>
      <c r="E24" s="1115">
        <f>+'EXHIBIT B'!C30</f>
        <v>236.69</v>
      </c>
      <c r="F24" s="1116">
        <f t="shared" si="2"/>
        <v>0</v>
      </c>
      <c r="G24" s="42"/>
      <c r="H24" s="42"/>
    </row>
    <row r="25" spans="1:9" ht="20.100000000000001" customHeight="1" thickBot="1">
      <c r="A25" s="373" t="s">
        <v>208</v>
      </c>
      <c r="B25" s="373" t="s">
        <v>733</v>
      </c>
      <c r="C25" s="1111" t="s">
        <v>734</v>
      </c>
      <c r="D25" s="1112">
        <v>0</v>
      </c>
      <c r="E25" s="1115">
        <f>+'EXHIBIT B'!H32</f>
        <v>0</v>
      </c>
      <c r="F25" s="1116">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8411.4</v>
      </c>
      <c r="E27" s="678"/>
      <c r="F27" s="679">
        <f>SUM(F19:F25)</f>
        <v>2018363</v>
      </c>
      <c r="G27" s="300"/>
      <c r="H27" s="300"/>
    </row>
    <row r="28" spans="1:9" ht="20.100000000000001" customHeight="1" thickBot="1">
      <c r="A28" s="301" t="s">
        <v>231</v>
      </c>
      <c r="B28" s="301"/>
      <c r="C28" s="301"/>
      <c r="D28" s="301"/>
      <c r="E28" s="301"/>
      <c r="F28" s="302"/>
      <c r="G28" s="521"/>
      <c r="H28" s="303">
        <f>H17+F27</f>
        <v>16324485</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6">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16324485</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5" t="s">
        <v>706</v>
      </c>
      <c r="B51" s="1065"/>
      <c r="C51" s="1066"/>
      <c r="D51" s="1066"/>
      <c r="E51" s="1066"/>
      <c r="F51" s="1066"/>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782</v>
      </c>
      <c r="B55" s="680">
        <v>1433772</v>
      </c>
      <c r="C55" s="1094" t="s">
        <v>783</v>
      </c>
      <c r="D55" s="1095"/>
      <c r="E55" s="936" t="s">
        <v>785</v>
      </c>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1433772</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786</v>
      </c>
      <c r="B64" s="1157">
        <v>25000</v>
      </c>
      <c r="C64" s="936" t="s">
        <v>784</v>
      </c>
      <c r="D64" s="937"/>
      <c r="E64" s="936" t="s">
        <v>792</v>
      </c>
      <c r="F64" s="937"/>
    </row>
    <row r="65" spans="1:6" ht="24.95" customHeight="1">
      <c r="A65" s="686" t="s">
        <v>787</v>
      </c>
      <c r="B65" s="680">
        <v>10848</v>
      </c>
      <c r="C65" s="938" t="s">
        <v>784</v>
      </c>
      <c r="D65" s="939"/>
      <c r="E65" s="938" t="s">
        <v>792</v>
      </c>
      <c r="F65" s="939"/>
    </row>
    <row r="66" spans="1:6" ht="24.95" customHeight="1">
      <c r="A66" s="686" t="s">
        <v>789</v>
      </c>
      <c r="B66" s="680">
        <v>7200</v>
      </c>
      <c r="C66" s="938" t="s">
        <v>784</v>
      </c>
      <c r="D66" s="939"/>
      <c r="E66" s="938" t="s">
        <v>792</v>
      </c>
      <c r="F66" s="939"/>
    </row>
    <row r="67" spans="1:6" ht="24.95" customHeight="1">
      <c r="A67" s="686" t="s">
        <v>788</v>
      </c>
      <c r="B67" s="680">
        <f>13120+10000</f>
        <v>23120</v>
      </c>
      <c r="C67" s="938" t="s">
        <v>784</v>
      </c>
      <c r="D67" s="939"/>
      <c r="E67" s="938" t="s">
        <v>792</v>
      </c>
      <c r="F67" s="939"/>
    </row>
    <row r="68" spans="1:6" ht="24.95" customHeight="1">
      <c r="A68" s="686" t="s">
        <v>790</v>
      </c>
      <c r="B68" s="680">
        <v>12935</v>
      </c>
      <c r="C68" s="938" t="s">
        <v>784</v>
      </c>
      <c r="D68" s="939"/>
      <c r="E68" s="938" t="s">
        <v>792</v>
      </c>
      <c r="F68" s="939"/>
    </row>
    <row r="69" spans="1:6" ht="24.95" customHeight="1" thickBot="1">
      <c r="A69" s="570" t="s">
        <v>791</v>
      </c>
      <c r="B69" s="571">
        <v>200000</v>
      </c>
      <c r="C69" s="942" t="s">
        <v>784</v>
      </c>
      <c r="D69" s="943"/>
      <c r="E69" s="942" t="s">
        <v>792</v>
      </c>
      <c r="F69" s="943"/>
    </row>
    <row r="70" spans="1:6" ht="24.95" customHeight="1" thickBot="1">
      <c r="A70" s="280" t="s">
        <v>255</v>
      </c>
      <c r="B70" s="281">
        <f>SUM(B64:B69)</f>
        <v>279103</v>
      </c>
      <c r="C70" s="946"/>
      <c r="D70" s="947"/>
      <c r="E70" s="946"/>
      <c r="F70" s="947"/>
    </row>
    <row r="71" spans="1:6" ht="24.95" customHeight="1" thickBot="1">
      <c r="A71" s="280" t="s">
        <v>256</v>
      </c>
      <c r="B71" s="281">
        <f>+B70+B61</f>
        <v>1712875</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State College of Florida, Manatee-Sarasota</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19" t="s">
        <v>208</v>
      </c>
      <c r="B27" s="572" t="s">
        <v>128</v>
      </c>
      <c r="C27" s="1120">
        <v>40360</v>
      </c>
      <c r="D27" s="1121">
        <v>0</v>
      </c>
      <c r="E27" s="1121">
        <v>0</v>
      </c>
    </row>
    <row r="28" spans="1:5" s="169" customFormat="1" ht="24.95" customHeight="1" thickBot="1">
      <c r="A28" s="1117" t="s">
        <v>208</v>
      </c>
      <c r="B28" s="1122" t="s">
        <v>733</v>
      </c>
      <c r="C28" s="410" t="s">
        <v>734</v>
      </c>
      <c r="D28" s="430">
        <v>0</v>
      </c>
      <c r="E28" s="1118">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State College of Florida, Manatee-Sarasota</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759</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8">
        <f>+'EXHIBIT C'!H10+'EXHIBIT C(2)'!E13</f>
        <v>1398421</v>
      </c>
    </row>
    <row r="13" spans="1:8" ht="20.100000000000001" customHeight="1">
      <c r="A13" s="478" t="s">
        <v>193</v>
      </c>
      <c r="B13" s="176"/>
      <c r="C13" s="169" t="s">
        <v>125</v>
      </c>
      <c r="D13" s="176"/>
      <c r="E13" s="176"/>
      <c r="F13" s="180" t="s">
        <v>220</v>
      </c>
      <c r="G13" s="1148">
        <f>+'EXHIBIT C'!H11+'EXHIBIT C(2)'!E14</f>
        <v>10887406</v>
      </c>
    </row>
    <row r="14" spans="1:8" ht="20.100000000000001" customHeight="1">
      <c r="A14" s="478" t="s">
        <v>193</v>
      </c>
      <c r="B14" s="176"/>
      <c r="C14" s="176" t="s">
        <v>126</v>
      </c>
      <c r="D14" s="176"/>
      <c r="E14" s="176"/>
      <c r="F14" s="180" t="s">
        <v>221</v>
      </c>
      <c r="G14" s="1149">
        <f>+'EXHIBIT C'!H12+'EXHIBIT C(2)'!E15</f>
        <v>1682958</v>
      </c>
    </row>
    <row r="15" spans="1:8" ht="20.100000000000001" customHeight="1">
      <c r="A15" s="478" t="s">
        <v>193</v>
      </c>
      <c r="B15" s="176"/>
      <c r="C15" s="181" t="s">
        <v>273</v>
      </c>
      <c r="D15" s="176"/>
      <c r="E15" s="176"/>
      <c r="F15" s="180" t="s">
        <v>222</v>
      </c>
      <c r="G15" s="1149">
        <f>+'EXHIBIT C'!H13+'EXHIBIT C(2)'!E16</f>
        <v>0</v>
      </c>
    </row>
    <row r="16" spans="1:8" ht="20.100000000000001" customHeight="1">
      <c r="A16" s="478" t="s">
        <v>193</v>
      </c>
      <c r="B16" s="176"/>
      <c r="C16" s="181" t="s">
        <v>274</v>
      </c>
      <c r="D16" s="176"/>
      <c r="E16" s="176"/>
      <c r="F16" s="180" t="s">
        <v>223</v>
      </c>
      <c r="G16" s="182">
        <f>+'EXHIBIT C'!H14+'EXHIBIT C(2)'!E17</f>
        <v>337337</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14306122</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0">
        <f>+'EXHIBIT C'!F19+'EXHIBIT C(2)'!E22</f>
        <v>197175</v>
      </c>
    </row>
    <row r="22" spans="1:7" ht="20.100000000000001" customHeight="1">
      <c r="A22" s="478" t="s">
        <v>208</v>
      </c>
      <c r="B22" s="176"/>
      <c r="C22" s="169" t="s">
        <v>125</v>
      </c>
      <c r="D22" s="176"/>
      <c r="E22" s="176"/>
      <c r="F22" s="180" t="s">
        <v>227</v>
      </c>
      <c r="G22" s="1150">
        <f>+'EXHIBIT C'!F20+'EXHIBIT C(2)'!E23</f>
        <v>1536130</v>
      </c>
    </row>
    <row r="23" spans="1:7" ht="20.100000000000001" customHeight="1">
      <c r="A23" s="478" t="s">
        <v>208</v>
      </c>
      <c r="B23" s="176"/>
      <c r="C23" s="176" t="s">
        <v>126</v>
      </c>
      <c r="D23" s="176"/>
      <c r="E23" s="176"/>
      <c r="F23" s="180" t="s">
        <v>228</v>
      </c>
      <c r="G23" s="1151">
        <f>+'EXHIBIT C'!F21+'EXHIBIT C(2)'!E24</f>
        <v>237341</v>
      </c>
    </row>
    <row r="24" spans="1:7" ht="20.100000000000001" customHeight="1">
      <c r="A24" s="478" t="s">
        <v>208</v>
      </c>
      <c r="B24" s="176"/>
      <c r="C24" s="181" t="s">
        <v>273</v>
      </c>
      <c r="D24" s="176"/>
      <c r="E24" s="176"/>
      <c r="F24" s="180" t="s">
        <v>229</v>
      </c>
      <c r="G24" s="1151">
        <f>+'EXHIBIT C'!F22+'EXHIBIT C(2)'!E25</f>
        <v>0</v>
      </c>
    </row>
    <row r="25" spans="1:7" ht="20.100000000000001" customHeight="1">
      <c r="A25" s="478" t="s">
        <v>208</v>
      </c>
      <c r="B25" s="176"/>
      <c r="C25" s="181" t="s">
        <v>274</v>
      </c>
      <c r="D25" s="176"/>
      <c r="E25" s="176"/>
      <c r="F25" s="180" t="s">
        <v>230</v>
      </c>
      <c r="G25" s="1151">
        <f>+'EXHIBIT C'!F23+'EXHIBIT C(2)'!E26</f>
        <v>47717</v>
      </c>
    </row>
    <row r="26" spans="1:7" ht="20.100000000000001" customHeight="1">
      <c r="A26" s="478" t="s">
        <v>208</v>
      </c>
      <c r="B26" s="176"/>
      <c r="C26" s="169" t="s">
        <v>128</v>
      </c>
      <c r="D26" s="176"/>
      <c r="E26" s="176"/>
      <c r="F26" s="179">
        <v>40360</v>
      </c>
      <c r="G26" s="1151">
        <f>+'EXHIBIT C'!F24+'EXHIBIT C(2)'!E27</f>
        <v>0</v>
      </c>
    </row>
    <row r="27" spans="1:7" ht="20.100000000000001" customHeight="1">
      <c r="A27" s="478" t="s">
        <v>208</v>
      </c>
      <c r="B27" s="176"/>
      <c r="C27" s="169" t="s">
        <v>733</v>
      </c>
      <c r="D27" s="176"/>
      <c r="E27" s="176"/>
      <c r="F27" s="179" t="s">
        <v>734</v>
      </c>
      <c r="G27" s="1151">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2018363</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1">
        <f>'EXHIBIT C'!F40</f>
        <v>0</v>
      </c>
    </row>
    <row r="39" spans="1:7" ht="20.100000000000001" customHeight="1">
      <c r="A39" s="478" t="s">
        <v>280</v>
      </c>
      <c r="B39" s="176"/>
      <c r="C39" s="822" t="s">
        <v>240</v>
      </c>
      <c r="D39" s="822"/>
      <c r="E39" s="822"/>
      <c r="F39" s="180" t="s">
        <v>246</v>
      </c>
      <c r="G39" s="1151">
        <f>'EXHIBIT C'!F41</f>
        <v>0</v>
      </c>
    </row>
    <row r="40" spans="1:7" ht="20.100000000000001" customHeight="1">
      <c r="A40" s="478" t="s">
        <v>281</v>
      </c>
      <c r="B40" s="176"/>
      <c r="C40" s="176" t="s">
        <v>238</v>
      </c>
      <c r="D40" s="176"/>
      <c r="E40" s="176"/>
      <c r="F40" s="180" t="s">
        <v>245</v>
      </c>
      <c r="G40" s="1151">
        <f>'EXHIBIT C'!F42</f>
        <v>0</v>
      </c>
    </row>
    <row r="41" spans="1:7" ht="20.100000000000001" customHeight="1">
      <c r="A41" s="478" t="s">
        <v>281</v>
      </c>
      <c r="B41" s="176"/>
      <c r="C41" s="822" t="s">
        <v>240</v>
      </c>
      <c r="D41" s="822"/>
      <c r="E41" s="822"/>
      <c r="F41" s="180" t="s">
        <v>246</v>
      </c>
      <c r="G41" s="1151">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16324485</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2">
        <v>0</v>
      </c>
    </row>
    <row r="48" spans="1:7" ht="20.100000000000001" customHeight="1">
      <c r="A48" s="478" t="s">
        <v>286</v>
      </c>
      <c r="B48" s="187"/>
      <c r="C48" s="187"/>
      <c r="D48" s="187"/>
      <c r="E48" s="187"/>
      <c r="F48" s="188" t="s">
        <v>287</v>
      </c>
      <c r="G48" s="1152">
        <v>1220000</v>
      </c>
    </row>
    <row r="49" spans="1:7" ht="20.100000000000001" customHeight="1">
      <c r="A49" s="478" t="s">
        <v>288</v>
      </c>
      <c r="C49" s="187"/>
      <c r="D49" s="187"/>
      <c r="E49" s="187"/>
      <c r="F49" s="188" t="s">
        <v>289</v>
      </c>
      <c r="G49" s="1152">
        <f>300218+3728+10687+9138</f>
        <v>323771</v>
      </c>
    </row>
    <row r="50" spans="1:7" ht="20.100000000000001" customHeight="1">
      <c r="A50" s="478" t="s">
        <v>290</v>
      </c>
      <c r="B50" s="176"/>
      <c r="C50" s="176"/>
      <c r="D50" s="176"/>
      <c r="E50" s="176"/>
      <c r="F50" s="180" t="s">
        <v>291</v>
      </c>
      <c r="G50" s="1152">
        <v>348000</v>
      </c>
    </row>
    <row r="51" spans="1:7" ht="20.100000000000001" customHeight="1">
      <c r="A51" s="478" t="s">
        <v>772</v>
      </c>
      <c r="B51" s="176"/>
      <c r="C51" s="176"/>
      <c r="D51" s="176"/>
      <c r="E51" s="176"/>
      <c r="F51" s="195">
        <v>40280</v>
      </c>
      <c r="G51" s="1152">
        <v>1774368</v>
      </c>
    </row>
    <row r="52" spans="1:7" ht="20.100000000000001" customHeight="1">
      <c r="A52" s="478" t="s">
        <v>292</v>
      </c>
      <c r="B52" s="176"/>
      <c r="C52" s="176"/>
      <c r="D52" s="176"/>
      <c r="E52" s="176"/>
      <c r="F52" s="180" t="s">
        <v>293</v>
      </c>
      <c r="G52" s="1152">
        <v>360594</v>
      </c>
    </row>
    <row r="53" spans="1:7" ht="20.100000000000001" customHeight="1">
      <c r="A53" s="478" t="s">
        <v>294</v>
      </c>
      <c r="B53" s="176"/>
      <c r="C53" s="176"/>
      <c r="D53" s="176"/>
      <c r="E53" s="176"/>
      <c r="F53" s="179">
        <v>40450</v>
      </c>
      <c r="G53" s="1152">
        <v>0</v>
      </c>
    </row>
    <row r="54" spans="1:7" ht="20.100000000000001" customHeight="1">
      <c r="A54" s="478" t="s">
        <v>295</v>
      </c>
      <c r="B54" s="176"/>
      <c r="C54" s="176"/>
      <c r="D54" s="176"/>
      <c r="E54" s="176"/>
      <c r="F54" s="180" t="s">
        <v>296</v>
      </c>
      <c r="G54" s="1152">
        <v>190601</v>
      </c>
    </row>
    <row r="55" spans="1:7" ht="20.100000000000001" customHeight="1">
      <c r="A55" s="478" t="s">
        <v>297</v>
      </c>
      <c r="B55" s="176"/>
      <c r="C55" s="176"/>
      <c r="D55" s="176"/>
      <c r="E55" s="176"/>
      <c r="F55" s="188" t="s">
        <v>298</v>
      </c>
      <c r="G55" s="1152">
        <v>0</v>
      </c>
    </row>
    <row r="56" spans="1:7" ht="20.100000000000001" customHeight="1">
      <c r="A56" s="478" t="s">
        <v>299</v>
      </c>
      <c r="B56" s="176"/>
      <c r="C56" s="176"/>
      <c r="D56" s="176"/>
      <c r="E56" s="176"/>
      <c r="F56" s="180" t="s">
        <v>300</v>
      </c>
      <c r="G56" s="1152">
        <v>0</v>
      </c>
    </row>
    <row r="57" spans="1:7" ht="20.100000000000001" customHeight="1">
      <c r="A57" s="478" t="s">
        <v>301</v>
      </c>
      <c r="B57" s="176"/>
      <c r="C57" s="176"/>
      <c r="D57" s="176"/>
      <c r="E57" s="176"/>
      <c r="F57" s="188" t="s">
        <v>302</v>
      </c>
      <c r="G57" s="1152">
        <v>0</v>
      </c>
    </row>
    <row r="58" spans="1:7" ht="20.100000000000001" customHeight="1">
      <c r="A58" s="478" t="s">
        <v>303</v>
      </c>
      <c r="B58" s="176"/>
      <c r="C58" s="176"/>
      <c r="D58" s="176"/>
      <c r="E58" s="176"/>
      <c r="F58" s="180" t="s">
        <v>304</v>
      </c>
      <c r="G58" s="1152">
        <f>42+57764</f>
        <v>57806</v>
      </c>
    </row>
    <row r="59" spans="1:7" ht="20.100000000000001" customHeight="1">
      <c r="A59" s="478" t="s">
        <v>305</v>
      </c>
      <c r="B59" s="176"/>
      <c r="C59" s="176"/>
      <c r="D59" s="176"/>
      <c r="E59" s="176"/>
      <c r="F59" s="180" t="s">
        <v>306</v>
      </c>
      <c r="G59" s="1152">
        <v>0</v>
      </c>
    </row>
    <row r="60" spans="1:7" ht="20.100000000000001" customHeight="1">
      <c r="A60" s="478" t="s">
        <v>307</v>
      </c>
      <c r="B60" s="176"/>
      <c r="C60" s="176"/>
      <c r="D60" s="176"/>
      <c r="E60" s="176"/>
      <c r="F60" s="189" t="s">
        <v>308</v>
      </c>
      <c r="G60" s="1152">
        <f>735928+52669</f>
        <v>788597</v>
      </c>
    </row>
    <row r="61" spans="1:7" ht="20.100000000000001" customHeight="1">
      <c r="A61" s="478" t="s">
        <v>309</v>
      </c>
      <c r="B61" s="176"/>
      <c r="C61" s="176"/>
      <c r="D61" s="176"/>
      <c r="E61" s="176"/>
      <c r="F61" s="180" t="s">
        <v>310</v>
      </c>
      <c r="G61" s="1152">
        <f>2093+21818+10476+735079+70+2046+87479</f>
        <v>859061</v>
      </c>
    </row>
    <row r="62" spans="1:7" ht="20.100000000000001" customHeight="1">
      <c r="A62" s="478" t="s">
        <v>311</v>
      </c>
      <c r="B62" s="176"/>
      <c r="C62" s="176"/>
      <c r="D62" s="176"/>
      <c r="E62" s="176"/>
      <c r="F62" s="188" t="s">
        <v>312</v>
      </c>
      <c r="G62" s="1152">
        <v>0</v>
      </c>
    </row>
    <row r="63" spans="1:7" ht="20.100000000000001" customHeight="1">
      <c r="A63" s="478" t="s">
        <v>313</v>
      </c>
      <c r="B63" s="176"/>
      <c r="C63" s="176"/>
      <c r="D63" s="176"/>
      <c r="E63" s="176"/>
      <c r="F63" s="188" t="s">
        <v>314</v>
      </c>
      <c r="G63" s="1152">
        <v>59562</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22306845</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2">
        <v>0</v>
      </c>
    </row>
    <row r="70" spans="1:7" ht="20.100000000000001" customHeight="1">
      <c r="A70" s="478" t="s">
        <v>319</v>
      </c>
      <c r="B70" s="176"/>
      <c r="C70" s="176"/>
      <c r="D70" s="176"/>
      <c r="E70" s="176"/>
      <c r="F70" s="180" t="s">
        <v>320</v>
      </c>
      <c r="G70" s="1152">
        <v>0</v>
      </c>
    </row>
    <row r="71" spans="1:7" ht="20.100000000000001" customHeight="1">
      <c r="A71" s="478" t="s">
        <v>321</v>
      </c>
      <c r="B71" s="176"/>
      <c r="C71" s="176"/>
      <c r="D71" s="176"/>
      <c r="E71" s="176"/>
      <c r="F71" s="180" t="s">
        <v>322</v>
      </c>
      <c r="G71" s="1152">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3">
        <f>'CHECK SHEET'!D84</f>
        <v>32985403</v>
      </c>
    </row>
    <row r="78" spans="1:7" ht="20.100000000000001" customHeight="1">
      <c r="A78" s="478" t="s">
        <v>687</v>
      </c>
      <c r="B78" s="176"/>
      <c r="C78" s="176"/>
      <c r="D78" s="176"/>
      <c r="E78" s="176"/>
      <c r="F78" s="179">
        <v>42130</v>
      </c>
      <c r="G78" s="1154">
        <v>1433772</v>
      </c>
    </row>
    <row r="79" spans="1:7" ht="20.100000000000001" customHeight="1">
      <c r="A79" s="480" t="s">
        <v>327</v>
      </c>
      <c r="B79" s="481"/>
      <c r="C79" s="481"/>
      <c r="D79" s="481"/>
      <c r="E79" s="481"/>
      <c r="F79" s="191" t="s">
        <v>328</v>
      </c>
      <c r="G79" s="1152">
        <v>534602</v>
      </c>
    </row>
    <row r="80" spans="1:7" ht="20.100000000000001" customHeight="1">
      <c r="A80" s="478" t="s">
        <v>329</v>
      </c>
      <c r="B80" s="176"/>
      <c r="C80" s="176"/>
      <c r="D80" s="176"/>
      <c r="E80" s="176"/>
      <c r="F80" s="180" t="s">
        <v>330</v>
      </c>
      <c r="G80" s="1154">
        <v>0</v>
      </c>
    </row>
    <row r="81" spans="1:10" ht="20.100000000000001" customHeight="1">
      <c r="A81" s="478" t="s">
        <v>705</v>
      </c>
      <c r="B81" s="176"/>
      <c r="C81" s="176"/>
      <c r="D81" s="176"/>
      <c r="E81" s="176"/>
      <c r="F81" s="180" t="s">
        <v>331</v>
      </c>
      <c r="G81" s="1154"/>
    </row>
    <row r="82" spans="1:10" ht="20.100000000000001" customHeight="1">
      <c r="A82" s="478" t="s">
        <v>332</v>
      </c>
      <c r="B82" s="176"/>
      <c r="C82" s="176"/>
      <c r="D82" s="176"/>
      <c r="E82" s="176"/>
      <c r="F82" s="180" t="s">
        <v>333</v>
      </c>
      <c r="G82" s="1153">
        <f>'CHECK SHEET'!D86</f>
        <v>5065814</v>
      </c>
    </row>
    <row r="83" spans="1:10" ht="20.100000000000001" customHeight="1">
      <c r="A83" s="482" t="s">
        <v>334</v>
      </c>
      <c r="B83" s="483"/>
      <c r="C83" s="483"/>
      <c r="D83" s="483"/>
      <c r="E83" s="483"/>
      <c r="F83" s="190" t="s">
        <v>335</v>
      </c>
      <c r="G83" s="1154">
        <v>0</v>
      </c>
    </row>
    <row r="84" spans="1:10" ht="20.100000000000001" customHeight="1">
      <c r="A84" s="478" t="s">
        <v>336</v>
      </c>
      <c r="B84" s="176"/>
      <c r="C84" s="176"/>
      <c r="D84" s="176"/>
      <c r="E84" s="176"/>
      <c r="F84" s="180" t="s">
        <v>337</v>
      </c>
      <c r="G84" s="1154">
        <v>78580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40098171</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4">
        <v>150000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150000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f>149431+369033</f>
        <v>518464</v>
      </c>
    </row>
    <row r="112" spans="1:7" ht="20.100000000000001" customHeight="1">
      <c r="A112" s="478" t="s">
        <v>361</v>
      </c>
      <c r="B112" s="176"/>
      <c r="C112" s="176"/>
      <c r="D112" s="176"/>
      <c r="E112" s="176"/>
      <c r="F112" s="180" t="s">
        <v>362</v>
      </c>
      <c r="G112" s="432">
        <f>24256+4594</f>
        <v>28850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134038</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681352</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5">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f>360000+180417+150000</f>
        <v>690417</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290</v>
      </c>
    </row>
    <row r="127" spans="1:7" ht="20.100000000000001" customHeight="1">
      <c r="A127" s="478" t="s">
        <v>378</v>
      </c>
      <c r="B127" s="176"/>
      <c r="C127" s="176"/>
      <c r="D127" s="176"/>
      <c r="E127" s="176"/>
      <c r="F127" s="180" t="s">
        <v>379</v>
      </c>
      <c r="G127" s="432">
        <f>16000+36831+15000</f>
        <v>67831</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758538</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6" t="s">
        <v>383</v>
      </c>
      <c r="G133" s="432">
        <v>0</v>
      </c>
    </row>
    <row r="134" spans="1:7" ht="20.100000000000001" customHeight="1">
      <c r="A134" s="478" t="s">
        <v>689</v>
      </c>
      <c r="B134" s="176"/>
      <c r="C134" s="176"/>
      <c r="D134" s="487"/>
      <c r="E134" s="187"/>
      <c r="F134" s="1126">
        <v>49200</v>
      </c>
      <c r="G134" s="432">
        <v>279103</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682</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100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279203</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64274109</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f>1296750</f>
        <v>1296750</v>
      </c>
    </row>
    <row r="148" spans="1:7" ht="20.100000000000001" customHeight="1">
      <c r="A148" s="478" t="s">
        <v>396</v>
      </c>
      <c r="F148" s="180" t="s">
        <v>397</v>
      </c>
      <c r="G148" s="434">
        <f>263480+182000</f>
        <v>445480</v>
      </c>
    </row>
    <row r="149" spans="1:7" ht="20.100000000000001" customHeight="1">
      <c r="A149" s="478" t="s">
        <v>398</v>
      </c>
      <c r="F149" s="180" t="s">
        <v>399</v>
      </c>
      <c r="G149" s="434">
        <f>2057413+371193</f>
        <v>2428606</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f>8252434+471791+35000+71350+637404+13600+4000</f>
        <v>9485579</v>
      </c>
    </row>
    <row r="153" spans="1:7" ht="20.100000000000001" customHeight="1">
      <c r="A153" s="478" t="s">
        <v>406</v>
      </c>
      <c r="B153" s="176"/>
      <c r="C153" s="176"/>
      <c r="D153" s="176"/>
      <c r="E153" s="176"/>
      <c r="F153" s="180" t="s">
        <v>407</v>
      </c>
      <c r="G153" s="434">
        <f>650000+636000+664000+980+21000+77000+94000+71000</f>
        <v>2213980</v>
      </c>
    </row>
    <row r="154" spans="1:7" ht="20.100000000000001" customHeight="1">
      <c r="A154" s="478" t="s">
        <v>408</v>
      </c>
      <c r="B154" s="176"/>
      <c r="C154" s="176"/>
      <c r="D154" s="176"/>
      <c r="E154" s="176"/>
      <c r="F154" s="180" t="s">
        <v>409</v>
      </c>
      <c r="G154" s="434">
        <f>9500</f>
        <v>9500</v>
      </c>
    </row>
    <row r="155" spans="1:7" ht="20.100000000000001" customHeight="1">
      <c r="A155" s="478" t="s">
        <v>410</v>
      </c>
      <c r="B155" s="176"/>
      <c r="C155" s="176"/>
      <c r="D155" s="176"/>
      <c r="E155" s="176"/>
      <c r="F155" s="180" t="s">
        <v>411</v>
      </c>
      <c r="G155" s="434">
        <f>226122+137989</f>
        <v>364111</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f>695936+942710+3644174+65000</f>
        <v>5347820</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f>345333+1059816+160326</f>
        <v>1565475</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f>656311+3375551+425485+50000</f>
        <v>4507347</v>
      </c>
    </row>
    <row r="168" spans="1:7" ht="20.100000000000001" customHeight="1">
      <c r="A168" s="478" t="s">
        <v>435</v>
      </c>
      <c r="B168" s="176"/>
      <c r="C168" s="176"/>
      <c r="D168" s="176"/>
      <c r="E168" s="176"/>
      <c r="F168" s="180" t="s">
        <v>436</v>
      </c>
      <c r="G168" s="434">
        <f>15000</f>
        <v>15000</v>
      </c>
    </row>
    <row r="169" spans="1:7" ht="20.100000000000001" customHeight="1">
      <c r="A169" s="478" t="s">
        <v>437</v>
      </c>
      <c r="B169" s="176"/>
      <c r="C169" s="176"/>
      <c r="D169" s="176"/>
      <c r="E169" s="176"/>
      <c r="F169" s="180" t="s">
        <v>438</v>
      </c>
      <c r="G169" s="434">
        <f>33041+128613+37603</f>
        <v>199257</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f>4000+10000</f>
        <v>14000</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f>2500</f>
        <v>2500</v>
      </c>
    </row>
    <row r="176" spans="1:7" ht="20.100000000000001" customHeight="1">
      <c r="A176" s="478" t="s">
        <v>448</v>
      </c>
      <c r="B176" s="176"/>
      <c r="C176" s="176"/>
      <c r="D176" s="176"/>
      <c r="E176" s="176"/>
      <c r="F176" s="180" t="s">
        <v>449</v>
      </c>
      <c r="G176" s="434">
        <f>1426000+1449000+424000+125398+190000+10391+144000+133000+80000</f>
        <v>3981789</v>
      </c>
    </row>
    <row r="177" spans="1:7" ht="20.100000000000001" customHeight="1">
      <c r="A177" s="486" t="s">
        <v>450</v>
      </c>
      <c r="F177" s="195" t="s">
        <v>451</v>
      </c>
      <c r="G177" s="434">
        <v>0</v>
      </c>
    </row>
    <row r="178" spans="1:7" ht="20.100000000000001" customHeight="1">
      <c r="A178" s="478" t="s">
        <v>452</v>
      </c>
      <c r="B178" s="176"/>
      <c r="C178" s="176"/>
      <c r="D178" s="176"/>
      <c r="E178" s="176"/>
      <c r="F178" s="180" t="s">
        <v>453</v>
      </c>
      <c r="G178" s="434">
        <f>5000</f>
        <v>5000</v>
      </c>
    </row>
    <row r="179" spans="1:7" ht="20.100000000000001" customHeight="1">
      <c r="A179" s="478" t="s">
        <v>454</v>
      </c>
      <c r="B179" s="176"/>
      <c r="C179" s="176"/>
      <c r="D179" s="176"/>
      <c r="E179" s="176"/>
      <c r="F179" s="180" t="s">
        <v>455</v>
      </c>
      <c r="G179" s="434">
        <f>140000</f>
        <v>140000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f>15000</f>
        <v>15000</v>
      </c>
    </row>
    <row r="182" spans="1:7" ht="20.100000000000001" customHeight="1">
      <c r="A182" s="478" t="s">
        <v>460</v>
      </c>
      <c r="B182" s="176"/>
      <c r="C182" s="176"/>
      <c r="D182" s="176"/>
      <c r="E182" s="176"/>
      <c r="F182" s="180" t="s">
        <v>461</v>
      </c>
      <c r="G182" s="434">
        <f>20000</f>
        <v>20000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f>1664531+443125+46649+10910</f>
        <v>2165215</v>
      </c>
    </row>
    <row r="185" spans="1:7" ht="20.100000000000001" customHeight="1">
      <c r="A185" s="478" t="s">
        <v>466</v>
      </c>
      <c r="B185" s="176"/>
      <c r="C185" s="176"/>
      <c r="D185" s="176"/>
      <c r="E185" s="176"/>
      <c r="F185" s="180" t="s">
        <v>467</v>
      </c>
      <c r="G185" s="434">
        <f>3897997+252000+97812</f>
        <v>4247809</v>
      </c>
    </row>
    <row r="186" spans="1:7" ht="20.100000000000001" customHeight="1">
      <c r="A186" s="478" t="s">
        <v>468</v>
      </c>
      <c r="B186" s="176"/>
      <c r="C186" s="176"/>
      <c r="D186" s="176"/>
      <c r="E186" s="176"/>
      <c r="F186" s="180" t="s">
        <v>469</v>
      </c>
      <c r="G186" s="434">
        <f>340000</f>
        <v>340000</v>
      </c>
    </row>
    <row r="187" spans="1:7" ht="20.100000000000001" customHeight="1">
      <c r="A187" s="478" t="s">
        <v>470</v>
      </c>
      <c r="B187" s="176"/>
      <c r="C187" s="176"/>
      <c r="D187" s="176"/>
      <c r="E187" s="176"/>
      <c r="F187" s="180" t="s">
        <v>471</v>
      </c>
      <c r="G187" s="434">
        <f>450000</f>
        <v>450000</v>
      </c>
    </row>
    <row r="188" spans="1:7" ht="20.100000000000001" customHeight="1">
      <c r="A188" s="478" t="s">
        <v>472</v>
      </c>
      <c r="B188" s="176"/>
      <c r="C188" s="176"/>
      <c r="D188" s="176"/>
      <c r="E188" s="176"/>
      <c r="F188" s="180" t="s">
        <v>473</v>
      </c>
      <c r="G188" s="434">
        <f>15000</f>
        <v>15000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f>6386643+18103+800+478+200+32009+173650+494</f>
        <v>6612377</v>
      </c>
    </row>
    <row r="191" spans="1:7" ht="20.100000000000001" customHeight="1">
      <c r="A191" s="478" t="s">
        <v>477</v>
      </c>
      <c r="B191" s="176"/>
      <c r="C191" s="176"/>
      <c r="D191" s="176"/>
      <c r="E191" s="176"/>
      <c r="F191" s="180" t="s">
        <v>478</v>
      </c>
      <c r="G191" s="434">
        <v>0</v>
      </c>
    </row>
    <row r="192" spans="1:7" ht="20.100000000000001" customHeight="1">
      <c r="A192" s="478" t="s">
        <v>479</v>
      </c>
      <c r="B192" s="176"/>
      <c r="C192" s="176"/>
      <c r="D192" s="176"/>
      <c r="E192" s="176"/>
      <c r="F192" s="180" t="s">
        <v>480</v>
      </c>
      <c r="G192" s="434">
        <f>-984383+200000</f>
        <v>-784383</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45103212</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f>532339+5750+7525+590</f>
        <v>546204</v>
      </c>
    </row>
    <row r="199" spans="1:7" ht="20.100000000000001" customHeight="1">
      <c r="A199" s="478" t="s">
        <v>485</v>
      </c>
      <c r="B199" s="176"/>
      <c r="C199" s="176"/>
      <c r="D199" s="176"/>
      <c r="E199" s="176"/>
      <c r="F199" s="180" t="s">
        <v>486</v>
      </c>
      <c r="G199" s="434">
        <f>109304+245</f>
        <v>109549</v>
      </c>
    </row>
    <row r="200" spans="1:7" ht="20.100000000000001" customHeight="1">
      <c r="A200" s="478" t="s">
        <v>487</v>
      </c>
      <c r="B200" s="176"/>
      <c r="C200" s="176"/>
      <c r="D200" s="176"/>
      <c r="E200" s="176"/>
      <c r="F200" s="180" t="s">
        <v>488</v>
      </c>
      <c r="G200" s="434">
        <f>41211+554+286504</f>
        <v>328269</v>
      </c>
    </row>
    <row r="201" spans="1:7" ht="20.100000000000001" customHeight="1">
      <c r="A201" s="478" t="s">
        <v>489</v>
      </c>
      <c r="B201" s="176"/>
      <c r="C201" s="176"/>
      <c r="D201" s="176"/>
      <c r="E201" s="176"/>
      <c r="F201" s="180" t="s">
        <v>490</v>
      </c>
      <c r="G201" s="434">
        <f>111003+160180+2000+3650</f>
        <v>276833</v>
      </c>
    </row>
    <row r="202" spans="1:7" ht="20.100000000000001" customHeight="1">
      <c r="A202" s="478" t="s">
        <v>491</v>
      </c>
      <c r="B202" s="176"/>
      <c r="C202" s="176"/>
      <c r="D202" s="176"/>
      <c r="E202" s="176"/>
      <c r="F202" s="180" t="s">
        <v>492</v>
      </c>
      <c r="G202" s="434">
        <f>209500+166818+18890+2649185+2500</f>
        <v>3046893</v>
      </c>
    </row>
    <row r="203" spans="1:7" ht="20.100000000000001" customHeight="1">
      <c r="A203" s="478" t="s">
        <v>493</v>
      </c>
      <c r="B203" s="176"/>
      <c r="C203" s="176"/>
      <c r="D203" s="176"/>
      <c r="E203" s="176"/>
      <c r="F203" s="180" t="s">
        <v>494</v>
      </c>
      <c r="G203" s="434">
        <f>21350+4200+500+8100+48300</f>
        <v>82450</v>
      </c>
    </row>
    <row r="204" spans="1:7" ht="20.100000000000001" customHeight="1">
      <c r="A204" s="478" t="s">
        <v>681</v>
      </c>
      <c r="B204" s="176"/>
      <c r="C204" s="176"/>
      <c r="D204" s="176"/>
      <c r="E204" s="176"/>
      <c r="F204" s="972">
        <v>63100</v>
      </c>
      <c r="G204" s="434">
        <v>0</v>
      </c>
    </row>
    <row r="205" spans="1:7" ht="20.100000000000001" customHeight="1">
      <c r="A205" s="478" t="s">
        <v>495</v>
      </c>
      <c r="B205" s="176"/>
      <c r="C205" s="176"/>
      <c r="D205" s="176"/>
      <c r="E205" s="176"/>
      <c r="F205" s="180" t="s">
        <v>496</v>
      </c>
      <c r="G205" s="434">
        <f>722457+171549+13099+197777+10000+361818</f>
        <v>1476700</v>
      </c>
    </row>
    <row r="206" spans="1:7" ht="20.100000000000001" customHeight="1">
      <c r="A206" s="478" t="s">
        <v>497</v>
      </c>
      <c r="B206" s="176"/>
      <c r="C206" s="176"/>
      <c r="D206" s="176"/>
      <c r="E206" s="176"/>
      <c r="F206" s="180" t="s">
        <v>498</v>
      </c>
      <c r="G206" s="434">
        <f>225000+131081+1145200+66329+16000+50000</f>
        <v>1633610</v>
      </c>
    </row>
    <row r="207" spans="1:7" ht="20.100000000000001" customHeight="1">
      <c r="A207" s="478" t="s">
        <v>499</v>
      </c>
      <c r="B207" s="176"/>
      <c r="C207" s="176"/>
      <c r="D207" s="176"/>
      <c r="E207" s="176"/>
      <c r="F207" s="180" t="s">
        <v>500</v>
      </c>
      <c r="G207" s="434">
        <f>520603+136823+4300+1142785+25915+825032+18000+112735+53400+96114+385+8500</f>
        <v>2944592</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f>73300+3975+86000+8000+195999+15935+212200+3000</f>
        <v>598409</v>
      </c>
    </row>
    <row r="211" spans="1:9" ht="20.100000000000001" customHeight="1">
      <c r="A211" s="478" t="s">
        <v>506</v>
      </c>
      <c r="B211" s="176"/>
      <c r="C211" s="176"/>
      <c r="D211" s="176"/>
      <c r="E211" s="176"/>
      <c r="F211" s="180" t="s">
        <v>507</v>
      </c>
      <c r="G211" s="434">
        <f>508928+194710+3000+9315+1865</f>
        <v>717818</v>
      </c>
    </row>
    <row r="212" spans="1:9" ht="20.100000000000001" customHeight="1">
      <c r="A212" s="478" t="s">
        <v>508</v>
      </c>
      <c r="F212" s="195" t="s">
        <v>509</v>
      </c>
      <c r="G212" s="434">
        <f>461719+2091059</f>
        <v>2552778</v>
      </c>
    </row>
    <row r="213" spans="1:9" ht="20.100000000000001" customHeight="1">
      <c r="A213" s="478" t="s">
        <v>510</v>
      </c>
      <c r="B213" s="176"/>
      <c r="C213" s="176"/>
      <c r="D213" s="176"/>
      <c r="E213" s="176"/>
      <c r="F213" s="180" t="s">
        <v>511</v>
      </c>
      <c r="G213" s="434">
        <f>126250+56549+15500+47500+25000</f>
        <v>270799</v>
      </c>
    </row>
    <row r="214" spans="1:9" ht="20.100000000000001" customHeight="1">
      <c r="A214" s="478" t="s">
        <v>512</v>
      </c>
      <c r="B214" s="176"/>
      <c r="C214" s="176"/>
      <c r="D214" s="176"/>
      <c r="E214" s="176"/>
      <c r="F214" s="180" t="s">
        <v>513</v>
      </c>
      <c r="G214" s="434">
        <f>27933+2500+12110+101530+18730+4500</f>
        <v>167303</v>
      </c>
    </row>
    <row r="215" spans="1:9" ht="20.100000000000001" customHeight="1">
      <c r="A215" s="478" t="s">
        <v>514</v>
      </c>
      <c r="B215" s="176"/>
      <c r="C215" s="176"/>
      <c r="D215" s="176"/>
      <c r="E215" s="176"/>
      <c r="F215" s="180" t="s">
        <v>515</v>
      </c>
      <c r="G215" s="434">
        <f>125+30943+100000+11766+111473+2000+10400+71497</f>
        <v>338204</v>
      </c>
    </row>
    <row r="216" spans="1:9" ht="20.100000000000001" customHeight="1">
      <c r="A216" s="478" t="s">
        <v>516</v>
      </c>
      <c r="B216" s="176"/>
      <c r="C216" s="176"/>
      <c r="D216" s="176"/>
      <c r="E216" s="176"/>
      <c r="F216" s="193" t="s">
        <v>517</v>
      </c>
      <c r="G216" s="434">
        <f>20000</f>
        <v>20000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f>22900+750000+50000</f>
        <v>822900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690</v>
      </c>
      <c r="B222" s="176"/>
      <c r="C222" s="176"/>
      <c r="D222" s="201"/>
      <c r="E222" s="176"/>
      <c r="F222" s="1058">
        <v>69100</v>
      </c>
      <c r="G222" s="434">
        <v>0</v>
      </c>
    </row>
    <row r="223" spans="1:9" ht="20.100000000000001" customHeight="1">
      <c r="A223" s="489" t="s">
        <v>691</v>
      </c>
      <c r="B223" s="202"/>
      <c r="C223" s="202"/>
      <c r="D223" s="203"/>
      <c r="E223" s="202"/>
      <c r="F223" s="1057">
        <v>69200</v>
      </c>
      <c r="G223" s="434">
        <f>1433772</f>
        <v>1433772</v>
      </c>
    </row>
    <row r="224" spans="1:9" ht="20.100000000000001" customHeight="1">
      <c r="A224" s="478" t="s">
        <v>528</v>
      </c>
      <c r="B224" s="176"/>
      <c r="C224" s="176"/>
      <c r="D224" s="176"/>
      <c r="E224" s="176"/>
      <c r="F224" s="180" t="s">
        <v>529</v>
      </c>
      <c r="G224" s="434">
        <f>7069074+281856+33000+5775</f>
        <v>7389705</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189851</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24946639</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f>3000</f>
        <v>3000</v>
      </c>
    </row>
    <row r="234" spans="1:7" ht="20.100000000000001" customHeight="1">
      <c r="A234" s="478" t="s">
        <v>539</v>
      </c>
      <c r="B234" s="176"/>
      <c r="C234" s="176"/>
      <c r="D234" s="176"/>
      <c r="E234" s="176"/>
      <c r="F234" s="180" t="s">
        <v>540</v>
      </c>
      <c r="G234" s="434">
        <v>0</v>
      </c>
    </row>
    <row r="235" spans="1:7" ht="20.100000000000001" customHeight="1">
      <c r="A235" s="478" t="s">
        <v>541</v>
      </c>
      <c r="B235" s="176"/>
      <c r="C235" s="176"/>
      <c r="D235" s="176"/>
      <c r="E235" s="176"/>
      <c r="F235" s="1015" t="s">
        <v>542</v>
      </c>
      <c r="G235" s="434">
        <v>0</v>
      </c>
    </row>
    <row r="236" spans="1:7" ht="20.100000000000001" customHeight="1">
      <c r="A236" s="478" t="s">
        <v>769</v>
      </c>
      <c r="B236" s="176"/>
      <c r="C236" s="176"/>
      <c r="D236" s="176"/>
      <c r="E236" s="176"/>
      <c r="F236" s="195">
        <v>73001</v>
      </c>
      <c r="G236" s="434">
        <v>0</v>
      </c>
    </row>
    <row r="237" spans="1:7" ht="20.100000000000001" customHeight="1">
      <c r="A237" s="478" t="s">
        <v>683</v>
      </c>
      <c r="B237" s="176"/>
      <c r="C237" s="176"/>
      <c r="D237" s="176"/>
      <c r="E237" s="176"/>
      <c r="F237" s="195">
        <v>73002</v>
      </c>
      <c r="G237" s="434">
        <v>0</v>
      </c>
    </row>
    <row r="238" spans="1:7" ht="20.100000000000001" customHeight="1">
      <c r="A238" s="478" t="s">
        <v>543</v>
      </c>
      <c r="B238" s="176"/>
      <c r="C238" s="176"/>
      <c r="D238" s="176"/>
      <c r="E238" s="176"/>
      <c r="F238" s="195">
        <v>73050</v>
      </c>
      <c r="G238" s="434">
        <f>10000</f>
        <v>10000</v>
      </c>
    </row>
    <row r="239" spans="1:7" ht="20.100000000000001" customHeight="1">
      <c r="A239" s="478" t="s">
        <v>770</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13000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70062851</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500000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7127137</v>
      </c>
    </row>
    <row r="260" spans="1:12" ht="20.100000000000001" customHeight="1">
      <c r="A260" s="478" t="s">
        <v>564</v>
      </c>
      <c r="B260" s="176"/>
      <c r="C260" s="176"/>
      <c r="D260" s="176"/>
      <c r="E260" s="176"/>
      <c r="F260" s="189">
        <v>31100</v>
      </c>
      <c r="G260" s="582">
        <v>4743728</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12370865</v>
      </c>
    </row>
    <row r="263" spans="1:12" ht="20.100000000000001" customHeight="1">
      <c r="A263" s="479"/>
      <c r="B263" s="176"/>
      <c r="C263" s="176"/>
      <c r="D263" s="176"/>
      <c r="E263" s="176"/>
      <c r="F263" s="189"/>
      <c r="G263" s="205"/>
    </row>
    <row r="264" spans="1:12" ht="20.100000000000001" customHeight="1" thickBot="1">
      <c r="A264" s="490" t="s">
        <v>760</v>
      </c>
      <c r="F264" s="195">
        <v>30800</v>
      </c>
      <c r="G264" s="1155">
        <v>-24977980</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-12607115</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924bd94-b207-4f06-827d-d6332806d037"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9B445BA17BECA4489FDCBF8C4DABE6B" ma:contentTypeVersion="21" ma:contentTypeDescription="Create a new document." ma:contentTypeScope="" ma:versionID="e529acd000c935bb89443f9170caa619">
  <xsd:schema xmlns:xsd="http://www.w3.org/2001/XMLSchema" xmlns:xs="http://www.w3.org/2001/XMLSchema" xmlns:p="http://schemas.microsoft.com/office/2006/metadata/properties" xmlns:ns1="http://schemas.microsoft.com/sharepoint/v3" xmlns:ns2="1d6958e8-aaba-40e3-a455-419e90f3fa2a" xmlns:ns3="d924bd94-b207-4f06-827d-d6332806d037" targetNamespace="http://schemas.microsoft.com/office/2006/metadata/properties" ma:root="true" ma:fieldsID="db1f62db4629103bbd1381bd44fcbfd2" ns1:_="" ns2:_="" ns3:_="">
    <xsd:import namespace="http://schemas.microsoft.com/sharepoint/v3"/>
    <xsd:import namespace="1d6958e8-aaba-40e3-a455-419e90f3fa2a"/>
    <xsd:import namespace="d924bd94-b207-4f06-827d-d6332806d03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MediaServiceOCR" minOccurs="0"/>
                <xsd:element ref="ns3:TaxCatchAll" minOccurs="0"/>
                <xsd:element ref="ns3:SharedWithUsers" minOccurs="0"/>
                <xsd:element ref="ns3:SharedWithDetail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6958e8-aaba-40e3-a455-419e90f3fa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descrip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24bd94-b207-4f06-827d-d6332806d03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2b926af-2c07-4877-834c-c77a8399d9a9}" ma:internalName="TaxCatchAll" ma:showField="CatchAllData" ma:web="d924bd94-b207-4f06-827d-d6332806d03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www.w3.org/XML/1998/namespace"/>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d924bd94-b207-4f06-827d-d6332806d037"/>
    <ds:schemaRef ds:uri="1d6958e8-aaba-40e3-a455-419e90f3fa2a"/>
    <ds:schemaRef ds:uri="http://schemas.microsoft.com/sharepoint/v3"/>
  </ds:schemaRefs>
</ds:datastoreItem>
</file>

<file path=customXml/itemProps2.xml><?xml version="1.0" encoding="utf-8"?>
<ds:datastoreItem xmlns:ds="http://schemas.openxmlformats.org/officeDocument/2006/customXml" ds:itemID="{834E00C8-A980-430A-A4AA-E8A8C5F682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d6958e8-aaba-40e3-a455-419e90f3fa2a"/>
    <ds:schemaRef ds:uri="d924bd94-b207-4f06-827d-d6332806d0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2025-08-06T15:19:31Z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0x010100D9B445BA17BECA4489FDCBF8C4DABE6B</vt:lpwstr>
  </property>
</Properties>
</file>