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B0B7D7C4-66F8-46B7-B668-5339506234DB}" xr6:coauthVersionLast="47" xr6:coauthVersionMax="47" xr10:uidLastSave="{00000000-0000-0000-0000-000000000000}"/>
  <workbookProtection workbookAlgorithmName="SHA-512" workbookHashValue="hKdrND/C20hFGHQ1QsyeEbB/qEPISDzQKFy/ji/swwNLT+MGbW3AzrL6E6dQz9luu5qcQSs/fS9h2mATfbDXaQ==" workbookSaltValue="BoIZptj278Uds3EyN6C3Vw=="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s="1"/>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G36" i="7"/>
  <c r="H37" i="6"/>
  <c r="H45" i="6" s="1"/>
  <c r="G38" i="7"/>
  <c r="G43" i="7" s="1"/>
  <c r="H17" i="6"/>
  <c r="H28" i="6" s="1"/>
  <c r="E25" i="4"/>
  <c r="E28" i="4" s="1"/>
  <c r="D68" i="22"/>
  <c r="D69" i="22"/>
  <c r="D70" i="22"/>
  <c r="G12" i="7"/>
  <c r="G19"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5" i="7" s="1"/>
  <c r="G143" i="7" s="1"/>
  <c r="E18" i="4" s="1"/>
  <c r="E21" i="4" s="1"/>
  <c r="E23" i="4" s="1"/>
  <c r="E44" i="4" s="1"/>
  <c r="C17" i="3" s="1"/>
  <c r="H47" i="6"/>
  <c r="C126" i="3"/>
  <c r="F117" i="15"/>
  <c r="F128" i="15" s="1"/>
  <c r="C119" i="3"/>
  <c r="F84" i="3"/>
  <c r="F88" i="3" s="1"/>
  <c r="C34" i="3" l="1"/>
  <c r="F130"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<sst xmlns="http://schemas.openxmlformats.org/spreadsheetml/2006/main" count="1301" uniqueCount="787">
  <si>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</si>
  <si>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</si>
  <si>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</si>
  <si>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</si>
  <si>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</si>
  <si>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</si>
  <si>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</si>
  <si>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</si>
  <si>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</si>
  <si>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</si>
  <si>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</si>
  <si>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</si>
  <si>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</si>
  <si>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</si>
  <si>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</si>
  <si>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</si>
  <si>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</si>
  <si>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</si>
  <si>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</si>
  <si>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</si>
  <si>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</si>
  <si>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</si>
  <si>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</si>
  <si>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</si>
  <si>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</si>
  <si>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</si>
  <si>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</si>
  <si>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</si>
  <si>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</si>
  <si>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</si>
  <si>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</si>
  <si>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</si>
  <si>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</si>
  <si>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</si>
  <si>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</si>
  <si>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</si>
  <si>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</si>
  <si>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</si>
  <si>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</si>
  <si>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</si>
  <si>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</si>
  <si>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</si>
  <si>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</si>
  <si>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</si>
  <si>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</si>
  <si>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</si>
  <si>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</si>
  <si>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</si>
  <si>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</si>
  <si>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</si>
  <si>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</si>
  <si>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</si>
  <si>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</si>
  <si>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</si>
  <si>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</si>
  <si>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</si>
  <si>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</si>
  <si>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</si>
  <si>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</si>
  <si>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</si>
  <si>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</si>
  <si>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</si>
  <si>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</si>
  <si>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</si>
  <si>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</si>
  <si>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</si>
  <si>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</si>
  <si>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</si>
  <si>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</si>
  <si>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</si>
  <si>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</si>
  <si>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</si>
  <si>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</si>
  <si>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</si>
  <si>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</si>
  <si>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</si>
  <si>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</si>
  <si>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</si>
  <si>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</si>
  <si>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</si>
  <si>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</si>
  <si>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</si>
  <si>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</si>
  <si>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</si>
  <si>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</si>
  <si>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</si>
  <si>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</si>
  <si>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</si>
  <si>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</si>
  <si>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</si>
  <si>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</si>
  <si>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</si>
  <si>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</si>
  <si>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</si>
  <si>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</si>
  <si>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</si>
  <si>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</si>
  <si>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</si>
  <si>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</si>
  <si>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</si>
  <si>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</si>
  <si>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</si>
  <si>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</si>
  <si>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</si>
  <si>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</si>
  <si>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</si>
  <si>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</si>
  <si>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</si>
  <si>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</si>
  <si>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</si>
  <si>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</si>
  <si>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</si>
  <si>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</si>
  <si>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</si>
  <si>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</si>
  <si>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</si>
  <si>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</si>
  <si>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</si>
  <si>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</si>
  <si>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</si>
  <si>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</si>
  <si>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</si>
  <si>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</si>
  <si>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</si>
  <si>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</si>
  <si>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</si>
  <si>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</si>
  <si>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</si>
  <si>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</si>
  <si>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</si>
  <si>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</si>
  <si>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</si>
  <si>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</si>
  <si>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</si>
  <si>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</si>
  <si>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</si>
  <si>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</si>
  <si>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</si>
  <si>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</si>
  <si>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</si>
  <si>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</si>
  <si>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</si>
  <si>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</si>
  <si>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</si>
  <si>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</si>
  <si>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</si>
  <si>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</si>
  <si>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</si>
  <si>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</si>
  <si>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</si>
  <si>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</si>
  <si>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</si>
  <si>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</si>
  <si>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</si>
  <si>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</si>
  <si>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</si>
  <si>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</si>
  <si>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</si>
  <si>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</si>
  <si>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</si>
  <si>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</si>
  <si>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</si>
  <si>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</si>
  <si>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</si>
  <si>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</si>
  <si>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</si>
  <si>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</si>
  <si>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</si>
  <si>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</si>
  <si>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</si>
  <si>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</si>
  <si>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</si>
  <si>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</si>
  <si>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</si>
  <si>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</si>
  <si>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</si>
  <si>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</si>
  <si>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</si>
  <si>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</si>
  <si>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</si>
  <si>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</si>
  <si>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</si>
  <si>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</si>
  <si>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</si>
  <si>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</si>
  <si>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</si>
  <si>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</si>
  <si>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</si>
  <si>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</si>
  <si>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</si>
  <si>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</si>
  <si>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</si>
  <si>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</si>
  <si>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</si>
  <si>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</si>
  <si>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</si>
  <si>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</si>
  <si>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</si>
  <si>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</si>
  <si>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</si>
  <si>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</si>
  <si>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</si>
  <si>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</si>
  <si>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</si>
  <si>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</si>
  <si>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</si>
  <si>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</si>
  <si>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</si>
  <si>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</si>
  <si>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</si>
  <si>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</si>
  <si>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</si>
  <si>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</si>
  <si>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</si>
  <si>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</si>
  <si>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</si>
  <si>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</si>
  <si>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</si>
  <si>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</si>
  <si>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</si>
  <si>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</si>
  <si>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</si>
  <si>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</si>
  <si>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</si>
  <si>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</si>
  <si>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</si>
  <si>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</si>
  <si>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</si>
  <si>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</si>
  <si>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</si>
  <si>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</si>
  <si>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</si>
  <si>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</si>
  <si>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</si>
  <si>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</si>
  <si>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</si>
  <si>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</si>
  <si>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</si>
  <si>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</si>
  <si>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</si>
  <si>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</si>
  <si>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</si>
  <si>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</si>
  <si>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</si>
  <si>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</si>
  <si>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</si>
  <si>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</si>
  <si>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</si>
  <si>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</si>
  <si>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</si>
  <si>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</si>
  <si>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</si>
  <si>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</si>
  <si>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</si>
  <si>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</si>
  <si>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</si>
  <si>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</si>
  <si>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</si>
  <si>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</si>
  <si>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</si>
  <si>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</si>
  <si>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</si>
  <si>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</si>
  <si>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</si>
  <si>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</si>
  <si>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</si>
  <si>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</si>
  <si>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</si>
  <si>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</si>
  <si>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</si>
  <si>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</si>
  <si>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</si>
  <si>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</si>
  <si>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</si>
  <si>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</si>
  <si>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</si>
  <si>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</si>
  <si>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</si>
  <si>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</si>
  <si>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</si>
  <si>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</si>
  <si>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</si>
  <si>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</si>
  <si>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</si>
  <si>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</si>
  <si>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</si>
  <si>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</si>
  <si>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</si>
  <si>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</si>
  <si>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</si>
  <si>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</si>
  <si>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</si>
  <si>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</si>
  <si>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</si>
  <si>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</si>
  <si>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</si>
  <si>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</si>
  <si>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</si>
  <si>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</si>
  <si>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</si>
  <si>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</si>
  <si>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</si>
  <si>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</si>
  <si>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</si>
  <si>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</si>
  <si>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</si>
  <si>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</si>
  <si>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</si>
  <si>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</si>
  <si>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</si>
  <si>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</si>
  <si>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</si>
  <si>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</si>
  <si>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</si>
  <si>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</si>
  <si>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</si>
  <si>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</si>
  <si>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</si>
  <si>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</si>
  <si>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</si>
  <si>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</si>
  <si>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</si>
  <si>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</si>
  <si>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</si>
  <si>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</si>
  <si>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</si>
  <si>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</si>
  <si>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</si>
  <si>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</si>
  <si>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</si>
  <si>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</si>
  <si>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</si>
  <si>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</si>
  <si>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</si>
  <si>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</si>
  <si>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</si>
  <si>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</si>
  <si>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</si>
  <si>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</si>
  <si>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</si>
  <si>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</si>
  <si>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</si>
  <si>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</si>
  <si>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</si>
  <si>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</si>
  <si>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</si>
  <si>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</si>
  <si>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</si>
  <si>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</si>
  <si>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</si>
  <si>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</si>
  <si>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</si>
  <si>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</si>
  <si>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</si>
  <si>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</si>
  <si>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</si>
  <si>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</si>
  <si>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</si>
  <si>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</si>
  <si>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</si>
  <si>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</si>
  <si>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</si>
  <si>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</si>
  <si>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</si>
  <si>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</si>
  <si>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</si>
  <si>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</si>
  <si>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</si>
  <si>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</si>
  <si>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</si>
  <si>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</si>
  <si>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</si>
  <si>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</si>
  <si>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</si>
  <si>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</si>
  <si>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</si>
  <si>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</si>
  <si>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</si>
  <si>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</si>
  <si>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</si>
  <si>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</si>
  <si>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</si>
  <si>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</si>
  <si>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</si>
  <si>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</si>
  <si>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</si>
  <si>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</si>
  <si>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</si>
  <si>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</si>
  <si>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</si>
  <si>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</si>
  <si>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</si>
  <si>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</si>
  <si>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</si>
  <si>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</si>
  <si>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</si>
  <si>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</si>
  <si>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</si>
  <si>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</si>
  <si>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</si>
  <si>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</si>
  <si>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</si>
  <si>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</si>
  <si>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</si>
  <si>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</si>
  <si>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</si>
  <si>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</si>
  <si>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</si>
  <si>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</si>
  <si>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</si>
  <si>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</si>
  <si>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</si>
  <si>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</si>
  <si>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</si>
  <si>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</si>
  <si>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</si>
  <si>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</si>
  <si>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</si>
  <si>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</si>
  <si>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</si>
  <si>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</si>
  <si>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</si>
  <si>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</si>
  <si>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</si>
  <si>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</si>
  <si>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</si>
  <si>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</si>
  <si>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</si>
  <si>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</si>
  <si>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</si>
  <si>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</si>
  <si>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</si>
  <si>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</si>
  <si>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</si>
  <si>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</si>
  <si>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</si>
  <si>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</si>
  <si>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</si>
  <si>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</si>
  <si>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</si>
  <si>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</si>
  <si>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</si>
  <si>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</si>
  <si>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</si>
  <si>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</si>
  <si>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</si>
  <si>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</si>
  <si>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</si>
  <si>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</si>
  <si>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</si>
  <si>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</si>
  <si>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</si>
  <si>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</si>
  <si>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</si>
  <si>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</si>
  <si>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</si>
  <si>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</si>
  <si>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</si>
  <si>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</si>
  <si>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</si>
  <si>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</si>
  <si>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</si>
  <si>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</si>
  <si>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</si>
  <si>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</si>
  <si>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</si>
  <si>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</si>
  <si>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</si>
  <si>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</si>
  <si>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</si>
  <si>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</si>
  <si>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</si>
  <si>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</si>
  <si>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</si>
  <si>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</si>
  <si>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</si>
  <si>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</si>
  <si>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</si>
  <si>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</si>
  <si>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</si>
  <si>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</si>
  <si>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</si>
  <si>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</si>
  <si>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</si>
  <si>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</si>
  <si>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</si>
  <si>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</si>
  <si>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</si>
  <si>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</si>
  <si>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</si>
  <si>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</si>
  <si>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</si>
  <si>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</si>
  <si>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</si>
  <si>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</si>
  <si>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</si>
  <si>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</si>
  <si>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</si>
  <si>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</si>
  <si>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</si>
  <si>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</si>
  <si>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</si>
  <si>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</si>
  <si>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</si>
  <si>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</si>
  <si>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</si>
  <si>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</si>
  <si>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</si>
  <si>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</si>
  <si>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</si>
  <si>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</si>
  <si>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</si>
  <si>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</si>
  <si>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</si>
  <si>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</si>
  <si>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</si>
  <si>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</si>
  <si>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</si>
  <si>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</si>
  <si>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</si>
  <si>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</si>
  <si>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</si>
  <si>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</si>
  <si>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</si>
  <si>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</si>
  <si>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</si>
  <si>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</si>
  <si>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</si>
  <si>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</si>
  <si>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</si>
  <si>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</si>
  <si>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</si>
  <si>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</si>
  <si>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</si>
  <si>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</si>
  <si>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</si>
  <si>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</si>
  <si>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</si>
  <si>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</si>
  <si>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</si>
  <si>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</si>
  <si>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</si>
  <si>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</si>
  <si>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</si>
  <si>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</si>
  <si>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</si>
  <si>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</si>
  <si>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</si>
  <si>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</si>
  <si>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</si>
  <si>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</si>
  <si>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</si>
  <si>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</si>
  <si>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</si>
  <si>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</si>
  <si>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</si>
  <si>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</si>
  <si>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</si>
  <si>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</si>
  <si>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</si>
  <si>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</si>
  <si>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</si>
  <si>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</si>
  <si>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</si>
  <si>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</si>
  <si>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</si>
  <si>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</si>
  <si>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</si>
  <si>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</si>
  <si>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</si>
  <si>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</si>
  <si>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</si>
  <si>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</si>
  <si>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</si>
  <si>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</si>
  <si>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</si>
  <si>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</si>
  <si>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</si>
  <si>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</si>
  <si>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</si>
  <si>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</si>
  <si>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</si>
  <si>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</si>
  <si>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</si>
  <si>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</si>
  <si>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</si>
  <si>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</si>
  <si>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</si>
  <si>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</si>
  <si>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</si>
  <si>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</si>
  <si>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</si>
  <si>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</si>
  <si>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</si>
  <si>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</si>
  <si>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</si>
  <si>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</si>
  <si>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</si>
  <si>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</si>
  <si>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</si>
  <si>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</si>
  <si>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</si>
  <si>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</si>
  <si>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</si>
  <si>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</si>
  <si>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</si>
  <si>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</si>
  <si>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</si>
  <si>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</si>
  <si>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</si>
  <si>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</si>
  <si>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</si>
  <si>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</si>
  <si>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</si>
  <si>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</si>
  <si>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</si>
  <si>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</si>
  <si>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</si>
  <si>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</si>
  <si>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</si>
  <si>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</si>
  <si>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</si>
  <si>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</si>
  <si>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</si>
  <si>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</si>
  <si>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</si>
  <si>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</si>
  <si>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</si>
  <si>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</si>
  <si>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</si>
  <si>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</si>
  <si>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</si>
  <si>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</si>
  <si>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</si>
  <si>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</si>
  <si>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</si>
  <si>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</si>
  <si>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</si>
  <si>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</si>
  <si>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</si>
  <si>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</si>
  <si>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</si>
  <si>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</si>
  <si>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</si>
  <si>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</si>
  <si>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</si>
  <si>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</si>
  <si>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</si>
  <si>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</si>
  <si>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</si>
  <si>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</si>
  <si>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</si>
  <si>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</si>
  <si>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</si>
  <si>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</si>
  <si>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</si>
  <si>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</si>
  <si>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</si>
  <si>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</si>
  <si>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</si>
  <si>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</si>
  <si>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</si>
  <si>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</si>
  <si>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</si>
  <si>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</si>
  <si>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</si>
  <si>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</si>
  <si>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</si>
  <si>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</si>
  <si>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</si>
  <si>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</si>
  <si>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</si>
  <si>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</si>
  <si>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</si>
  <si>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</si>
  <si>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</si>
  <si>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</si>
  <si>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</si>
  <si>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</si>
  <si>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</si>
  <si>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</si>
  <si>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</si>
  <si>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</si>
  <si>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</si>
  <si>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</si>
  <si>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</si>
  <si>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</si>
  <si>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</si>
  <si>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</si>
  <si>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</si>
  <si>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</si>
  <si>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</si>
  <si>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</si>
  <si>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</si>
  <si>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</si>
  <si>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</si>
  <si>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</si>
  <si>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</si>
  <si>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</si>
  <si>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</si>
  <si>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</si>
  <si>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</si>
  <si>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</si>
  <si>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</si>
  <si>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</si>
  <si>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</si>
  <si>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</si>
  <si>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</si>
  <si>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</si>
  <si>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</si>
  <si>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</si>
  <si>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</si>
  <si>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</si>
  <si>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</si>
  <si>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</si>
  <si>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</si>
  <si>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</si>
  <si>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</si>
  <si>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</si>
  <si>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</si>
  <si>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</si>
  <si>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</si>
  <si>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</si>
  <si>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</si>
  <si>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</si>
  <si>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</si>
  <si>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</si>
  <si>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</si>
  <si>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</si>
  <si>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</si>
  <si>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</si>
  <si>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</si>
  <si>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</si>
  <si>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</si>
  <si>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</si>
  <si>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</si>
  <si>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</si>
  <si>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</si>
  <si>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</si>
  <si>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</si>
  <si>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</si>
  <si>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</si>
  <si>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</si>
  <si>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</si>
  <si>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</si>
  <si>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</si>
  <si>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</si>
  <si>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</si>
  <si>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</si>
  <si>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</si>
  <si>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</si>
  <si>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</si>
  <si>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</si>
  <si>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</si>
  <si>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</si>
  <si>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</si>
  <si>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</si>
  <si>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</si>
  <si>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</si>
  <si>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</si>
  <si>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</si>
  <si>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</si>
  <si>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</si>
  <si>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</si>
  <si>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</si>
  <si>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</si>
  <si>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</si>
  <si>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</si>
  <si>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</si>
  <si>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</si>
  <si>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</si>
  <si>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</si>
  <si>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</si>
  <si>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</si>
  <si>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</si>
  <si>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</si>
  <si>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</si>
  <si>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</si>
  <si>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</si>
  <si>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</si>
  <si>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</si>
  <si>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</si>
  <si>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Grant Matching</t>
  </si>
  <si>
    <t>Honeywell - Energy Savings Loan</t>
  </si>
  <si>
    <t>Auxiliary - Promotion &amp; Public Relations</t>
  </si>
  <si>
    <t>Auxiliary - Business Hospitatlity</t>
  </si>
  <si>
    <t xml:space="preserve">The college's projections are based on the enrollment pattern.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</si>
</sst>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773</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772</v>
      </c>
      <c r="B7" s="1129"/>
      <c r="C7" s="1130" t="s">
        <v>774</v>
      </c>
      <c r="D7" s="1128">
        <v>40280</v>
      </c>
      <c r="E7" s="1132" t="s">
        <v>775</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Indian River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761</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40526242</v>
      </c>
      <c r="C10" s="436">
        <v>2625730</v>
      </c>
      <c r="D10" s="436">
        <v>99469</v>
      </c>
      <c r="E10" s="359">
        <f>SUM(B10:D10)</f>
        <v>43251441</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184648</v>
      </c>
      <c r="C12" s="430">
        <v>0</v>
      </c>
      <c r="D12" s="430">
        <v>0</v>
      </c>
      <c r="E12" s="360">
        <f>SUM(B12:D12)</f>
        <v>184648</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10480723</v>
      </c>
      <c r="C14" s="438">
        <v>586978</v>
      </c>
      <c r="D14" s="438">
        <v>0</v>
      </c>
      <c r="E14" s="360">
        <f t="shared" ref="E14:E20" si="0">SUM(B14:D14)</f>
        <v>11067701</v>
      </c>
      <c r="F14" s="342"/>
    </row>
    <row r="15" spans="1:8" s="11" customFormat="1" ht="20.100000000000001" customHeight="1">
      <c r="A15" s="358" t="s">
        <v>580</v>
      </c>
      <c r="B15" s="437">
        <v>523362</v>
      </c>
      <c r="C15" s="430">
        <v>223045</v>
      </c>
      <c r="D15" s="430">
        <v>0</v>
      </c>
      <c r="E15" s="360">
        <f>SUM(B15:D15)</f>
        <v>746407</v>
      </c>
      <c r="F15" s="342"/>
    </row>
    <row r="16" spans="1:8" s="11" customFormat="1" ht="20.100000000000001" customHeight="1">
      <c r="A16" s="358" t="s">
        <v>581</v>
      </c>
      <c r="B16" s="437">
        <v>8457147</v>
      </c>
      <c r="C16" s="430">
        <v>2097706</v>
      </c>
      <c r="D16" s="430">
        <v>7000</v>
      </c>
      <c r="E16" s="360">
        <f t="shared" si="0"/>
        <v>10561853</v>
      </c>
      <c r="F16" s="342"/>
    </row>
    <row r="17" spans="1:6" s="11" customFormat="1" ht="20.100000000000001" customHeight="1">
      <c r="A17" s="358" t="s">
        <v>582</v>
      </c>
      <c r="B17" s="437">
        <v>10167393</v>
      </c>
      <c r="C17" s="430">
        <v>2958599</v>
      </c>
      <c r="D17" s="430">
        <v>3404676</v>
      </c>
      <c r="E17" s="360">
        <f t="shared" si="0"/>
        <v>16530668</v>
      </c>
      <c r="F17" s="342"/>
    </row>
    <row r="18" spans="1:6" s="11" customFormat="1" ht="20.100000000000001" customHeight="1">
      <c r="A18" s="358" t="s">
        <v>583</v>
      </c>
      <c r="B18" s="437">
        <v>9043230</v>
      </c>
      <c r="C18" s="430">
        <v>9660868</v>
      </c>
      <c r="D18" s="430">
        <v>74212</v>
      </c>
      <c r="E18" s="360">
        <f t="shared" si="0"/>
        <v>18778310</v>
      </c>
      <c r="F18" s="342"/>
    </row>
    <row r="19" spans="1:6" s="11" customFormat="1" ht="20.100000000000001" customHeight="1">
      <c r="A19" s="358" t="s">
        <v>584</v>
      </c>
      <c r="B19" s="437">
        <v>92700</v>
      </c>
      <c r="C19" s="430">
        <v>410000</v>
      </c>
      <c r="D19" s="430">
        <v>0</v>
      </c>
      <c r="E19" s="360">
        <f t="shared" si="0"/>
        <v>502700</v>
      </c>
      <c r="F19" s="342"/>
    </row>
    <row r="20" spans="1:6" s="11" customFormat="1" ht="20.100000000000001" customHeight="1" thickBot="1">
      <c r="A20" s="358" t="s">
        <v>585</v>
      </c>
      <c r="B20" s="437">
        <v>200000</v>
      </c>
      <c r="C20" s="431">
        <v>1092126</v>
      </c>
      <c r="D20" s="431">
        <v>100000</v>
      </c>
      <c r="E20" s="360">
        <f t="shared" si="0"/>
        <v>1392126</v>
      </c>
      <c r="F20" s="342"/>
    </row>
    <row r="21" spans="1:6" s="11" customFormat="1" ht="24" customHeight="1" thickBot="1">
      <c r="A21" s="283" t="s">
        <v>48</v>
      </c>
      <c r="B21" s="343">
        <f>SUM(B10:B20)</f>
        <v>79675445</v>
      </c>
      <c r="C21" s="346">
        <f>SUM(C10:C20)</f>
        <v>19655052</v>
      </c>
      <c r="D21" s="346">
        <f>SUM(D10:D20)</f>
        <v>3685357</v>
      </c>
      <c r="E21" s="345">
        <f>SUM(E10:E20)</f>
        <v>103015854</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Indian River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761</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741</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2274173</v>
      </c>
      <c r="E15" s="725">
        <v>0</v>
      </c>
      <c r="F15" s="726">
        <f t="shared" si="0"/>
        <v>2274173</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688</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73699</v>
      </c>
      <c r="E28" s="725">
        <v>0</v>
      </c>
      <c r="F28" s="726">
        <f t="shared" si="0"/>
        <v>73699</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89638</v>
      </c>
      <c r="E30" s="725">
        <v>0</v>
      </c>
      <c r="F30" s="726">
        <f t="shared" si="0"/>
        <v>89638</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58000</v>
      </c>
      <c r="E34" s="725">
        <v>0</v>
      </c>
      <c r="F34" s="726">
        <f t="shared" si="0"/>
        <v>58000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197062</v>
      </c>
      <c r="E47" s="725">
        <v>0</v>
      </c>
      <c r="F47" s="726">
        <f t="shared" si="0"/>
        <v>197062</v>
      </c>
    </row>
    <row r="48" spans="1:6" s="11" customFormat="1" ht="30" customHeight="1">
      <c r="A48" s="722" t="s">
        <v>466</v>
      </c>
      <c r="B48" s="723"/>
      <c r="C48" s="724" t="s">
        <v>467</v>
      </c>
      <c r="D48" s="725">
        <v>329550</v>
      </c>
      <c r="E48" s="725">
        <v>0</v>
      </c>
      <c r="F48" s="726">
        <f t="shared" si="0"/>
        <v>329550</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426968</v>
      </c>
      <c r="E53" s="725">
        <v>0</v>
      </c>
      <c r="F53" s="726">
        <f t="shared" si="0"/>
        <v>426968</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3449090</v>
      </c>
      <c r="E56" s="258">
        <f>SUM(E10:E55)</f>
        <v>0</v>
      </c>
      <c r="F56" s="258">
        <f t="shared" si="0"/>
        <v>3449090</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8200</v>
      </c>
      <c r="E63" s="439">
        <v>0</v>
      </c>
      <c r="F63" s="224">
        <f t="shared" si="0"/>
        <v>8200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3000</v>
      </c>
      <c r="E66" s="725">
        <v>0</v>
      </c>
      <c r="F66" s="726">
        <f t="shared" si="0"/>
        <v>3000</v>
      </c>
    </row>
    <row r="67" spans="1:6" s="11" customFormat="1" ht="30" customHeight="1">
      <c r="A67" s="722" t="s">
        <v>597</v>
      </c>
      <c r="B67" s="723"/>
      <c r="C67" s="732" t="s">
        <v>492</v>
      </c>
      <c r="D67" s="725">
        <v>4470</v>
      </c>
      <c r="E67" s="725">
        <v>0</v>
      </c>
      <c r="F67" s="726">
        <f t="shared" si="0"/>
        <v>4470</v>
      </c>
    </row>
    <row r="68" spans="1:6" s="11" customFormat="1" ht="30" customHeight="1">
      <c r="A68" s="722" t="s">
        <v>493</v>
      </c>
      <c r="B68" s="723"/>
      <c r="C68" s="732" t="s">
        <v>494</v>
      </c>
      <c r="D68" s="725">
        <v>0</v>
      </c>
      <c r="E68" s="725">
        <v>0</v>
      </c>
      <c r="F68" s="726">
        <f t="shared" si="0"/>
        <v>0</v>
      </c>
    </row>
    <row r="69" spans="1:6" s="11" customFormat="1" ht="30" customHeight="1">
      <c r="A69" s="984" t="s">
        <v>681</v>
      </c>
      <c r="B69" s="723"/>
      <c r="C69" s="981">
        <v>63100</v>
      </c>
      <c r="D69" s="982">
        <v>0</v>
      </c>
      <c r="E69" s="982">
        <v>0</v>
      </c>
      <c r="F69" s="983">
        <v>0</v>
      </c>
    </row>
    <row r="70" spans="1:6" s="11" customFormat="1" ht="30" customHeight="1">
      <c r="A70" s="722" t="s">
        <v>495</v>
      </c>
      <c r="B70" s="723"/>
      <c r="C70" s="732" t="s">
        <v>496</v>
      </c>
      <c r="D70" s="725">
        <v>11900</v>
      </c>
      <c r="E70" s="725">
        <v>0</v>
      </c>
      <c r="F70" s="726">
        <f t="shared" si="0"/>
        <v>11900</v>
      </c>
    </row>
    <row r="71" spans="1:6" s="11" customFormat="1" ht="30" customHeight="1">
      <c r="A71" s="722" t="s">
        <v>692</v>
      </c>
      <c r="B71" s="723"/>
      <c r="C71" s="732" t="s">
        <v>498</v>
      </c>
      <c r="D71" s="725">
        <v>0</v>
      </c>
      <c r="E71" s="725">
        <v>0</v>
      </c>
      <c r="F71" s="726">
        <f t="shared" si="0"/>
        <v>0</v>
      </c>
    </row>
    <row r="72" spans="1:6" s="11" customFormat="1" ht="30" customHeight="1">
      <c r="A72" s="722" t="s">
        <v>499</v>
      </c>
      <c r="B72" s="723"/>
      <c r="C72" s="732" t="s">
        <v>500</v>
      </c>
      <c r="D72" s="725">
        <v>7975</v>
      </c>
      <c r="E72" s="725">
        <v>0</v>
      </c>
      <c r="F72" s="726">
        <f t="shared" si="0"/>
        <v>7975</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61279</v>
      </c>
      <c r="E76" s="725">
        <v>9505</v>
      </c>
      <c r="F76" s="726">
        <f t="shared" si="1"/>
        <v>70784</v>
      </c>
    </row>
    <row r="77" spans="1:6" s="11" customFormat="1" ht="30" customHeight="1">
      <c r="A77" s="722" t="s">
        <v>508</v>
      </c>
      <c r="B77" s="723"/>
      <c r="C77" s="732" t="s">
        <v>509</v>
      </c>
      <c r="D77" s="725">
        <v>10000</v>
      </c>
      <c r="E77" s="725">
        <v>0</v>
      </c>
      <c r="F77" s="726">
        <f t="shared" si="1"/>
        <v>10000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500</v>
      </c>
      <c r="E79" s="725">
        <v>0</v>
      </c>
      <c r="F79" s="726">
        <f t="shared" si="1"/>
        <v>500</v>
      </c>
    </row>
    <row r="80" spans="1:6" s="11" customFormat="1" ht="30" customHeight="1">
      <c r="A80" s="722" t="s">
        <v>514</v>
      </c>
      <c r="B80" s="723"/>
      <c r="C80" s="732" t="s">
        <v>515</v>
      </c>
      <c r="D80" s="725">
        <v>20000</v>
      </c>
      <c r="E80" s="725">
        <v>0</v>
      </c>
      <c r="F80" s="726">
        <f t="shared" ref="F80:F85" si="2">+D80+E80</f>
        <v>20000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165925</v>
      </c>
      <c r="F84" s="726">
        <f t="shared" si="2"/>
        <v>165925</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127324</v>
      </c>
      <c r="E92" s="254">
        <f>SUM(E63:E91)</f>
        <v>175430</v>
      </c>
      <c r="F92" s="254">
        <f t="shared" si="1"/>
        <v>302754</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769</v>
      </c>
      <c r="B102" s="1061"/>
      <c r="C102" s="1062">
        <v>73001</v>
      </c>
      <c r="D102" s="1086">
        <v>0</v>
      </c>
      <c r="E102" s="1086">
        <v>0</v>
      </c>
      <c r="F102" s="1019">
        <f t="shared" si="1"/>
        <v>0</v>
      </c>
    </row>
    <row r="103" spans="1:6" s="11" customFormat="1" ht="30" customHeight="1">
      <c r="A103" s="1063" t="s">
        <v>683</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770</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3576414</v>
      </c>
      <c r="E112" s="254">
        <f>+E56+E92+E110</f>
        <v>175430</v>
      </c>
      <c r="F112" s="254">
        <f>SUM(D112:E112)</f>
        <v>3751844</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3458831</v>
      </c>
      <c r="E117" s="725">
        <v>173677</v>
      </c>
      <c r="F117" s="726">
        <f t="shared" ref="F117:F127" si="3">+D117+E117</f>
        <v>3632508</v>
      </c>
    </row>
    <row r="118" spans="1:6" s="63" customFormat="1" ht="30" customHeight="1">
      <c r="A118" s="722" t="s">
        <v>606</v>
      </c>
      <c r="B118" s="575"/>
      <c r="C118" s="734"/>
      <c r="D118" s="1042">
        <f>'EXHIBIT C'!F19</f>
        <v>117583</v>
      </c>
      <c r="E118" s="725">
        <v>1753</v>
      </c>
      <c r="F118" s="726">
        <f t="shared" si="3"/>
        <v>119336</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679</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3576414</v>
      </c>
      <c r="E128" s="248">
        <f>SUM(E116:E127)</f>
        <v>175430</v>
      </c>
      <c r="F128" s="249">
        <f>SUM(F116:F127)</f>
        <v>3751844</v>
      </c>
    </row>
    <row r="129" spans="1:6" ht="14.1" customHeight="1">
      <c r="A129" s="237"/>
      <c r="B129" s="237"/>
      <c r="C129" s="238"/>
      <c r="D129" s="239"/>
      <c r="E129" s="239"/>
      <c r="F129" s="239"/>
    </row>
    <row r="130" spans="1:6" ht="83.25" customHeight="1">
      <c r="A130" s="899" t="s">
        <v>693</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694</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762</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701</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739</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716</v>
      </c>
      <c r="C3" s="58"/>
      <c r="D3" s="67"/>
      <c r="E3" s="66"/>
    </row>
    <row r="4" spans="1:10" ht="25.35" customHeight="1" thickBot="1">
      <c r="A4" s="56">
        <v>1</v>
      </c>
      <c r="B4" s="46">
        <v>2</v>
      </c>
      <c r="C4" s="46">
        <v>3</v>
      </c>
      <c r="D4" s="46">
        <v>4</v>
      </c>
      <c r="E4" s="13"/>
    </row>
    <row r="5" spans="1:10" ht="44.1" customHeight="1" thickBot="1">
      <c r="A5" s="32" t="s">
        <v>16</v>
      </c>
      <c r="B5" s="1030" t="s">
        <v>710</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781</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711</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714</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717</v>
      </c>
      <c r="B40" s="904" t="s">
        <v>729</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718</v>
      </c>
      <c r="C43" s="597"/>
      <c r="D43" s="597">
        <v>0</v>
      </c>
      <c r="E43" s="598">
        <f t="shared" ref="E43:E53" si="1">C43+D43</f>
        <v>0</v>
      </c>
    </row>
    <row r="44" spans="1:12" ht="63" hidden="1">
      <c r="A44" s="912" t="str">
        <f>A11</f>
        <v>Daytona State College</v>
      </c>
      <c r="B44" s="599" t="s">
        <v>719</v>
      </c>
      <c r="C44" s="597"/>
      <c r="D44" s="597">
        <v>0</v>
      </c>
      <c r="E44" s="598">
        <f t="shared" si="1"/>
        <v>0</v>
      </c>
    </row>
    <row r="45" spans="1:12" ht="84.75" hidden="1" customHeight="1">
      <c r="A45" s="910" t="s">
        <v>25</v>
      </c>
      <c r="B45" s="599" t="s">
        <v>720</v>
      </c>
      <c r="C45" s="597"/>
      <c r="D45" s="597">
        <v>0</v>
      </c>
      <c r="E45" s="598">
        <f t="shared" si="1"/>
        <v>0</v>
      </c>
    </row>
    <row r="46" spans="1:12" ht="84.75" hidden="1" customHeight="1">
      <c r="A46" s="910" t="s">
        <v>25</v>
      </c>
      <c r="B46" s="985" t="s">
        <v>721</v>
      </c>
      <c r="C46" s="986"/>
      <c r="D46" s="986">
        <v>0</v>
      </c>
      <c r="E46" s="598">
        <f t="shared" si="1"/>
        <v>0</v>
      </c>
    </row>
    <row r="47" spans="1:12" ht="84.75" hidden="1" customHeight="1">
      <c r="A47" s="910" t="s">
        <v>709</v>
      </c>
      <c r="B47" s="985" t="s">
        <v>722</v>
      </c>
      <c r="C47" s="986"/>
      <c r="D47" s="986">
        <v>0</v>
      </c>
      <c r="E47" s="598">
        <f t="shared" si="1"/>
        <v>0</v>
      </c>
      <c r="G47" s="155" t="s">
        <v>10</v>
      </c>
    </row>
    <row r="48" spans="1:12" ht="62.45" hidden="1" customHeight="1">
      <c r="A48" s="910" t="s">
        <v>709</v>
      </c>
      <c r="B48" s="599" t="s">
        <v>723</v>
      </c>
      <c r="C48" s="597"/>
      <c r="D48" s="597">
        <v>0</v>
      </c>
      <c r="E48" s="598">
        <f t="shared" si="1"/>
        <v>0</v>
      </c>
    </row>
    <row r="49" spans="1:5" ht="62.45" hidden="1" customHeight="1">
      <c r="A49" s="910" t="s">
        <v>34</v>
      </c>
      <c r="B49" s="985" t="s">
        <v>724</v>
      </c>
      <c r="C49" s="986"/>
      <c r="D49" s="986">
        <v>0</v>
      </c>
      <c r="E49" s="598">
        <f t="shared" si="1"/>
        <v>0</v>
      </c>
    </row>
    <row r="50" spans="1:5" ht="62.45" hidden="1" customHeight="1">
      <c r="A50" s="910" t="s">
        <v>34</v>
      </c>
      <c r="B50" s="985" t="s">
        <v>725</v>
      </c>
      <c r="C50" s="986"/>
      <c r="D50" s="986">
        <v>0</v>
      </c>
      <c r="E50" s="598">
        <f t="shared" si="1"/>
        <v>0</v>
      </c>
    </row>
    <row r="51" spans="1:5" ht="62.45" hidden="1" customHeight="1">
      <c r="A51" s="1099" t="s">
        <v>726</v>
      </c>
      <c r="B51" s="985" t="s">
        <v>727</v>
      </c>
      <c r="C51" s="986"/>
      <c r="D51" s="986">
        <v>0</v>
      </c>
      <c r="E51" s="1084">
        <f t="shared" si="1"/>
        <v>0</v>
      </c>
    </row>
    <row r="52" spans="1:5" ht="62.45" hidden="1" customHeight="1" thickBot="1">
      <c r="A52" s="1104" t="s">
        <v>45</v>
      </c>
      <c r="B52" s="1105" t="s">
        <v>728</v>
      </c>
      <c r="C52" s="1106"/>
      <c r="D52" s="1106">
        <v>0</v>
      </c>
      <c r="E52" s="1107">
        <f t="shared" si="1"/>
        <v>0</v>
      </c>
    </row>
    <row r="53" spans="1:5" ht="62.45" hidden="1" customHeight="1" thickBot="1">
      <c r="A53" s="1104" t="s">
        <v>33</v>
      </c>
      <c r="B53" s="1105" t="s">
        <v>732</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712</v>
      </c>
      <c r="B58" s="381" t="s">
        <v>730</v>
      </c>
      <c r="C58" s="10" t="s">
        <v>10</v>
      </c>
      <c r="D58" s="10"/>
    </row>
    <row r="59" spans="1:5" ht="69" hidden="1" customHeight="1" thickBot="1">
      <c r="A59" s="1000" t="s">
        <v>731</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764</v>
      </c>
      <c r="B65" s="1002" t="s">
        <v>763</v>
      </c>
      <c r="C65" s="1003"/>
      <c r="D65" s="1003"/>
      <c r="E65" s="1004"/>
      <c r="F65" s="12"/>
      <c r="G65" s="10"/>
    </row>
    <row r="66" spans="1:7" ht="87.6" customHeight="1" thickBot="1">
      <c r="A66" s="34" t="s">
        <v>17</v>
      </c>
      <c r="B66" s="18" t="s">
        <v>768</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767</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765</v>
      </c>
      <c r="B104" s="989" t="s">
        <v>779</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684</v>
      </c>
      <c r="U106" s="26"/>
      <c r="V106" s="27"/>
      <c r="W106" s="28"/>
      <c r="X106" s="29"/>
      <c r="Y106" s="53"/>
      <c r="Z106" s="1009"/>
      <c r="AA106" s="1010"/>
      <c r="AB106" s="1011"/>
      <c r="AC106" s="13"/>
      <c r="AD106" s="1098" t="s">
        <v>778</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708</v>
      </c>
      <c r="R107" s="1025"/>
      <c r="S107" s="1026"/>
      <c r="T107" s="1083"/>
      <c r="U107" s="15"/>
      <c r="V107" s="1140" t="s">
        <v>77</v>
      </c>
      <c r="W107" s="1143"/>
      <c r="X107" s="1144"/>
      <c r="Y107" s="1142"/>
      <c r="Z107" s="1140" t="s">
        <v>78</v>
      </c>
      <c r="AA107" s="1141"/>
      <c r="AB107" s="997"/>
      <c r="AD107" s="37" t="s">
        <v>79</v>
      </c>
      <c r="AF107" s="13"/>
      <c r="AI107" s="1029" t="s">
        <v>685</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776</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777</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680</v>
      </c>
      <c r="V139" s="47"/>
      <c r="W139" s="47"/>
      <c r="X139" s="47"/>
      <c r="Y139" s="47"/>
      <c r="Z139" s="47"/>
      <c r="AA139" s="47"/>
      <c r="AB139" s="47"/>
    </row>
    <row r="140" spans="1:44">
      <c r="A140" s="11" t="s">
        <v>766</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707</v>
      </c>
      <c r="B145" s="995"/>
      <c r="C145" s="1072"/>
      <c r="D145" s="1072"/>
    </row>
    <row r="146" spans="1:4" ht="21.75" thickBot="1">
      <c r="A146" s="56"/>
      <c r="B146" s="57" t="s">
        <v>715</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707</v>
      </c>
      <c r="B180" s="995"/>
    </row>
    <row r="181" spans="1:2" ht="21.75" thickBot="1">
      <c r="A181" s="56"/>
      <c r="B181" s="57" t="s">
        <v>715</v>
      </c>
    </row>
    <row r="182" spans="1:2" ht="21.75" thickBot="1">
      <c r="A182" s="56">
        <v>1</v>
      </c>
      <c r="B182" s="46">
        <v>2</v>
      </c>
    </row>
    <row r="183" spans="1:2" ht="54" thickBot="1">
      <c r="A183" s="1074" t="s">
        <v>686</v>
      </c>
      <c r="B183" s="1068" t="str">
        <f>B5</f>
        <v xml:space="preserve">2024-25 BASE BUDGET </v>
      </c>
    </row>
    <row r="184" spans="1:2" ht="42.75" thickBot="1">
      <c r="A184" s="280" t="s">
        <v>17</v>
      </c>
      <c r="B184" s="17" t="s">
        <v>686</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740</v>
      </c>
      <c r="B2" s="869"/>
      <c r="C2" s="869"/>
      <c r="D2" s="869"/>
      <c r="E2" s="869"/>
      <c r="F2" s="869"/>
      <c r="G2" s="869"/>
    </row>
    <row r="3" spans="1:9" ht="20.100000000000001" customHeight="1">
      <c r="A3" s="869"/>
      <c r="B3" s="869"/>
      <c r="C3" s="869"/>
      <c r="D3" s="869"/>
      <c r="E3" s="869"/>
      <c r="F3" s="869"/>
      <c r="G3" s="869"/>
      <c r="H3" s="82"/>
    </row>
    <row r="4" spans="1:9" ht="28.35" customHeight="1">
      <c r="A4" s="1088" t="s">
        <v>702</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30</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780</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6.2116685537373775E-2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741</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37470</v>
      </c>
      <c r="E44" s="108">
        <f>+'EXHIBIT C'!F10</f>
        <v>37682</v>
      </c>
      <c r="F44" s="109">
        <f t="shared" ref="F44:F50" si="0">IF(D44=0,"0",(E44/D44-1))</f>
        <v>5.657859621030159E-3</v>
      </c>
      <c r="G44" s="110" t="str">
        <f t="shared" ref="G44:G50" si="1">IF(OR(F44&gt;3%, F44&lt;-3%),"YES","NO")</f>
        <v>NO</v>
      </c>
      <c r="H44" s="82"/>
    </row>
    <row r="45" spans="1:8" ht="20.100000000000001" customHeight="1">
      <c r="C45" s="111" t="s">
        <v>125</v>
      </c>
      <c r="D45" s="621">
        <f>VLOOKUP($D$7,VLOOKUP!$A$109:$S$137,5)*30+D60</f>
        <v>145780.97784208783</v>
      </c>
      <c r="E45" s="112">
        <f>+'EXHIBIT C'!F11</f>
        <v>145119</v>
      </c>
      <c r="F45" s="622">
        <f t="shared" si="0"/>
        <v>-4.540906858265803E-3</v>
      </c>
      <c r="G45" s="623" t="str">
        <f t="shared" si="1"/>
        <v>NO</v>
      </c>
      <c r="H45" s="82"/>
    </row>
    <row r="46" spans="1:8" ht="20.100000000000001" customHeight="1">
      <c r="C46" s="624" t="s">
        <v>126</v>
      </c>
      <c r="D46" s="625">
        <f>VLOOKUP($D$7,VLOOKUP!$A$109:$S$137,8)*30</f>
        <v>67434.74096781257</v>
      </c>
      <c r="E46" s="626">
        <f>+'EXHIBIT C'!F12</f>
        <v>66774</v>
      </c>
      <c r="F46" s="622">
        <f t="shared" si="0"/>
        <v>-9.7982280102173469E-3</v>
      </c>
      <c r="G46" s="623" t="str">
        <f t="shared" si="1"/>
        <v>NO</v>
      </c>
      <c r="H46" s="82"/>
    </row>
    <row r="47" spans="1:8" ht="20.100000000000001" customHeight="1">
      <c r="C47" s="624" t="s">
        <v>75</v>
      </c>
      <c r="D47" s="625">
        <f>VLOOKUP($D$7,VLOOKUP!$A$109:$S$137,17)*30</f>
        <v>16296.960624796615</v>
      </c>
      <c r="E47" s="626">
        <f>+'EXHIBIT C'!F13</f>
        <v>16069</v>
      </c>
      <c r="F47" s="622">
        <f t="shared" si="0"/>
        <v>-1.398792265901172E-2</v>
      </c>
      <c r="G47" s="623" t="str">
        <f t="shared" si="1"/>
        <v>NO</v>
      </c>
      <c r="H47" s="82"/>
    </row>
    <row r="48" spans="1:8" ht="20.100000000000001" customHeight="1">
      <c r="C48" s="624" t="s">
        <v>127</v>
      </c>
      <c r="D48" s="625">
        <f>VLOOKUP($D$7,VLOOKUP!$A$109:$S$137,11)*30</f>
        <v>1916.6785714285713</v>
      </c>
      <c r="E48" s="626">
        <f>+'EXHIBIT C'!F14</f>
        <v>1553</v>
      </c>
      <c r="F48" s="622">
        <f t="shared" si="0"/>
        <v>-0.18974416307973241</v>
      </c>
      <c r="G48" s="623" t="str">
        <f t="shared" si="1"/>
        <v>YES</v>
      </c>
      <c r="H48" s="82"/>
    </row>
    <row r="49" spans="3:8" ht="20.100000000000001" customHeight="1" thickBot="1">
      <c r="C49" s="627" t="s">
        <v>128</v>
      </c>
      <c r="D49" s="628">
        <f>VLOOKUP($D$7,VLOOKUP!$A$109:$S$137,14)*30</f>
        <v>150</v>
      </c>
      <c r="E49" s="629">
        <f>+'EXHIBIT C'!F15</f>
        <v>0</v>
      </c>
      <c r="F49" s="630">
        <f t="shared" si="0"/>
        <v>-1</v>
      </c>
      <c r="G49" s="631" t="str">
        <f t="shared" si="1"/>
        <v>YES</v>
      </c>
      <c r="H49" s="82"/>
    </row>
    <row r="50" spans="3:8" ht="20.100000000000001" customHeight="1" thickBot="1">
      <c r="C50" s="113" t="s">
        <v>48</v>
      </c>
      <c r="D50" s="114">
        <f>SUM(D44:D49)</f>
        <v>269049.35800612561</v>
      </c>
      <c r="E50" s="115">
        <f>+'EXHIBIT C'!F17</f>
        <v>267197</v>
      </c>
      <c r="F50" s="116">
        <f t="shared" si="0"/>
        <v>-6.8848259659606281E-3</v>
      </c>
      <c r="G50" s="117" t="str">
        <f t="shared" si="1"/>
        <v>NO</v>
      </c>
      <c r="H50" s="82"/>
    </row>
    <row r="51" spans="3:8" ht="46.5" customHeight="1" thickBot="1">
      <c r="C51" s="872" t="s">
        <v>129</v>
      </c>
      <c r="D51" s="873"/>
      <c r="E51" s="873"/>
      <c r="F51" s="873"/>
      <c r="G51" s="874"/>
      <c r="H51" s="82"/>
    </row>
    <row r="52" spans="3:8" ht="24.6" customHeight="1" thickBot="1">
      <c r="C52" s="796" t="s">
        <v>703</v>
      </c>
      <c r="D52" s="797"/>
      <c r="E52" s="797"/>
      <c r="F52" s="797"/>
      <c r="G52" s="798"/>
      <c r="H52" s="118"/>
    </row>
    <row r="53" spans="3:8" ht="205.5" customHeight="1" thickBot="1">
      <c r="C53" s="1048" t="s">
        <v>786</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427</v>
      </c>
      <c r="F59" s="633" t="str">
        <f t="shared" ref="F59:F65" si="2">IF(D59=0,"0",(E59/D59-1))</f>
        <v>0</v>
      </c>
      <c r="G59" s="634" t="str">
        <f>IF(OR(F59&gt;5%, F59&lt;-5%),"YES","NO")</f>
        <v>NO</v>
      </c>
    </row>
    <row r="60" spans="3:8" ht="20.100000000000001" customHeight="1">
      <c r="C60" s="111" t="s">
        <v>125</v>
      </c>
      <c r="D60" s="632">
        <f>VLOOKUP($D$7,VLOOKUP!$A$109:$S$137,6)*30</f>
        <v>4778.5333240354939</v>
      </c>
      <c r="E60" s="125">
        <f>+'EXHIBIT C'!D20</f>
        <v>3341</v>
      </c>
      <c r="F60" s="633">
        <f t="shared" si="2"/>
        <v>-0.30083149505411222</v>
      </c>
      <c r="G60" s="634" t="str">
        <f t="shared" ref="G60:G65" si="3">IF(OR(F60&gt;5%, F60&lt;-5%),"YES","NO")</f>
        <v>YES</v>
      </c>
      <c r="H60" s="82"/>
    </row>
    <row r="61" spans="3:8" ht="20.100000000000001" customHeight="1">
      <c r="C61" s="624" t="s">
        <v>126</v>
      </c>
      <c r="D61" s="635">
        <f>VLOOKUP($D$7,VLOOKUP!$A$109:$S$137,9)*30</f>
        <v>1500.2023209984673</v>
      </c>
      <c r="E61" s="636">
        <f>+'EXHIBIT C'!D21</f>
        <v>1362</v>
      </c>
      <c r="F61" s="633">
        <f t="shared" si="2"/>
        <v>-9.2122455127576441E-2</v>
      </c>
      <c r="G61" s="634" t="str">
        <f t="shared" si="3"/>
        <v>YES</v>
      </c>
      <c r="H61" s="82"/>
    </row>
    <row r="62" spans="3:8" ht="20.100000000000001" customHeight="1">
      <c r="C62" s="624" t="s">
        <v>75</v>
      </c>
      <c r="D62" s="635">
        <f>VLOOKUP($D$7,VLOOKUP!$A$109:$S$137,18)*30</f>
        <v>501.82883176049467</v>
      </c>
      <c r="E62" s="636">
        <f>+'EXHIBIT C'!D22</f>
        <v>468</v>
      </c>
      <c r="F62" s="633">
        <f t="shared" si="2"/>
        <v>-6.7411096412730576E-2</v>
      </c>
      <c r="G62" s="634" t="str">
        <f t="shared" si="3"/>
        <v>YES</v>
      </c>
      <c r="H62" s="82"/>
    </row>
    <row r="63" spans="3:8" ht="20.100000000000001" customHeight="1">
      <c r="C63" s="624" t="s">
        <v>127</v>
      </c>
      <c r="D63" s="635">
        <f>VLOOKUP($D$7,VLOOKUP!$A$109:$S$137,12)*30</f>
        <v>93.321428571428569</v>
      </c>
      <c r="E63" s="636">
        <f>+'EXHIBIT C'!D23</f>
        <v>80</v>
      </c>
      <c r="F63" s="633">
        <f t="shared" si="2"/>
        <v>-0.14274779946421734</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6873.8859053658844</v>
      </c>
      <c r="E65" s="127">
        <f>SUM(E59:E64)</f>
        <v>5678</v>
      </c>
      <c r="F65" s="128">
        <f t="shared" si="2"/>
        <v>-0.17397523348945221</v>
      </c>
      <c r="G65" s="129" t="str">
        <f t="shared" si="3"/>
        <v>YES</v>
      </c>
      <c r="H65" s="82"/>
    </row>
    <row r="66" spans="1:8" ht="42" customHeight="1" thickBot="1">
      <c r="C66" s="872" t="s">
        <v>134</v>
      </c>
      <c r="D66" s="873"/>
      <c r="E66" s="873"/>
      <c r="F66" s="873"/>
      <c r="G66" s="874"/>
      <c r="H66" s="82"/>
    </row>
    <row r="67" spans="1:8" ht="24.6" customHeight="1" thickBot="1">
      <c r="A67" s="92"/>
      <c r="B67" s="92"/>
      <c r="C67" s="793" t="s">
        <v>703</v>
      </c>
      <c r="D67" s="794"/>
      <c r="E67" s="794"/>
      <c r="F67" s="794"/>
      <c r="G67" s="795"/>
      <c r="H67" s="82"/>
    </row>
    <row r="68" spans="1:8" ht="227.25" customHeight="1" thickBot="1">
      <c r="A68" s="92"/>
      <c r="B68" s="92"/>
      <c r="C68" s="1051" t="s">
        <v>786</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49338008.875280872</v>
      </c>
      <c r="E84" s="1089">
        <f>+'EXHIBIT D'!G77</f>
        <v>49338008.875280872</v>
      </c>
      <c r="F84" s="1089">
        <f>D84-E84</f>
        <v>0</v>
      </c>
      <c r="G84" s="82"/>
      <c r="H84" s="82"/>
    </row>
    <row r="85" spans="1:8" ht="20.100000000000001" customHeight="1">
      <c r="A85" s="92"/>
      <c r="B85" s="92"/>
      <c r="C85" s="643" t="s">
        <v>149</v>
      </c>
      <c r="D85" s="642">
        <f>VLOOKUP($D$7,VLOOKUP!$A$150:$B$178,2)</f>
        <v>861594</v>
      </c>
      <c r="E85" s="1089">
        <f>'EXHIBIT D'!G79</f>
        <v>861594</v>
      </c>
      <c r="F85" s="1089">
        <f>D85-E85</f>
        <v>0</v>
      </c>
      <c r="G85" s="82"/>
      <c r="H85" s="82"/>
    </row>
    <row r="86" spans="1:8" ht="20.100000000000001" customHeight="1">
      <c r="A86" s="92"/>
      <c r="B86" s="92"/>
      <c r="C86" s="643" t="s">
        <v>150</v>
      </c>
      <c r="D86" s="642">
        <f>VLOOKUP($D$7,VLOOKUP!$A$7:$E$35,3)</f>
        <v>10681339.124719128</v>
      </c>
      <c r="E86" s="1089">
        <f>'EXHIBIT D'!G82</f>
        <v>10681339.124719128</v>
      </c>
      <c r="F86" s="1089">
        <f>D86-E86</f>
        <v>0</v>
      </c>
      <c r="G86" s="82"/>
      <c r="H86" s="82"/>
    </row>
    <row r="87" spans="1:8" ht="20.100000000000001" customHeight="1" thickBot="1">
      <c r="A87" s="91"/>
      <c r="B87" s="91"/>
      <c r="C87" s="137" t="s">
        <v>686</v>
      </c>
      <c r="D87" s="642">
        <f>VLOOKUP($D$7,VLOOKUP!$A$185:$B$213,2)</f>
        <v>1644383</v>
      </c>
      <c r="E87" s="1090">
        <f>'EXHIBIT D'!G78</f>
        <v>1644383</v>
      </c>
      <c r="F87" s="1089">
        <f>D87-E87</f>
        <v>0</v>
      </c>
      <c r="G87" s="82"/>
      <c r="H87" s="82"/>
    </row>
    <row r="88" spans="1:8" ht="20.100000000000001" customHeight="1" thickBot="1">
      <c r="A88" s="91"/>
      <c r="B88" s="91"/>
      <c r="C88" s="138" t="s">
        <v>151</v>
      </c>
      <c r="D88" s="139">
        <f>SUM(D84:D87)</f>
        <v>62525325</v>
      </c>
      <c r="E88" s="139">
        <f>SUM(E84:E87)</f>
        <v>62525325</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713</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6822814</v>
      </c>
      <c r="D101" s="787" t="s">
        <v>742</v>
      </c>
      <c r="E101" s="787"/>
      <c r="F101" s="787"/>
      <c r="G101" s="82"/>
      <c r="H101" s="82"/>
    </row>
    <row r="102" spans="1:8" ht="20.100000000000001" customHeight="1">
      <c r="A102" s="89"/>
      <c r="B102" s="89"/>
      <c r="C102" s="645">
        <f>'EXHIBIT D'!G266-'EXHIBIT D'!G252-'EXHIBIT D'!G264</f>
        <v>6822814</v>
      </c>
      <c r="D102" s="789" t="s">
        <v>743</v>
      </c>
      <c r="E102" s="789"/>
      <c r="F102" s="789"/>
      <c r="G102" s="82"/>
      <c r="H102" s="82"/>
    </row>
    <row r="103" spans="1:8" ht="66.599999999999994" customHeight="1">
      <c r="A103" s="145"/>
      <c r="B103" s="145"/>
      <c r="C103" s="646">
        <f>C101-C102</f>
        <v>0</v>
      </c>
      <c r="D103" s="877" t="s">
        <v>695</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700</v>
      </c>
      <c r="D106" s="870"/>
      <c r="E106" s="870"/>
      <c r="F106" s="870"/>
      <c r="G106" s="870"/>
      <c r="H106" s="788"/>
    </row>
    <row r="107" spans="1:8" ht="20.100000000000001" customHeight="1">
      <c r="A107" s="145"/>
      <c r="B107" s="145"/>
    </row>
    <row r="108" spans="1:8" ht="24.75" customHeight="1">
      <c r="A108" s="145"/>
      <c r="B108" s="145"/>
      <c r="C108" s="148">
        <f>'EXHIBIT A'!E14</f>
        <v>63174537</v>
      </c>
      <c r="D108" s="11" t="s">
        <v>744</v>
      </c>
    </row>
    <row r="109" spans="1:8" ht="26.25" customHeight="1">
      <c r="A109" s="145"/>
      <c r="B109" s="145"/>
      <c r="C109" s="647">
        <f>'EXHIBIT A'!E36</f>
        <v>64374537</v>
      </c>
      <c r="D109" s="11" t="s">
        <v>745</v>
      </c>
    </row>
    <row r="110" spans="1:8" ht="26.1" customHeight="1">
      <c r="A110" s="145"/>
      <c r="B110" s="145"/>
      <c r="C110" s="648">
        <f>C108-C109</f>
        <v>-1200000</v>
      </c>
      <c r="D110" s="83" t="s">
        <v>159</v>
      </c>
      <c r="E110" s="83"/>
      <c r="F110" s="83"/>
      <c r="G110" s="83"/>
    </row>
    <row r="111" spans="1:8" ht="20.100000000000001" customHeight="1">
      <c r="A111" s="145"/>
      <c r="B111" s="145"/>
      <c r="C111" s="148"/>
    </row>
    <row r="112" spans="1:8" ht="26.1" customHeight="1">
      <c r="A112" s="145"/>
      <c r="B112" s="145"/>
      <c r="C112" s="646">
        <f>'EXHIBIT D'!G186</f>
        <v>1200000</v>
      </c>
      <c r="D112" s="142" t="s">
        <v>160</v>
      </c>
      <c r="E112" s="86"/>
      <c r="F112" s="86"/>
    </row>
    <row r="113" spans="1:8" ht="20.100000000000001" customHeight="1"/>
    <row r="114" spans="1:8" ht="38.450000000000003" customHeight="1">
      <c r="C114" s="1092">
        <f>C110+C112</f>
        <v>0</v>
      </c>
      <c r="D114" s="877" t="s">
        <v>696</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91.790005838331297</v>
      </c>
      <c r="D119" s="11" t="s">
        <v>80</v>
      </c>
    </row>
    <row r="120" spans="1:8" ht="20.100000000000001" customHeight="1">
      <c r="C120" s="151"/>
    </row>
    <row r="121" spans="1:8" ht="20.100000000000001" customHeight="1">
      <c r="C121" s="152">
        <f>IF('EXHIBIT G'!D118=0,"No Credit Hours or Not Applicable",('EXHIBIT G'!D118/'EXHIBIT C'!D19))</f>
        <v>275.37002341920373</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697</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698</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699</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704</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746</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Indian River State College</v>
      </c>
      <c r="D8" s="804"/>
      <c r="E8" s="804"/>
      <c r="F8" s="273"/>
      <c r="G8" s="273"/>
    </row>
    <row r="9" spans="2:7" ht="25.35" customHeight="1"/>
    <row r="10" spans="2:7" ht="41.45" customHeight="1">
      <c r="E10" s="555" t="s">
        <v>172</v>
      </c>
    </row>
    <row r="11" spans="2:7" ht="25.35" customHeight="1">
      <c r="B11" s="22" t="s">
        <v>747</v>
      </c>
      <c r="D11" s="22"/>
      <c r="E11" s="155"/>
    </row>
    <row r="12" spans="2:7" ht="25.35" customHeight="1">
      <c r="B12" s="22"/>
      <c r="C12" s="22"/>
      <c r="D12" s="22"/>
    </row>
    <row r="13" spans="2:7" ht="25.35" customHeight="1">
      <c r="B13" s="11" t="s">
        <v>748</v>
      </c>
      <c r="C13" s="22"/>
      <c r="D13" s="22"/>
      <c r="E13" s="1097">
        <v>-52080068</v>
      </c>
    </row>
    <row r="14" spans="2:7" ht="25.35" customHeight="1">
      <c r="B14" s="11" t="s">
        <v>173</v>
      </c>
      <c r="D14" s="22"/>
      <c r="E14" s="1161">
        <v>63174537</v>
      </c>
    </row>
    <row r="15" spans="2:7" ht="25.35" customHeight="1">
      <c r="B15" s="22"/>
      <c r="D15" s="22"/>
      <c r="E15" s="156"/>
    </row>
    <row r="16" spans="2:7" ht="25.35" customHeight="1">
      <c r="B16" s="11" t="s">
        <v>749</v>
      </c>
      <c r="C16" s="22"/>
      <c r="D16" s="22"/>
      <c r="E16" s="556">
        <f>+E14+E13</f>
        <v>11094469</v>
      </c>
    </row>
    <row r="17" spans="2:7" ht="25.35" customHeight="1">
      <c r="B17" s="22"/>
      <c r="C17" s="22"/>
      <c r="D17" s="22"/>
      <c r="E17" s="157"/>
    </row>
    <row r="18" spans="2:7" ht="25.35" customHeight="1">
      <c r="B18" s="11" t="s">
        <v>174</v>
      </c>
      <c r="C18" s="22"/>
      <c r="D18" s="22"/>
      <c r="E18" s="167">
        <f>+'EXHIBIT D'!G143-SUM(+'EXHIBIT D'!G133+'EXHIBIT D'!G134)</f>
        <v>98695199</v>
      </c>
      <c r="G18" s="132"/>
    </row>
    <row r="19" spans="2:7" ht="25.35" customHeight="1">
      <c r="B19" s="11" t="s">
        <v>175</v>
      </c>
      <c r="D19" s="22"/>
      <c r="E19" s="556">
        <f>+'EXHIBIT D'!G133+'EXHIBIT D'!G134</f>
        <v>49000</v>
      </c>
    </row>
    <row r="20" spans="2:7" ht="25.35" customHeight="1">
      <c r="B20" s="22"/>
      <c r="D20" s="22"/>
      <c r="E20" s="162"/>
    </row>
    <row r="21" spans="2:7" ht="25.35" customHeight="1">
      <c r="B21" s="11" t="s">
        <v>176</v>
      </c>
      <c r="C21" s="22"/>
      <c r="D21" s="22"/>
      <c r="E21" s="557">
        <f>+E19+E18</f>
        <v>98744199</v>
      </c>
    </row>
    <row r="22" spans="2:7" ht="25.35" customHeight="1">
      <c r="B22" s="22"/>
      <c r="C22" s="22"/>
      <c r="D22" s="22"/>
      <c r="E22" s="162"/>
    </row>
    <row r="23" spans="2:7" ht="25.35" customHeight="1">
      <c r="B23" s="22" t="s">
        <v>177</v>
      </c>
      <c r="C23" s="22"/>
      <c r="D23" s="22"/>
      <c r="E23" s="557">
        <f>+E21+E16</f>
        <v>109838668</v>
      </c>
    </row>
    <row r="24" spans="2:7" ht="25.35" customHeight="1">
      <c r="B24" s="22"/>
      <c r="C24" s="22"/>
      <c r="D24" s="22"/>
      <c r="E24" s="162"/>
    </row>
    <row r="25" spans="2:7" ht="25.35" customHeight="1">
      <c r="B25" s="11" t="s">
        <v>178</v>
      </c>
      <c r="C25" s="22"/>
      <c r="D25" s="22"/>
      <c r="E25" s="168">
        <f>'EXHIBIT D'!G248-SUM(+'EXHIBIT D'!G222+'EXHIBIT D'!G223)</f>
        <v>102023728</v>
      </c>
    </row>
    <row r="26" spans="2:7" ht="25.35" customHeight="1">
      <c r="B26" s="11" t="s">
        <v>179</v>
      </c>
      <c r="D26" s="22"/>
      <c r="E26" s="556">
        <f>'EXHIBIT D'!G222+'EXHIBIT D'!G223</f>
        <v>992126</v>
      </c>
    </row>
    <row r="27" spans="2:7" ht="25.35" customHeight="1">
      <c r="B27" s="22"/>
      <c r="D27" s="22"/>
      <c r="E27" s="162"/>
    </row>
    <row r="28" spans="2:7" ht="25.35" customHeight="1">
      <c r="B28" s="22" t="s">
        <v>180</v>
      </c>
      <c r="C28" s="22"/>
      <c r="D28" s="22"/>
      <c r="E28" s="558">
        <f>+E26+E25</f>
        <v>103015854</v>
      </c>
    </row>
    <row r="29" spans="2:7" ht="25.35" customHeight="1">
      <c r="B29" s="22"/>
      <c r="C29" s="22"/>
      <c r="D29" s="22"/>
      <c r="E29" s="158"/>
    </row>
    <row r="30" spans="2:7" ht="25.35" customHeight="1">
      <c r="B30" s="22" t="s">
        <v>750</v>
      </c>
      <c r="C30" s="22"/>
      <c r="D30" s="22"/>
      <c r="E30" s="158"/>
    </row>
    <row r="31" spans="2:7" ht="25.35" customHeight="1">
      <c r="B31" s="22"/>
      <c r="C31" s="22"/>
      <c r="D31" s="22"/>
      <c r="E31" s="158"/>
    </row>
    <row r="32" spans="2:7" ht="25.35" customHeight="1">
      <c r="B32" s="11" t="s">
        <v>181</v>
      </c>
      <c r="C32" s="22"/>
      <c r="D32" s="159">
        <f>+E23-E28</f>
        <v>6822814</v>
      </c>
      <c r="E32" s="158"/>
    </row>
    <row r="33" spans="2:10" ht="25.35" customHeight="1">
      <c r="B33" s="11" t="s">
        <v>182</v>
      </c>
      <c r="C33" s="22"/>
      <c r="D33" s="559">
        <f>+'EXHIBIT D'!G186</f>
        <v>1200000</v>
      </c>
      <c r="E33" s="158"/>
    </row>
    <row r="34" spans="2:10" ht="25.35" customHeight="1">
      <c r="B34" s="22"/>
      <c r="D34" s="22"/>
      <c r="E34" s="158"/>
      <c r="J34" s="160"/>
    </row>
    <row r="35" spans="2:10" ht="25.35" customHeight="1">
      <c r="B35" s="11" t="s">
        <v>751</v>
      </c>
      <c r="C35" s="22"/>
      <c r="D35" s="22"/>
      <c r="E35" s="161">
        <f>+D32+D33</f>
        <v>8022814</v>
      </c>
    </row>
    <row r="36" spans="2:10" ht="25.35" customHeight="1">
      <c r="B36" s="11" t="s">
        <v>752</v>
      </c>
      <c r="C36" s="22"/>
      <c r="D36" s="22"/>
      <c r="E36" s="557">
        <f>-'EXHIBIT D'!G264</f>
        <v>64374537</v>
      </c>
      <c r="J36" s="42"/>
    </row>
    <row r="37" spans="2:10" ht="25.35" customHeight="1">
      <c r="D37" s="22"/>
      <c r="E37" s="161"/>
    </row>
    <row r="38" spans="2:10" ht="25.35" customHeight="1">
      <c r="B38" s="22" t="s">
        <v>753</v>
      </c>
      <c r="D38" s="22"/>
      <c r="E38" s="556">
        <f>+E35-E36</f>
        <v>-56351723</v>
      </c>
    </row>
    <row r="39" spans="2:10" ht="25.35" customHeight="1">
      <c r="B39" s="22"/>
      <c r="C39" s="22"/>
      <c r="D39" s="22"/>
      <c r="E39" s="162"/>
    </row>
    <row r="40" spans="2:10" ht="25.35" customHeight="1">
      <c r="B40" s="11" t="s">
        <v>754</v>
      </c>
      <c r="C40" s="22"/>
      <c r="D40" s="22"/>
      <c r="E40" s="558">
        <f>'EXHIBIT D'!G253+'EXHIBIT D'!G254+'EXHIBIT D'!G255+'EXHIBIT D'!G256+'EXHIBIT D'!G257+'EXHIBIT D'!G258+'EXHIBIT D'!G259+'EXHIBIT D'!G260</f>
        <v>6822814</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755</v>
      </c>
      <c r="C44" s="22"/>
      <c r="D44" s="22"/>
      <c r="E44" s="560">
        <f>+E40/E23</f>
        <v>6.2116685537373775E-2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756</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Indian River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5.39</v>
      </c>
      <c r="E14" s="930">
        <v>10.74</v>
      </c>
      <c r="F14" s="930">
        <v>4.59</v>
      </c>
      <c r="G14" s="650">
        <f>SUM(B14:F14)</f>
        <v>117.10000000000001</v>
      </c>
      <c r="H14" s="355">
        <f>G14*30</f>
        <v>3513.0000000000005</v>
      </c>
    </row>
    <row r="15" spans="1:18" s="11" customFormat="1" ht="20.100000000000001" customHeight="1">
      <c r="A15" s="22" t="s">
        <v>200</v>
      </c>
      <c r="B15" s="931">
        <v>81.209999999999994</v>
      </c>
      <c r="C15" s="931">
        <v>4.0599999999999996</v>
      </c>
      <c r="D15" s="931">
        <v>5</v>
      </c>
      <c r="E15" s="931">
        <v>9.5</v>
      </c>
      <c r="F15" s="931">
        <v>4.0599999999999996</v>
      </c>
      <c r="G15" s="650">
        <f>SUM(B15:F15)</f>
        <v>103.83</v>
      </c>
      <c r="H15" s="328">
        <f>G15*30</f>
        <v>3114.9</v>
      </c>
    </row>
    <row r="16" spans="1:18" s="11" customFormat="1" ht="20.100000000000001" customHeight="1" thickBot="1">
      <c r="A16" s="22" t="s">
        <v>75</v>
      </c>
      <c r="B16" s="932">
        <v>72</v>
      </c>
      <c r="C16" s="932">
        <v>0</v>
      </c>
      <c r="D16" s="933"/>
      <c r="E16" s="932">
        <v>1.2</v>
      </c>
      <c r="F16" s="932">
        <v>3.6</v>
      </c>
      <c r="G16" s="329">
        <f>SUM(B16:F16)</f>
        <v>76.8</v>
      </c>
      <c r="H16" s="651">
        <f>G16*30</f>
        <v>2304</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4.59</v>
      </c>
      <c r="E29" s="516">
        <f>D14</f>
        <v>5.39</v>
      </c>
      <c r="F29" s="930">
        <v>10.74</v>
      </c>
      <c r="G29" s="930">
        <v>12.12</v>
      </c>
      <c r="H29" s="336">
        <f>SUM(B29:G29)</f>
        <v>400</v>
      </c>
      <c r="I29" s="349">
        <f>H29*30</f>
        <v>12000</v>
      </c>
    </row>
    <row r="30" spans="1:11" s="11" customFormat="1" ht="20.100000000000001" customHeight="1">
      <c r="A30" s="22" t="str">
        <f t="shared" si="0"/>
        <v>LOWER LEVEL - CREDIT (A &amp; P, PSV, DEVELOPMENTAL EDUCATION AND EPI)</v>
      </c>
      <c r="B30" s="654">
        <f t="shared" si="0"/>
        <v>81.209999999999994</v>
      </c>
      <c r="C30" s="934">
        <v>243.78</v>
      </c>
      <c r="D30" s="934">
        <v>16.25</v>
      </c>
      <c r="E30" s="655">
        <f>D15</f>
        <v>5</v>
      </c>
      <c r="F30" s="934">
        <v>28</v>
      </c>
      <c r="G30" s="934">
        <v>16.25</v>
      </c>
      <c r="H30" s="650">
        <f>SUM(B30:G30)</f>
        <v>390.49</v>
      </c>
      <c r="I30" s="328">
        <f>H30*30</f>
        <v>11714.7</v>
      </c>
    </row>
    <row r="31" spans="1:11" s="11" customFormat="1" ht="20.100000000000001" customHeight="1">
      <c r="A31" s="22" t="str">
        <f t="shared" si="0"/>
        <v>CAREER CERTIFICATE AND APPLIED TECHNOLOGY DIPLOMA</v>
      </c>
      <c r="B31" s="1109">
        <f t="shared" si="0"/>
        <v>72</v>
      </c>
      <c r="C31" s="931">
        <v>216</v>
      </c>
      <c r="D31" s="931">
        <v>0</v>
      </c>
      <c r="E31" s="1110"/>
      <c r="F31" s="931">
        <v>3.9</v>
      </c>
      <c r="G31" s="931">
        <v>14.4</v>
      </c>
      <c r="H31" s="1111">
        <f>SUM(B31:G31)</f>
        <v>306.29999999999995</v>
      </c>
      <c r="I31" s="1111">
        <f>H31*30</f>
        <v>9188.9999999999982</v>
      </c>
    </row>
    <row r="32" spans="1:11" s="11" customFormat="1" ht="20.100000000000001" customHeight="1" thickBot="1">
      <c r="A32" s="22" t="s">
        <v>736</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735</v>
      </c>
      <c r="B41" s="883"/>
      <c r="C41" s="883"/>
      <c r="D41" s="883"/>
      <c r="E41" s="883"/>
      <c r="F41" s="883"/>
      <c r="G41" s="883"/>
      <c r="H41" s="883"/>
      <c r="I41" s="883"/>
      <c r="J41" s="169"/>
    </row>
    <row r="42" spans="1:11" ht="20.25" customHeight="1">
      <c r="A42" s="11" t="s">
        <v>757</v>
      </c>
      <c r="B42" s="171"/>
      <c r="C42" s="171"/>
      <c r="D42" s="171"/>
      <c r="E42" s="171"/>
      <c r="F42" s="171"/>
      <c r="G42" s="171"/>
      <c r="H42" s="171"/>
      <c r="I42" s="171"/>
    </row>
    <row r="43" spans="1:11" ht="20.25" customHeight="1">
      <c r="A43" s="11" t="s">
        <v>737</v>
      </c>
      <c r="B43" s="171"/>
      <c r="C43" s="171"/>
      <c r="D43" s="171"/>
      <c r="E43" s="171"/>
      <c r="F43" s="171"/>
      <c r="G43" s="171"/>
      <c r="H43" s="171"/>
      <c r="I43" s="171"/>
    </row>
    <row r="44" spans="1:11" ht="20.25" customHeight="1">
      <c r="A44" s="11" t="s">
        <v>771</v>
      </c>
      <c r="B44" s="171"/>
      <c r="C44" s="171"/>
      <c r="D44" s="171"/>
      <c r="E44" s="171"/>
      <c r="F44" s="171"/>
      <c r="G44" s="171"/>
      <c r="H44" s="171"/>
      <c r="I44" s="171"/>
    </row>
    <row r="45" spans="1:11" ht="20.25" customHeight="1">
      <c r="A45" s="11" t="s">
        <v>738</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758</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Indian River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38043</v>
      </c>
      <c r="E10" s="519">
        <v>361</v>
      </c>
      <c r="F10" s="520">
        <f t="shared" ref="F10:F15" si="0">+D10-E10</f>
        <v>37682</v>
      </c>
      <c r="G10" s="520">
        <f>'EXHIBIT B'!B14</f>
        <v>91.79</v>
      </c>
      <c r="H10" s="1160">
        <f>ROUND(+F10*G10,0)</f>
        <v>3458831</v>
      </c>
    </row>
    <row r="11" spans="1:9" ht="20.100000000000001" customHeight="1">
      <c r="A11" s="661" t="s">
        <v>193</v>
      </c>
      <c r="B11" s="661" t="s">
        <v>125</v>
      </c>
      <c r="C11" s="662" t="s">
        <v>220</v>
      </c>
      <c r="D11" s="660">
        <v>200285</v>
      </c>
      <c r="E11" s="660">
        <v>55166</v>
      </c>
      <c r="F11" s="663">
        <f t="shared" si="0"/>
        <v>145119</v>
      </c>
      <c r="G11" s="663">
        <f>+'EXHIBIT B'!B15</f>
        <v>81.209999999999994</v>
      </c>
      <c r="H11" s="664">
        <f t="shared" ref="H11:H15" si="1">ROUND(+F11*G11,0)</f>
        <v>11785114</v>
      </c>
    </row>
    <row r="12" spans="1:9" ht="20.100000000000001" customHeight="1">
      <c r="A12" s="661" t="s">
        <v>193</v>
      </c>
      <c r="B12" s="661" t="s">
        <v>126</v>
      </c>
      <c r="C12" s="662" t="s">
        <v>221</v>
      </c>
      <c r="D12" s="660">
        <v>74270</v>
      </c>
      <c r="E12" s="660">
        <v>7496</v>
      </c>
      <c r="F12" s="663">
        <f t="shared" si="0"/>
        <v>66774</v>
      </c>
      <c r="G12" s="663">
        <f>+'EXHIBIT B'!B15</f>
        <v>81.209999999999994</v>
      </c>
      <c r="H12" s="664">
        <f t="shared" si="1"/>
        <v>5422717</v>
      </c>
    </row>
    <row r="13" spans="1:9" ht="20.100000000000001" customHeight="1">
      <c r="A13" s="661" t="s">
        <v>193</v>
      </c>
      <c r="B13" s="661" t="s">
        <v>75</v>
      </c>
      <c r="C13" s="662" t="s">
        <v>222</v>
      </c>
      <c r="D13" s="665">
        <v>16258</v>
      </c>
      <c r="E13" s="665">
        <v>189</v>
      </c>
      <c r="F13" s="663">
        <f t="shared" si="0"/>
        <v>16069</v>
      </c>
      <c r="G13" s="663">
        <f>+'EXHIBIT B'!B16</f>
        <v>72</v>
      </c>
      <c r="H13" s="664">
        <f t="shared" si="1"/>
        <v>1156968</v>
      </c>
    </row>
    <row r="14" spans="1:9" ht="20.100000000000001" customHeight="1">
      <c r="A14" s="661" t="s">
        <v>193</v>
      </c>
      <c r="B14" s="661" t="s">
        <v>127</v>
      </c>
      <c r="C14" s="662" t="s">
        <v>223</v>
      </c>
      <c r="D14" s="660">
        <v>1685</v>
      </c>
      <c r="E14" s="660">
        <v>132</v>
      </c>
      <c r="F14" s="663">
        <f t="shared" si="0"/>
        <v>1553</v>
      </c>
      <c r="G14" s="663">
        <f>+'EXHIBIT B'!B15</f>
        <v>81.209999999999994</v>
      </c>
      <c r="H14" s="664">
        <f t="shared" si="1"/>
        <v>126119</v>
      </c>
    </row>
    <row r="15" spans="1:9" ht="20.100000000000001" customHeight="1" thickBot="1">
      <c r="A15" s="666" t="s">
        <v>193</v>
      </c>
      <c r="B15" s="666" t="s">
        <v>128</v>
      </c>
      <c r="C15" s="667">
        <v>40160</v>
      </c>
      <c r="D15" s="668">
        <v>0</v>
      </c>
      <c r="E15" s="668">
        <v>0</v>
      </c>
      <c r="F15" s="669">
        <f t="shared" si="0"/>
        <v>0</v>
      </c>
      <c r="G15" s="669">
        <f>+'EXHIBIT B'!B15</f>
        <v>81.209999999999994</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330541</v>
      </c>
      <c r="E17" s="292">
        <f>SUM(E10:E15)</f>
        <v>63344</v>
      </c>
      <c r="F17" s="293">
        <f>SUM(F10:F15)</f>
        <v>267197</v>
      </c>
      <c r="G17" s="293"/>
      <c r="H17" s="294">
        <f>SUM(H10:H15)</f>
        <v>21949749</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427</v>
      </c>
      <c r="E19" s="672">
        <f>'EXHIBIT B'!C29</f>
        <v>275.37</v>
      </c>
      <c r="F19" s="1159">
        <f t="shared" ref="F19:F25" si="2">ROUND(+D19*E19,0)</f>
        <v>117583</v>
      </c>
      <c r="G19" s="296"/>
      <c r="H19" s="296"/>
    </row>
    <row r="20" spans="1:9" ht="20.100000000000001" customHeight="1">
      <c r="A20" s="612" t="s">
        <v>208</v>
      </c>
      <c r="B20" s="612" t="s">
        <v>125</v>
      </c>
      <c r="C20" s="673" t="s">
        <v>227</v>
      </c>
      <c r="D20" s="680">
        <v>3341</v>
      </c>
      <c r="E20" s="674">
        <f>+'EXHIBIT B'!C30</f>
        <v>243.78</v>
      </c>
      <c r="F20" s="675">
        <f t="shared" si="2"/>
        <v>814469</v>
      </c>
      <c r="G20" s="42"/>
      <c r="H20" s="42"/>
    </row>
    <row r="21" spans="1:9" ht="20.100000000000001" customHeight="1">
      <c r="A21" s="612" t="s">
        <v>208</v>
      </c>
      <c r="B21" s="612" t="s">
        <v>126</v>
      </c>
      <c r="C21" s="673" t="s">
        <v>228</v>
      </c>
      <c r="D21" s="680">
        <v>1362</v>
      </c>
      <c r="E21" s="674">
        <f>+'EXHIBIT B'!C30</f>
        <v>243.78</v>
      </c>
      <c r="F21" s="675">
        <f t="shared" si="2"/>
        <v>332028</v>
      </c>
      <c r="G21" s="42"/>
      <c r="H21" s="42"/>
    </row>
    <row r="22" spans="1:9" ht="20.100000000000001" customHeight="1">
      <c r="A22" s="612" t="s">
        <v>208</v>
      </c>
      <c r="B22" s="612" t="s">
        <v>75</v>
      </c>
      <c r="C22" s="673" t="s">
        <v>229</v>
      </c>
      <c r="D22" s="680">
        <v>468</v>
      </c>
      <c r="E22" s="674">
        <f>+'EXHIBIT B'!C31</f>
        <v>216</v>
      </c>
      <c r="F22" s="675">
        <f t="shared" si="2"/>
        <v>101088</v>
      </c>
      <c r="G22" s="42"/>
      <c r="H22" s="42"/>
    </row>
    <row r="23" spans="1:9" ht="20.100000000000001" customHeight="1">
      <c r="A23" s="612" t="s">
        <v>208</v>
      </c>
      <c r="B23" s="612" t="s">
        <v>127</v>
      </c>
      <c r="C23" s="673" t="s">
        <v>230</v>
      </c>
      <c r="D23" s="680">
        <v>80</v>
      </c>
      <c r="E23" s="674">
        <f>+'EXHIBIT B'!C30</f>
        <v>243.78</v>
      </c>
      <c r="F23" s="675">
        <f t="shared" si="2"/>
        <v>19502</v>
      </c>
      <c r="G23" s="42"/>
      <c r="H23" s="42"/>
    </row>
    <row r="24" spans="1:9" ht="20.100000000000001" customHeight="1">
      <c r="A24" s="1020" t="s">
        <v>208</v>
      </c>
      <c r="B24" s="1020" t="s">
        <v>128</v>
      </c>
      <c r="C24" s="1114">
        <v>40360</v>
      </c>
      <c r="D24" s="1115">
        <v>0</v>
      </c>
      <c r="E24" s="1116">
        <f>+'EXHIBIT B'!C30</f>
        <v>243.78</v>
      </c>
      <c r="F24" s="1117">
        <f t="shared" si="2"/>
        <v>0</v>
      </c>
      <c r="G24" s="42"/>
      <c r="H24" s="42"/>
    </row>
    <row r="25" spans="1:9" ht="20.100000000000001" customHeight="1" thickBot="1">
      <c r="A25" s="373" t="s">
        <v>208</v>
      </c>
      <c r="B25" s="373" t="s">
        <v>733</v>
      </c>
      <c r="C25" s="1112" t="s">
        <v>734</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5678</v>
      </c>
      <c r="E27" s="678"/>
      <c r="F27" s="679">
        <f>SUM(F19:F25)</f>
        <v>1384670</v>
      </c>
      <c r="G27" s="300"/>
      <c r="H27" s="300"/>
    </row>
    <row r="28" spans="1:9" ht="20.100000000000001" customHeight="1" thickBot="1">
      <c r="A28" s="301" t="s">
        <v>231</v>
      </c>
      <c r="B28" s="301"/>
      <c r="C28" s="301"/>
      <c r="D28" s="301"/>
      <c r="E28" s="301"/>
      <c r="F28" s="302"/>
      <c r="G28" s="521"/>
      <c r="H28" s="303">
        <f>H17+F27</f>
        <v>23334419</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3920</v>
      </c>
      <c r="E34" s="680">
        <v>0</v>
      </c>
      <c r="F34" s="674">
        <f>D34-E34</f>
        <v>3920</v>
      </c>
      <c r="G34" s="674">
        <f>'EXHIBIT B'!B20</f>
        <v>30</v>
      </c>
      <c r="H34" s="675">
        <f>ROUND(+F34*G34,0)</f>
        <v>117600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3920</v>
      </c>
      <c r="E37" s="306">
        <f>SUM(E33:E36)</f>
        <v>0</v>
      </c>
      <c r="F37" s="307">
        <f>D37-E37</f>
        <v>3920</v>
      </c>
      <c r="G37" s="307"/>
      <c r="H37" s="308">
        <f>SUM(H33:H36)</f>
        <v>117600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117600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23452019</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706</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782</v>
      </c>
      <c r="B55" s="680">
        <v>200000</v>
      </c>
      <c r="C55" s="1095">
        <v>1</v>
      </c>
      <c r="D55" s="1096"/>
      <c r="E55" s="936">
        <v>2</v>
      </c>
      <c r="F55" s="937"/>
    </row>
    <row r="56" spans="1:10" ht="24.95" customHeight="1">
      <c r="A56" s="686" t="s">
        <v>783</v>
      </c>
      <c r="B56" s="680">
        <v>792126</v>
      </c>
      <c r="C56" s="938">
        <v>1</v>
      </c>
      <c r="D56" s="939"/>
      <c r="E56" s="938">
        <v>8</v>
      </c>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992126</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785</v>
      </c>
      <c r="B64" s="1158">
        <v>500</v>
      </c>
      <c r="C64" s="936">
        <v>3</v>
      </c>
      <c r="D64" s="937"/>
      <c r="E64" s="936">
        <v>1</v>
      </c>
      <c r="F64" s="937"/>
    </row>
    <row r="65" spans="1:6" ht="24.95" customHeight="1">
      <c r="A65" s="686" t="s">
        <v>784</v>
      </c>
      <c r="B65" s="680">
        <v>48500</v>
      </c>
      <c r="C65" s="938">
        <v>3</v>
      </c>
      <c r="D65" s="939"/>
      <c r="E65" s="938">
        <v>1</v>
      </c>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49000</v>
      </c>
      <c r="C70" s="946"/>
      <c r="D70" s="947"/>
      <c r="E70" s="946"/>
      <c r="F70" s="947"/>
    </row>
    <row r="71" spans="1:6" ht="24.95" customHeight="1" thickBot="1">
      <c r="A71" s="280" t="s">
        <v>256</v>
      </c>
      <c r="B71" s="281">
        <f>+B70+B61</f>
        <v>1041126</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Indian River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733</v>
      </c>
      <c r="C28" s="410" t="s">
        <v>734</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Indian River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759</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3458831</v>
      </c>
    </row>
    <row r="13" spans="1:8" ht="20.100000000000001" customHeight="1">
      <c r="A13" s="478" t="s">
        <v>193</v>
      </c>
      <c r="B13" s="176"/>
      <c r="C13" s="169" t="s">
        <v>125</v>
      </c>
      <c r="D13" s="176"/>
      <c r="E13" s="176"/>
      <c r="F13" s="180" t="s">
        <v>220</v>
      </c>
      <c r="G13" s="1149">
        <f>+'EXHIBIT C'!H11+'EXHIBIT C(2)'!E14</f>
        <v>11785114</v>
      </c>
    </row>
    <row r="14" spans="1:8" ht="20.100000000000001" customHeight="1">
      <c r="A14" s="478" t="s">
        <v>193</v>
      </c>
      <c r="B14" s="176"/>
      <c r="C14" s="176" t="s">
        <v>126</v>
      </c>
      <c r="D14" s="176"/>
      <c r="E14" s="176"/>
      <c r="F14" s="180" t="s">
        <v>221</v>
      </c>
      <c r="G14" s="1150">
        <f>+'EXHIBIT C'!H12+'EXHIBIT C(2)'!E15</f>
        <v>5422717</v>
      </c>
    </row>
    <row r="15" spans="1:8" ht="20.100000000000001" customHeight="1">
      <c r="A15" s="478" t="s">
        <v>193</v>
      </c>
      <c r="B15" s="176"/>
      <c r="C15" s="181" t="s">
        <v>273</v>
      </c>
      <c r="D15" s="176"/>
      <c r="E15" s="176"/>
      <c r="F15" s="180" t="s">
        <v>222</v>
      </c>
      <c r="G15" s="1150">
        <f>+'EXHIBIT C'!H13+'EXHIBIT C(2)'!E16</f>
        <v>1156968</v>
      </c>
    </row>
    <row r="16" spans="1:8" ht="20.100000000000001" customHeight="1">
      <c r="A16" s="478" t="s">
        <v>193</v>
      </c>
      <c r="B16" s="176"/>
      <c r="C16" s="181" t="s">
        <v>274</v>
      </c>
      <c r="D16" s="176"/>
      <c r="E16" s="176"/>
      <c r="F16" s="180" t="s">
        <v>223</v>
      </c>
      <c r="G16" s="182">
        <f>+'EXHIBIT C'!H14+'EXHIBIT C(2)'!E17</f>
        <v>126119</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21949749</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117583</v>
      </c>
    </row>
    <row r="22" spans="1:7" ht="20.100000000000001" customHeight="1">
      <c r="A22" s="478" t="s">
        <v>208</v>
      </c>
      <c r="B22" s="176"/>
      <c r="C22" s="169" t="s">
        <v>125</v>
      </c>
      <c r="D22" s="176"/>
      <c r="E22" s="176"/>
      <c r="F22" s="180" t="s">
        <v>227</v>
      </c>
      <c r="G22" s="1151">
        <f>+'EXHIBIT C'!F20+'EXHIBIT C(2)'!E23</f>
        <v>814469</v>
      </c>
    </row>
    <row r="23" spans="1:7" ht="20.100000000000001" customHeight="1">
      <c r="A23" s="478" t="s">
        <v>208</v>
      </c>
      <c r="B23" s="176"/>
      <c r="C23" s="176" t="s">
        <v>126</v>
      </c>
      <c r="D23" s="176"/>
      <c r="E23" s="176"/>
      <c r="F23" s="180" t="s">
        <v>228</v>
      </c>
      <c r="G23" s="1152">
        <f>+'EXHIBIT C'!F21+'EXHIBIT C(2)'!E24</f>
        <v>332028</v>
      </c>
    </row>
    <row r="24" spans="1:7" ht="20.100000000000001" customHeight="1">
      <c r="A24" s="478" t="s">
        <v>208</v>
      </c>
      <c r="B24" s="176"/>
      <c r="C24" s="181" t="s">
        <v>273</v>
      </c>
      <c r="D24" s="176"/>
      <c r="E24" s="176"/>
      <c r="F24" s="180" t="s">
        <v>229</v>
      </c>
      <c r="G24" s="1152">
        <f>+'EXHIBIT C'!F22+'EXHIBIT C(2)'!E25</f>
        <v>101088</v>
      </c>
    </row>
    <row r="25" spans="1:7" ht="20.100000000000001" customHeight="1">
      <c r="A25" s="478" t="s">
        <v>208</v>
      </c>
      <c r="B25" s="176"/>
      <c r="C25" s="181" t="s">
        <v>274</v>
      </c>
      <c r="D25" s="176"/>
      <c r="E25" s="176"/>
      <c r="F25" s="180" t="s">
        <v>230</v>
      </c>
      <c r="G25" s="1152">
        <f>+'EXHIBIT C'!F23+'EXHIBIT C(2)'!E26</f>
        <v>19502</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733</v>
      </c>
      <c r="D27" s="176"/>
      <c r="E27" s="176"/>
      <c r="F27" s="179" t="s">
        <v>734</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1384670</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117600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117600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23452019</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20184</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0</v>
      </c>
    </row>
    <row r="51" spans="1:7" ht="20.100000000000001" customHeight="1">
      <c r="A51" s="478" t="s">
        <v>772</v>
      </c>
      <c r="B51" s="176"/>
      <c r="C51" s="176"/>
      <c r="D51" s="176"/>
      <c r="E51" s="176"/>
      <c r="F51" s="195">
        <v>40280</v>
      </c>
      <c r="G51" s="1153">
        <v>0</v>
      </c>
    </row>
    <row r="52" spans="1:7" ht="20.100000000000001" customHeight="1">
      <c r="A52" s="478" t="s">
        <v>292</v>
      </c>
      <c r="B52" s="176"/>
      <c r="C52" s="176"/>
      <c r="D52" s="176"/>
      <c r="E52" s="176"/>
      <c r="F52" s="180" t="s">
        <v>293</v>
      </c>
      <c r="G52" s="1153">
        <v>1430337</v>
      </c>
    </row>
    <row r="53" spans="1:7" ht="20.100000000000001" customHeight="1">
      <c r="A53" s="478" t="s">
        <v>294</v>
      </c>
      <c r="B53" s="176"/>
      <c r="C53" s="176"/>
      <c r="D53" s="176"/>
      <c r="E53" s="176"/>
      <c r="F53" s="179">
        <v>40450</v>
      </c>
      <c r="G53" s="1153">
        <v>1166905</v>
      </c>
    </row>
    <row r="54" spans="1:7" ht="20.100000000000001" customHeight="1">
      <c r="A54" s="478" t="s">
        <v>295</v>
      </c>
      <c r="B54" s="176"/>
      <c r="C54" s="176"/>
      <c r="D54" s="176"/>
      <c r="E54" s="176"/>
      <c r="F54" s="180" t="s">
        <v>296</v>
      </c>
      <c r="G54" s="1153">
        <v>275940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1037629</v>
      </c>
    </row>
    <row r="61" spans="1:7" ht="20.100000000000001" customHeight="1">
      <c r="A61" s="478" t="s">
        <v>309</v>
      </c>
      <c r="B61" s="176"/>
      <c r="C61" s="176"/>
      <c r="D61" s="176"/>
      <c r="E61" s="176"/>
      <c r="F61" s="180" t="s">
        <v>310</v>
      </c>
      <c r="G61" s="1153">
        <v>155000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27538014</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1973272</v>
      </c>
    </row>
    <row r="71" spans="1:7" ht="20.100000000000001" customHeight="1">
      <c r="A71" s="478" t="s">
        <v>321</v>
      </c>
      <c r="B71" s="176"/>
      <c r="C71" s="176"/>
      <c r="D71" s="176"/>
      <c r="E71" s="176"/>
      <c r="F71" s="180" t="s">
        <v>322</v>
      </c>
      <c r="G71" s="1153">
        <v>1498</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1974770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49338008.875280872</v>
      </c>
    </row>
    <row r="78" spans="1:7" ht="20.100000000000001" customHeight="1">
      <c r="A78" s="478" t="s">
        <v>687</v>
      </c>
      <c r="B78" s="176"/>
      <c r="C78" s="176"/>
      <c r="D78" s="176"/>
      <c r="E78" s="176"/>
      <c r="F78" s="179">
        <v>42130</v>
      </c>
      <c r="G78" s="1155">
        <v>1644383</v>
      </c>
    </row>
    <row r="79" spans="1:7" ht="20.100000000000001" customHeight="1">
      <c r="A79" s="480" t="s">
        <v>327</v>
      </c>
      <c r="B79" s="481"/>
      <c r="C79" s="481"/>
      <c r="D79" s="481"/>
      <c r="E79" s="481"/>
      <c r="F79" s="191" t="s">
        <v>328</v>
      </c>
      <c r="G79" s="1153">
        <v>861594</v>
      </c>
    </row>
    <row r="80" spans="1:7" ht="20.100000000000001" customHeight="1">
      <c r="A80" s="478" t="s">
        <v>329</v>
      </c>
      <c r="B80" s="176"/>
      <c r="C80" s="176"/>
      <c r="D80" s="176"/>
      <c r="E80" s="176"/>
      <c r="F80" s="180" t="s">
        <v>330</v>
      </c>
      <c r="G80" s="1155">
        <v>8000</v>
      </c>
    </row>
    <row r="81" spans="1:10" ht="20.100000000000001" customHeight="1">
      <c r="A81" s="478" t="s">
        <v>705</v>
      </c>
      <c r="B81" s="176"/>
      <c r="C81" s="176"/>
      <c r="D81" s="176"/>
      <c r="E81" s="176"/>
      <c r="F81" s="180" t="s">
        <v>331</v>
      </c>
      <c r="G81" s="1155">
        <v>675000</v>
      </c>
    </row>
    <row r="82" spans="1:10" ht="20.100000000000001" customHeight="1">
      <c r="A82" s="478" t="s">
        <v>332</v>
      </c>
      <c r="B82" s="176"/>
      <c r="C82" s="176"/>
      <c r="D82" s="176"/>
      <c r="E82" s="176"/>
      <c r="F82" s="180" t="s">
        <v>333</v>
      </c>
      <c r="G82" s="1154">
        <f>'CHECK SHEET'!D86</f>
        <v>10681339.124719128</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292461</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63500786</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32845</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715784</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748629</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2500000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2500000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245000</v>
      </c>
    </row>
    <row r="112" spans="1:7" ht="20.100000000000001" customHeight="1">
      <c r="A112" s="478" t="s">
        <v>361</v>
      </c>
      <c r="B112" s="176"/>
      <c r="C112" s="176"/>
      <c r="D112" s="176"/>
      <c r="E112" s="176"/>
      <c r="F112" s="180" t="s">
        <v>362</v>
      </c>
      <c r="G112" s="432">
        <v>1000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246000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899500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7500</v>
      </c>
    </row>
    <row r="127" spans="1:7" ht="20.100000000000001" customHeight="1">
      <c r="A127" s="478" t="s">
        <v>378</v>
      </c>
      <c r="B127" s="176"/>
      <c r="C127" s="176"/>
      <c r="D127" s="176"/>
      <c r="E127" s="176"/>
      <c r="F127" s="180" t="s">
        <v>379</v>
      </c>
      <c r="G127" s="432">
        <v>1280000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2187000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689</v>
      </c>
      <c r="B134" s="176"/>
      <c r="C134" s="176"/>
      <c r="D134" s="487"/>
      <c r="E134" s="187"/>
      <c r="F134" s="1127">
        <v>49200</v>
      </c>
      <c r="G134" s="432">
        <v>49000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682</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49000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98744199</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2389434</v>
      </c>
    </row>
    <row r="148" spans="1:7" ht="20.100000000000001" customHeight="1">
      <c r="A148" s="478" t="s">
        <v>396</v>
      </c>
      <c r="F148" s="180" t="s">
        <v>397</v>
      </c>
      <c r="G148" s="434">
        <v>1747606</v>
      </c>
    </row>
    <row r="149" spans="1:7" ht="20.100000000000001" customHeight="1">
      <c r="A149" s="478" t="s">
        <v>398</v>
      </c>
      <c r="F149" s="180" t="s">
        <v>399</v>
      </c>
      <c r="G149" s="434">
        <v>2182740</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19772468</v>
      </c>
    </row>
    <row r="153" spans="1:7" ht="20.100000000000001" customHeight="1">
      <c r="A153" s="478" t="s">
        <v>406</v>
      </c>
      <c r="B153" s="176"/>
      <c r="C153" s="176"/>
      <c r="D153" s="176"/>
      <c r="E153" s="176"/>
      <c r="F153" s="180" t="s">
        <v>407</v>
      </c>
      <c r="G153" s="434">
        <v>1030138</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0</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6988667</v>
      </c>
    </row>
    <row r="166" spans="1:7" ht="20.100000000000001" customHeight="1">
      <c r="A166" s="478" t="s">
        <v>431</v>
      </c>
      <c r="B166" s="176"/>
      <c r="C166" s="176"/>
      <c r="D166" s="176"/>
      <c r="E166" s="176"/>
      <c r="F166" s="180" t="s">
        <v>432</v>
      </c>
      <c r="G166" s="434">
        <v>776573</v>
      </c>
    </row>
    <row r="167" spans="1:7" ht="20.100000000000001" customHeight="1">
      <c r="A167" s="478" t="s">
        <v>433</v>
      </c>
      <c r="B167" s="176"/>
      <c r="C167" s="176"/>
      <c r="D167" s="176"/>
      <c r="E167" s="176"/>
      <c r="F167" s="180" t="s">
        <v>434</v>
      </c>
      <c r="G167" s="434">
        <v>13995200</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1680991</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3749518</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110000</v>
      </c>
    </row>
    <row r="178" spans="1:7" ht="20.100000000000001" customHeight="1">
      <c r="A178" s="478" t="s">
        <v>452</v>
      </c>
      <c r="B178" s="176"/>
      <c r="C178" s="176"/>
      <c r="D178" s="176"/>
      <c r="E178" s="176"/>
      <c r="F178" s="180" t="s">
        <v>453</v>
      </c>
      <c r="G178" s="434">
        <v>1535877</v>
      </c>
    </row>
    <row r="179" spans="1:7" ht="20.100000000000001" customHeight="1">
      <c r="A179" s="478" t="s">
        <v>454</v>
      </c>
      <c r="B179" s="176"/>
      <c r="C179" s="176"/>
      <c r="D179" s="176"/>
      <c r="E179" s="176"/>
      <c r="F179" s="180" t="s">
        <v>455</v>
      </c>
      <c r="G179" s="434">
        <v>92700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94050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3995738</v>
      </c>
    </row>
    <row r="185" spans="1:7" ht="20.100000000000001" customHeight="1">
      <c r="A185" s="478" t="s">
        <v>466</v>
      </c>
      <c r="B185" s="176"/>
      <c r="C185" s="176"/>
      <c r="D185" s="176"/>
      <c r="E185" s="176"/>
      <c r="F185" s="180" t="s">
        <v>467</v>
      </c>
      <c r="G185" s="434">
        <v>7507381</v>
      </c>
    </row>
    <row r="186" spans="1:7" ht="20.100000000000001" customHeight="1">
      <c r="A186" s="478" t="s">
        <v>468</v>
      </c>
      <c r="B186" s="176"/>
      <c r="C186" s="176"/>
      <c r="D186" s="176"/>
      <c r="E186" s="176"/>
      <c r="F186" s="180" t="s">
        <v>469</v>
      </c>
      <c r="G186" s="434">
        <v>1200000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10626364</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200000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79675445</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448517</v>
      </c>
    </row>
    <row r="199" spans="1:7" ht="20.100000000000001" customHeight="1">
      <c r="A199" s="478" t="s">
        <v>485</v>
      </c>
      <c r="B199" s="176"/>
      <c r="C199" s="176"/>
      <c r="D199" s="176"/>
      <c r="E199" s="176"/>
      <c r="F199" s="180" t="s">
        <v>486</v>
      </c>
      <c r="G199" s="434">
        <v>96165</v>
      </c>
    </row>
    <row r="200" spans="1:7" ht="20.100000000000001" customHeight="1">
      <c r="A200" s="478" t="s">
        <v>487</v>
      </c>
      <c r="B200" s="176"/>
      <c r="C200" s="176"/>
      <c r="D200" s="176"/>
      <c r="E200" s="176"/>
      <c r="F200" s="180" t="s">
        <v>488</v>
      </c>
      <c r="G200" s="434">
        <v>700000</v>
      </c>
    </row>
    <row r="201" spans="1:7" ht="20.100000000000001" customHeight="1">
      <c r="A201" s="478" t="s">
        <v>489</v>
      </c>
      <c r="B201" s="176"/>
      <c r="C201" s="176"/>
      <c r="D201" s="176"/>
      <c r="E201" s="176"/>
      <c r="F201" s="180" t="s">
        <v>490</v>
      </c>
      <c r="G201" s="434">
        <v>266523</v>
      </c>
    </row>
    <row r="202" spans="1:7" ht="20.100000000000001" customHeight="1">
      <c r="A202" s="478" t="s">
        <v>491</v>
      </c>
      <c r="B202" s="176"/>
      <c r="C202" s="176"/>
      <c r="D202" s="176"/>
      <c r="E202" s="176"/>
      <c r="F202" s="180" t="s">
        <v>492</v>
      </c>
      <c r="G202" s="434">
        <v>949353</v>
      </c>
    </row>
    <row r="203" spans="1:7" ht="20.100000000000001" customHeight="1">
      <c r="A203" s="478" t="s">
        <v>493</v>
      </c>
      <c r="B203" s="176"/>
      <c r="C203" s="176"/>
      <c r="D203" s="176"/>
      <c r="E203" s="176"/>
      <c r="F203" s="180" t="s">
        <v>494</v>
      </c>
      <c r="G203" s="434">
        <v>51213</v>
      </c>
    </row>
    <row r="204" spans="1:7" ht="20.100000000000001" customHeight="1">
      <c r="A204" s="478" t="s">
        <v>681</v>
      </c>
      <c r="B204" s="176"/>
      <c r="C204" s="176"/>
      <c r="D204" s="176"/>
      <c r="E204" s="176"/>
      <c r="F204" s="972">
        <v>63100</v>
      </c>
      <c r="G204" s="434">
        <v>0</v>
      </c>
    </row>
    <row r="205" spans="1:7" ht="20.100000000000001" customHeight="1">
      <c r="A205" s="478" t="s">
        <v>495</v>
      </c>
      <c r="B205" s="176"/>
      <c r="C205" s="176"/>
      <c r="D205" s="176"/>
      <c r="E205" s="176"/>
      <c r="F205" s="180" t="s">
        <v>496</v>
      </c>
      <c r="G205" s="434">
        <v>3027186</v>
      </c>
    </row>
    <row r="206" spans="1:7" ht="20.100000000000001" customHeight="1">
      <c r="A206" s="478" t="s">
        <v>497</v>
      </c>
      <c r="B206" s="176"/>
      <c r="C206" s="176"/>
      <c r="D206" s="176"/>
      <c r="E206" s="176"/>
      <c r="F206" s="180" t="s">
        <v>498</v>
      </c>
      <c r="G206" s="434">
        <v>4356766</v>
      </c>
    </row>
    <row r="207" spans="1:7" ht="20.100000000000001" customHeight="1">
      <c r="A207" s="478" t="s">
        <v>499</v>
      </c>
      <c r="B207" s="176"/>
      <c r="C207" s="176"/>
      <c r="D207" s="176"/>
      <c r="E207" s="176"/>
      <c r="F207" s="180" t="s">
        <v>500</v>
      </c>
      <c r="G207" s="434">
        <v>3062227</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1639730</v>
      </c>
    </row>
    <row r="211" spans="1:9" ht="20.100000000000001" customHeight="1">
      <c r="A211" s="478" t="s">
        <v>506</v>
      </c>
      <c r="B211" s="176"/>
      <c r="C211" s="176"/>
      <c r="D211" s="176"/>
      <c r="E211" s="176"/>
      <c r="F211" s="180" t="s">
        <v>507</v>
      </c>
      <c r="G211" s="434">
        <v>761358</v>
      </c>
    </row>
    <row r="212" spans="1:9" ht="20.100000000000001" customHeight="1">
      <c r="A212" s="478" t="s">
        <v>508</v>
      </c>
      <c r="F212" s="195" t="s">
        <v>509</v>
      </c>
      <c r="G212" s="434">
        <v>1586124</v>
      </c>
    </row>
    <row r="213" spans="1:9" ht="20.100000000000001" customHeight="1">
      <c r="A213" s="478" t="s">
        <v>510</v>
      </c>
      <c r="B213" s="176"/>
      <c r="C213" s="176"/>
      <c r="D213" s="176"/>
      <c r="E213" s="176"/>
      <c r="F213" s="180" t="s">
        <v>511</v>
      </c>
      <c r="G213" s="434">
        <v>759593</v>
      </c>
    </row>
    <row r="214" spans="1:9" ht="20.100000000000001" customHeight="1">
      <c r="A214" s="478" t="s">
        <v>512</v>
      </c>
      <c r="B214" s="176"/>
      <c r="C214" s="176"/>
      <c r="D214" s="176"/>
      <c r="E214" s="176"/>
      <c r="F214" s="180" t="s">
        <v>513</v>
      </c>
      <c r="G214" s="434">
        <v>313752</v>
      </c>
    </row>
    <row r="215" spans="1:9" ht="20.100000000000001" customHeight="1">
      <c r="A215" s="478" t="s">
        <v>514</v>
      </c>
      <c r="B215" s="176"/>
      <c r="C215" s="176"/>
      <c r="D215" s="176"/>
      <c r="E215" s="176"/>
      <c r="F215" s="180" t="s">
        <v>515</v>
      </c>
      <c r="G215" s="434">
        <v>102419</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410000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690</v>
      </c>
      <c r="B222" s="176"/>
      <c r="C222" s="176"/>
      <c r="D222" s="201"/>
      <c r="E222" s="176"/>
      <c r="F222" s="1059">
        <v>69100</v>
      </c>
      <c r="G222" s="434">
        <v>792126</v>
      </c>
    </row>
    <row r="223" spans="1:9" ht="20.100000000000001" customHeight="1">
      <c r="A223" s="489" t="s">
        <v>691</v>
      </c>
      <c r="B223" s="202"/>
      <c r="C223" s="202"/>
      <c r="D223" s="203"/>
      <c r="E223" s="202"/>
      <c r="F223" s="1058">
        <v>69200</v>
      </c>
      <c r="G223" s="434">
        <v>200000</v>
      </c>
    </row>
    <row r="224" spans="1:9" ht="20.100000000000001" customHeight="1">
      <c r="A224" s="478" t="s">
        <v>528</v>
      </c>
      <c r="B224" s="176"/>
      <c r="C224" s="176"/>
      <c r="D224" s="176"/>
      <c r="E224" s="176"/>
      <c r="F224" s="180" t="s">
        <v>529</v>
      </c>
      <c r="G224" s="434">
        <v>32000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100000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19655052</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57400</v>
      </c>
    </row>
    <row r="234" spans="1:7" ht="20.100000000000001" customHeight="1">
      <c r="A234" s="478" t="s">
        <v>539</v>
      </c>
      <c r="B234" s="176"/>
      <c r="C234" s="176"/>
      <c r="D234" s="176"/>
      <c r="E234" s="176"/>
      <c r="F234" s="180" t="s">
        <v>540</v>
      </c>
      <c r="G234" s="434">
        <v>106969</v>
      </c>
    </row>
    <row r="235" spans="1:7" ht="20.100000000000001" customHeight="1">
      <c r="A235" s="478" t="s">
        <v>541</v>
      </c>
      <c r="B235" s="176"/>
      <c r="C235" s="176"/>
      <c r="D235" s="176"/>
      <c r="E235" s="176"/>
      <c r="F235" s="1015" t="s">
        <v>542</v>
      </c>
      <c r="G235" s="434">
        <v>3237676</v>
      </c>
    </row>
    <row r="236" spans="1:7" ht="20.100000000000001" customHeight="1">
      <c r="A236" s="478" t="s">
        <v>769</v>
      </c>
      <c r="B236" s="176"/>
      <c r="C236" s="176"/>
      <c r="D236" s="176"/>
      <c r="E236" s="176"/>
      <c r="F236" s="195">
        <v>73001</v>
      </c>
      <c r="G236" s="434">
        <v>0</v>
      </c>
    </row>
    <row r="237" spans="1:7" ht="20.100000000000001" customHeight="1">
      <c r="A237" s="478" t="s">
        <v>683</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770</v>
      </c>
      <c r="B239" s="176"/>
      <c r="C239" s="176"/>
      <c r="D239" s="176"/>
      <c r="E239" s="176"/>
      <c r="F239" s="195">
        <v>73100</v>
      </c>
      <c r="G239" s="434">
        <v>183312</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100000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3685357</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103015854</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6822814</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6822814</v>
      </c>
    </row>
    <row r="263" spans="1:12" ht="20.100000000000001" customHeight="1">
      <c r="A263" s="479"/>
      <c r="B263" s="176"/>
      <c r="C263" s="176"/>
      <c r="D263" s="176"/>
      <c r="E263" s="176"/>
      <c r="F263" s="189"/>
      <c r="G263" s="205"/>
    </row>
    <row r="264" spans="1:12" ht="20.100000000000001" customHeight="1" thickBot="1">
      <c r="A264" s="490" t="s">
        <v>760</v>
      </c>
      <c r="F264" s="195">
        <v>30800</v>
      </c>
      <c r="G264" s="1156">
        <v>-64374537</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-57551723</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3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5:H245 B244:F244 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www.w3.org/XML/1998/namespace"/>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ee822479-6e51-4d14-b6b0-2c589e913e66"/>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2025-06-05T15:41:42Z</cp:lastPrinted>
  <dcterms:created xsi:type="dcterms:W3CDTF">2005-03-22T15:46:43Z</dcterms:created>
  <dcterms:modified xsi:type="dcterms:W3CDTF">2025-08-06T15:16:49Z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