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C52B2A81-CC66-4A3E-A134-040F0D064B76}" xr6:coauthVersionLast="47" xr6:coauthVersionMax="47" xr10:uidLastSave="{00000000-0000-0000-0000-000000000000}"/>
  <workbookProtection workbookAlgorithmName="SHA-512" workbookHashValue="WGWqauwxJr9+amGvvm5Pb40czqZHmNNoPBzghCLf3B/8BEes1RebgLDr6YZoEHff9a6rCHRVG486X4LpQc+xeg==" workbookSaltValue="HF03Bx73hrUyGs8KOypihQ==" workbookSpinCount="100000" lockStructure="1"/>
  <bookViews>
    <workbookView xWindow="16080" yWindow="-120" windowWidth="29040" windowHeight="15720" firstSheet="4" activeTab="4" xr2:uid="{04DC195D-1135-4F77-87AC-DEF4BB00F4AC}"/>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23" l="1"/>
  <c r="E30" i="12"/>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s="1"/>
  <c r="G19" i="5"/>
  <c r="H19" i="5" s="1"/>
  <c r="G22" i="5"/>
  <c r="H22" i="5" s="1"/>
  <c r="G23" i="5"/>
  <c r="H23" i="5" s="1"/>
  <c r="E20" i="12"/>
  <c r="E31" i="12" s="1"/>
  <c r="G194"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2" i="7"/>
  <c r="G266" i="7" s="1"/>
  <c r="C102" i="3" s="1"/>
  <c r="E14" i="8"/>
  <c r="G228" i="7"/>
  <c r="X137" i="23"/>
  <c r="D17" i="6"/>
  <c r="F12" i="6"/>
  <c r="F11" i="6"/>
  <c r="E45" i="3" s="1"/>
  <c r="F14" i="6"/>
  <c r="F15" i="6"/>
  <c r="E49" i="3" s="1"/>
  <c r="F10" i="6"/>
  <c r="E44" i="3" s="1"/>
  <c r="E47" i="3"/>
  <c r="H36" i="6" l="1"/>
  <c r="G34" i="7" s="1"/>
  <c r="H11" i="6"/>
  <c r="G13" i="7" s="1"/>
  <c r="H30" i="5"/>
  <c r="I30" i="5" s="1"/>
  <c r="H34" i="6"/>
  <c r="G32" i="7" s="1"/>
  <c r="C93" i="3"/>
  <c r="E60" i="22"/>
  <c r="E67" i="22"/>
  <c r="E70" i="22" s="1"/>
  <c r="E62" i="22"/>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D61" i="22"/>
  <c r="H29" i="5"/>
  <c r="I29" i="5" s="1"/>
  <c r="H10" i="6"/>
  <c r="D62" i="22"/>
  <c r="F17" i="6"/>
  <c r="E50" i="3" s="1"/>
  <c r="B71" i="6"/>
  <c r="E21" i="8"/>
  <c r="C77" i="3"/>
  <c r="E65" i="3"/>
  <c r="G77" i="7"/>
  <c r="G86" i="7" s="1"/>
  <c r="D88" i="3"/>
  <c r="F110" i="15"/>
  <c r="G248" i="7"/>
  <c r="C94" i="3"/>
  <c r="C103"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8" i="3" l="1"/>
  <c r="G48" i="3" s="1"/>
  <c r="E69" i="22"/>
  <c r="F46" i="3"/>
  <c r="G46" i="3" s="1"/>
  <c r="E68" i="22"/>
  <c r="G36" i="7"/>
  <c r="H37" i="6"/>
  <c r="H45" i="6" s="1"/>
  <c r="G38" i="7"/>
  <c r="G43" i="7" s="1"/>
  <c r="H17" i="6"/>
  <c r="H28" i="6" s="1"/>
  <c r="E25" i="4"/>
  <c r="E28" i="4" s="1"/>
  <c r="D68" i="22"/>
  <c r="D69" i="22"/>
  <c r="D70" i="22"/>
  <c r="G12" i="7"/>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G19" i="7" l="1"/>
  <c r="G45" i="7" s="1"/>
  <c r="G65" i="7" s="1"/>
  <c r="H47" i="6"/>
  <c r="C126" i="3"/>
  <c r="F117" i="15"/>
  <c r="F128" i="15" s="1"/>
  <c r="C119" i="3"/>
  <c r="F84" i="3"/>
  <c r="F88" i="3" s="1"/>
  <c r="G143" i="7" l="1"/>
  <c r="E18" i="4" s="1"/>
  <c r="E21" i="4" s="1"/>
  <c r="E23" i="4" s="1"/>
  <c r="E44" i="4" s="1"/>
  <c r="C17" i="3" s="1"/>
  <c r="C34" i="3"/>
  <c r="F130" i="15"/>
  <c r="C135" i="3"/>
  <c r="D32" i="4" l="1"/>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tc={1573C462-A6EE-412E-B984-A59AA7179AE5}</author>
  </authors>
  <commentList>
    <comment ref="E10" authorId="0" shapeId="0" xr:uid="{1573C462-A6EE-412E-B984-A59AA7179AE5}">
      <text>
        <t>[Threaded comment]
Your version of Excel allows you to read this threaded comment; however, any edits to it will get removed if the file is opened in a newer version of Excel. Learn more: https://go.microsoft.com/fwlink/?linkid=870924
Comment:
    Use W C section of Andrea Gibson File Credit Hour Estimates 2526</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<sst xmlns="http://schemas.openxmlformats.org/spreadsheetml/2006/main" count="1299" uniqueCount="785">
  <si>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</si>
  <si>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</si>
  <si>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</si>
  <si>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</si>
  <si>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</si>
  <si>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</si>
  <si>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</si>
  <si>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</si>
  <si>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</si>
  <si>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</si>
  <si>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</si>
  <si>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</si>
  <si>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</si>
  <si>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</si>
  <si>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</si>
  <si>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</si>
  <si>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</si>
  <si>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</si>
  <si>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</si>
  <si>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</si>
  <si>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</si>
  <si>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</si>
  <si>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</si>
  <si>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</si>
  <si>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</si>
  <si>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</si>
  <si>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</si>
  <si>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</si>
  <si>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</si>
  <si>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</si>
  <si>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</si>
  <si>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</si>
  <si>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</si>
  <si>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</si>
  <si>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</si>
  <si>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</si>
  <si>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</si>
  <si>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</si>
  <si>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</si>
  <si>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</si>
  <si>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</si>
  <si>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</si>
  <si>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</si>
  <si>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</si>
  <si>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</si>
  <si>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</si>
  <si>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</si>
  <si>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</si>
  <si>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</si>
  <si>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</si>
  <si>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</si>
  <si>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</si>
  <si>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</si>
  <si>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</si>
  <si>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</si>
  <si>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</si>
  <si>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</si>
  <si>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</si>
  <si>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</si>
  <si>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</si>
  <si>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</si>
  <si>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</si>
  <si>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</si>
  <si>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</si>
  <si>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</si>
  <si>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</si>
  <si>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</si>
  <si>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</si>
  <si>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</si>
  <si>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</si>
  <si>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</si>
  <si>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</si>
  <si>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</si>
  <si>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</si>
  <si>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</si>
  <si>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</si>
  <si>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</si>
  <si>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</si>
  <si>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</si>
  <si>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</si>
  <si>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</si>
  <si>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</si>
  <si>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</si>
  <si>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</si>
  <si>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</si>
  <si>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</si>
  <si>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</si>
  <si>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</si>
  <si>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</si>
  <si>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</si>
  <si>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</si>
  <si>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</si>
  <si>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</si>
  <si>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</si>
  <si>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</si>
  <si>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</si>
  <si>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</si>
  <si>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</si>
  <si>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</si>
  <si>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</si>
  <si>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</si>
  <si>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</si>
  <si>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</si>
  <si>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</si>
  <si>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</si>
  <si>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</si>
  <si>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</si>
  <si>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</si>
  <si>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</si>
  <si>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</si>
  <si>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</si>
  <si>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</si>
  <si>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</si>
  <si>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</si>
  <si>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</si>
  <si>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</si>
  <si>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</si>
  <si>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</si>
  <si>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</si>
  <si>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</si>
  <si>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</si>
  <si>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</si>
  <si>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</si>
  <si>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</si>
  <si>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</si>
  <si>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</si>
  <si>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</si>
  <si>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</si>
  <si>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</si>
  <si>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</si>
  <si>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</si>
  <si>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</si>
  <si>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</si>
  <si>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</si>
  <si>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</si>
  <si>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</si>
  <si>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</si>
  <si>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</si>
  <si>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</si>
  <si>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</si>
  <si>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</si>
  <si>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</si>
  <si>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</si>
  <si>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</si>
  <si>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</si>
  <si>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</si>
  <si>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</si>
  <si>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</si>
  <si>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</si>
  <si>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</si>
  <si>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</si>
  <si>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</si>
  <si>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</si>
  <si>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</si>
  <si>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</si>
  <si>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</si>
  <si>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</si>
  <si>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</si>
  <si>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</si>
  <si>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</si>
  <si>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</si>
  <si>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</si>
  <si>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</si>
  <si>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</si>
  <si>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</si>
  <si>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</si>
  <si>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</si>
  <si>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</si>
  <si>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</si>
  <si>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</si>
  <si>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</si>
  <si>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</si>
  <si>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</si>
  <si>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</si>
  <si>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</si>
  <si>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</si>
  <si>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</si>
  <si>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</si>
  <si>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</si>
  <si>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</si>
  <si>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</si>
  <si>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</si>
  <si>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</si>
  <si>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</si>
  <si>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</si>
  <si>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</si>
  <si>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</si>
  <si>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</si>
  <si>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</si>
  <si>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</si>
  <si>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</si>
  <si>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</si>
  <si>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</si>
  <si>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</si>
  <si>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</si>
  <si>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</si>
  <si>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</si>
  <si>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</si>
  <si>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</si>
  <si>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</si>
  <si>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</si>
  <si>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</si>
  <si>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</si>
  <si>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</si>
  <si>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</si>
  <si>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</si>
  <si>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</si>
  <si>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</si>
  <si>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</si>
  <si>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</si>
  <si>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</si>
  <si>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</si>
  <si>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</si>
  <si>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</si>
  <si>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</si>
  <si>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</si>
  <si>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</si>
  <si>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</si>
  <si>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</si>
  <si>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</si>
  <si>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</si>
  <si>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</si>
  <si>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</si>
  <si>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</si>
  <si>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</si>
  <si>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</si>
  <si>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</si>
  <si>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</si>
  <si>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</si>
  <si>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</si>
  <si>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</si>
  <si>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</si>
  <si>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</si>
  <si>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</si>
  <si>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</si>
  <si>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</si>
  <si>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</si>
  <si>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</si>
  <si>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</si>
  <si>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</si>
  <si>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</si>
  <si>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</si>
  <si>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</si>
  <si>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</si>
  <si>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</si>
  <si>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</si>
  <si>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</si>
  <si>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</si>
  <si>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</si>
  <si>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</si>
  <si>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</si>
  <si>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</si>
  <si>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</si>
  <si>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</si>
  <si>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</si>
  <si>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</si>
  <si>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</si>
  <si>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</si>
  <si>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</si>
  <si>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</si>
  <si>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</si>
  <si>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</si>
  <si>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</si>
  <si>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</si>
  <si>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</si>
  <si>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</si>
  <si>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</si>
  <si>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</si>
  <si>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</si>
  <si>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</si>
  <si>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</si>
  <si>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</si>
  <si>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</si>
  <si>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</si>
  <si>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</si>
  <si>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</si>
  <si>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</si>
  <si>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</si>
  <si>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</si>
  <si>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</si>
  <si>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</si>
  <si>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</si>
  <si>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</si>
  <si>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</si>
  <si>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</si>
  <si>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</si>
  <si>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</si>
  <si>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</si>
  <si>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</si>
  <si>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</si>
  <si>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</si>
  <si>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</si>
  <si>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</si>
  <si>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</si>
  <si>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</si>
  <si>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</si>
  <si>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</si>
  <si>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</si>
  <si>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</si>
  <si>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</si>
  <si>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</si>
  <si>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</si>
  <si>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</si>
  <si>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</si>
  <si>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</si>
  <si>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</si>
  <si>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</si>
  <si>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</si>
  <si>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</si>
  <si>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</si>
  <si>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</si>
  <si>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</si>
  <si>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</si>
  <si>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</si>
  <si>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</si>
  <si>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</si>
  <si>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</si>
  <si>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</si>
  <si>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</si>
  <si>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</si>
  <si>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</si>
  <si>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</si>
  <si>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</si>
  <si>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</si>
  <si>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</si>
  <si>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</si>
  <si>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</si>
  <si>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</si>
  <si>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</si>
  <si>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</si>
  <si>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</si>
  <si>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</si>
  <si>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</si>
  <si>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</si>
  <si>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</si>
  <si>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</si>
  <si>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</si>
  <si>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</si>
  <si>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</si>
  <si>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</si>
  <si>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</si>
  <si>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</si>
  <si>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</si>
  <si>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</si>
  <si>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</si>
  <si>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</si>
  <si>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</si>
  <si>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</si>
  <si>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</si>
  <si>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</si>
  <si>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</si>
  <si>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</si>
  <si>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</si>
  <si>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</si>
  <si>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</si>
  <si>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</si>
  <si>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</si>
  <si>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</si>
  <si>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</si>
  <si>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</si>
  <si>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</si>
  <si>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</si>
  <si>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</si>
  <si>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</si>
  <si>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</si>
  <si>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</si>
  <si>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</si>
  <si>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</si>
  <si>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</si>
  <si>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</si>
  <si>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</si>
  <si>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</si>
  <si>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</si>
  <si>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</si>
  <si>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</si>
  <si>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</si>
  <si>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</si>
  <si>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</si>
  <si>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</si>
  <si>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</si>
  <si>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</si>
  <si>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</si>
  <si>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</si>
  <si>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</si>
  <si>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</si>
  <si>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</si>
  <si>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</si>
  <si>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</si>
  <si>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</si>
  <si>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</si>
  <si>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</si>
  <si>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</si>
  <si>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</si>
  <si>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</si>
  <si>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</si>
  <si>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</si>
  <si>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</si>
  <si>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</si>
  <si>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</si>
  <si>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</si>
  <si>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</si>
  <si>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</si>
  <si>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</si>
  <si>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</si>
  <si>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</si>
  <si>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</si>
  <si>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</si>
  <si>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</si>
  <si>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</si>
  <si>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</si>
  <si>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</si>
  <si>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</si>
  <si>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</si>
  <si>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</si>
  <si>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</si>
  <si>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</si>
  <si>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</si>
  <si>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</si>
  <si>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</si>
  <si>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</si>
  <si>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</si>
  <si>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</si>
  <si>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</si>
  <si>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</si>
  <si>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</si>
  <si>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</si>
  <si>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</si>
  <si>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</si>
  <si>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</si>
  <si>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</si>
  <si>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</si>
  <si>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</si>
  <si>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</si>
  <si>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</si>
  <si>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</si>
  <si>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</si>
  <si>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</si>
  <si>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</si>
  <si>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</si>
  <si>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</si>
  <si>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</si>
  <si>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</si>
  <si>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</si>
  <si>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</si>
  <si>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</si>
  <si>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</si>
  <si>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</si>
  <si>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</si>
  <si>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</si>
  <si>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</si>
  <si>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</si>
  <si>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</si>
  <si>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</si>
  <si>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</si>
  <si>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</si>
  <si>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</si>
  <si>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</si>
  <si>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</si>
  <si>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</si>
  <si>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</si>
  <si>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</si>
  <si>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</si>
  <si>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</si>
  <si>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</si>
  <si>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</si>
  <si>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</si>
  <si>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</si>
  <si>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</si>
  <si>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</si>
  <si>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</si>
  <si>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</si>
  <si>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</si>
  <si>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</si>
  <si>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</si>
  <si>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</si>
  <si>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</si>
  <si>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</si>
  <si>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</si>
  <si>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</si>
  <si>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</si>
  <si>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</si>
  <si>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</si>
  <si>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</si>
  <si>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</si>
  <si>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</si>
  <si>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</si>
  <si>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</si>
  <si>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</si>
  <si>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</si>
  <si>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</si>
  <si>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</si>
  <si>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</si>
  <si>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</si>
  <si>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</si>
  <si>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</si>
  <si>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</si>
  <si>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</si>
  <si>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</si>
  <si>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</si>
  <si>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</si>
  <si>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</si>
  <si>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</si>
  <si>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</si>
  <si>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</si>
  <si>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</si>
  <si>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</si>
  <si>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</si>
  <si>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</si>
  <si>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</si>
  <si>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</si>
  <si>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</si>
  <si>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</si>
  <si>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</si>
  <si>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</si>
  <si>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</si>
  <si>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</si>
  <si>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</si>
  <si>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</si>
  <si>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</si>
  <si>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</si>
  <si>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</si>
  <si>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</si>
  <si>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</si>
  <si>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</si>
  <si>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</si>
  <si>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</si>
  <si>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</si>
  <si>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</si>
  <si>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</si>
  <si>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</si>
  <si>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</si>
  <si>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</si>
  <si>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</si>
  <si>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</si>
  <si>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</si>
  <si>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</si>
  <si>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</si>
  <si>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</si>
  <si>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</si>
  <si>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</si>
  <si>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</si>
  <si>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</si>
  <si>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</si>
  <si>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</si>
  <si>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</si>
  <si>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</si>
  <si>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</si>
  <si>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</si>
  <si>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</si>
  <si>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</si>
  <si>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</si>
  <si>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</si>
  <si>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</si>
  <si>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</si>
  <si>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</si>
  <si>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</si>
  <si>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</si>
  <si>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</si>
  <si>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</si>
  <si>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</si>
  <si>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</si>
  <si>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</si>
  <si>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</si>
  <si>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</si>
  <si>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</si>
  <si>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</si>
  <si>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</si>
  <si>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</si>
  <si>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</si>
  <si>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</si>
  <si>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</si>
  <si>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</si>
  <si>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</si>
  <si>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</si>
  <si>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</si>
  <si>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</si>
  <si>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</si>
  <si>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</si>
  <si>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</si>
  <si>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</si>
  <si>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</si>
  <si>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</si>
  <si>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</si>
  <si>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</si>
  <si>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</si>
  <si>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</si>
  <si>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</si>
  <si>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</si>
  <si>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</si>
  <si>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</si>
  <si>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</si>
  <si>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</si>
  <si>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</si>
  <si>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</si>
  <si>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</si>
  <si>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</si>
  <si>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</si>
  <si>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</si>
  <si>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</si>
  <si>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</si>
  <si>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</si>
  <si>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</si>
  <si>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</si>
  <si>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</si>
  <si>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</si>
  <si>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</si>
  <si>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</si>
  <si>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</si>
  <si>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</si>
  <si>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</si>
  <si>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</si>
  <si>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</si>
  <si>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</si>
  <si>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</si>
  <si>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</si>
  <si>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</si>
  <si>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</si>
  <si>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</si>
  <si>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</si>
  <si>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</si>
  <si>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</si>
  <si>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</si>
  <si>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</si>
  <si>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</si>
  <si>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</si>
  <si>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</si>
  <si>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</si>
  <si>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</si>
  <si>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</si>
  <si>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</si>
  <si>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</si>
  <si>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</si>
  <si>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</si>
  <si>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</si>
  <si>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</si>
  <si>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</si>
  <si>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</si>
  <si>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</si>
  <si>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</si>
  <si>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</si>
  <si>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</si>
  <si>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</si>
  <si>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</si>
  <si>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</si>
  <si>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</si>
  <si>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</si>
  <si>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</si>
  <si>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</si>
  <si>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</si>
  <si>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</si>
  <si>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</si>
  <si>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</si>
  <si>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</si>
  <si>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</si>
  <si>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</si>
  <si>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</si>
  <si>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</si>
  <si>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</si>
  <si>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</si>
  <si>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</si>
  <si>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</si>
  <si>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</si>
  <si>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</si>
  <si>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</si>
  <si>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</si>
  <si>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</si>
  <si>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</si>
  <si>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</si>
  <si>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</si>
  <si>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</si>
  <si>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</si>
  <si>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</si>
  <si>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</si>
  <si>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</si>
  <si>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</si>
  <si>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</si>
  <si>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</si>
  <si>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</si>
  <si>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</si>
  <si>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</si>
  <si>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</si>
  <si>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</si>
  <si>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</si>
  <si>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</si>
  <si>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</si>
  <si>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</si>
  <si>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</si>
  <si>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</si>
  <si>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</si>
  <si>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</si>
  <si>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</si>
  <si>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</si>
  <si>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</si>
  <si>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</si>
  <si>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</si>
  <si>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</si>
  <si>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</si>
  <si>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</si>
  <si>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</si>
  <si>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</si>
  <si>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</si>
  <si>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</si>
  <si>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</si>
  <si>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</si>
  <si>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</si>
  <si>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</si>
  <si>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</si>
  <si>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</si>
  <si>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</si>
  <si>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</si>
  <si>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</si>
  <si>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</si>
  <si>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</si>
  <si>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</si>
  <si>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</si>
  <si>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</si>
  <si>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</si>
  <si>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</si>
  <si>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</si>
  <si>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</si>
  <si>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</si>
  <si>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</si>
  <si>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</si>
  <si>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</si>
  <si>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</si>
  <si>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</si>
  <si>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</si>
  <si>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</si>
  <si>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</si>
  <si>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</si>
  <si>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</si>
  <si>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</si>
  <si>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</si>
  <si>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</si>
  <si>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</si>
  <si>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</si>
  <si>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</si>
  <si>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</si>
  <si>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</si>
  <si>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</si>
  <si>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</si>
  <si>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</si>
  <si>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</si>
  <si>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</si>
  <si>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</si>
  <si>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</si>
  <si>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</si>
  <si>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</si>
  <si>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</si>
  <si>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</si>
  <si>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</si>
  <si>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</si>
  <si>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</si>
  <si>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</si>
  <si>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</si>
  <si>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</si>
  <si>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</si>
  <si>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</si>
  <si>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</si>
  <si>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</si>
  <si>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</si>
  <si>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</si>
  <si>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</si>
  <si>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</si>
  <si>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</si>
  <si>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</si>
  <si>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</si>
  <si>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</si>
  <si>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</si>
  <si>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</si>
  <si>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</si>
  <si>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</si>
  <si>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</si>
  <si>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</si>
  <si>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</si>
  <si>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</si>
  <si>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</si>
  <si>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</si>
  <si>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</si>
  <si>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</si>
  <si>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</si>
  <si>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</si>
  <si>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</si>
  <si>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Marketing/Hospitality</t>
  </si>
  <si>
    <t>Please see attached letter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</si>
</sst>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5"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1114425</xdr:colOff>
          <xdr:row>4</xdr:row>
          <xdr:rowOff>19050</xdr:rowOff>
        </xdr:from>
        <xdr:to>
          <xdr:col>0</xdr:col>
          <xdr:colOff>6943725</xdr:colOff>
          <xdr:row>48</xdr:row>
          <xdr:rowOff>161925</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 displayName="James Zablosky" id="{44E9C307-CA32-4A2D-B013-22EC0BB52785}" userId="S::james_zablosky@daytonastate.edu::e51dd406-1bb6-4f31-8b60-1e05d8a87e5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E10" dT="2025-06-09T19:33:28.24" personId="{44E9C307-CA32-4A2D-B013-22EC0BB52785}" id="{1573C462-A6EE-412E-B984-A59AA7179AE5}">
    <text>Use W C section of Andrea Gibson File Credit Hour Estimates 2526</text>
  </threadedComment>
</ThreadedComments>
</file>

<file path=xl/threadedComments/threadedComment4.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5.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6.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6" t="s">
        <v>0</v>
      </c>
      <c r="B1" s="576"/>
      <c r="C1" s="576"/>
      <c r="D1" s="576"/>
      <c r="E1" s="576"/>
    </row>
    <row r="2" spans="1:5" ht="23.25">
      <c r="A2" s="576" t="s">
        <v>774</v>
      </c>
      <c r="B2" s="576"/>
      <c r="C2" s="576"/>
      <c r="D2" s="576"/>
      <c r="E2" s="576"/>
    </row>
    <row r="3" spans="1:5" ht="21" customHeight="1">
      <c r="A3" s="576" t="s">
        <v>1</v>
      </c>
      <c r="B3" s="576"/>
      <c r="C3" s="576"/>
      <c r="D3" s="576"/>
      <c r="E3" s="57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8" t="s">
        <v>773</v>
      </c>
      <c r="B7" s="1129"/>
      <c r="C7" s="1130" t="s">
        <v>775</v>
      </c>
      <c r="D7" s="1128">
        <v>40280</v>
      </c>
      <c r="E7" s="1132" t="s">
        <v>776</v>
      </c>
    </row>
    <row r="8" spans="1:5" s="3" customFormat="1" ht="20.100000000000001" customHeight="1">
      <c r="A8" s="1128"/>
      <c r="B8" s="1129"/>
      <c r="C8" s="1130"/>
      <c r="D8" s="1128"/>
      <c r="E8" s="1132"/>
    </row>
    <row r="9" spans="1:5" s="3" customFormat="1" ht="20.100000000000001" customHeight="1">
      <c r="A9" s="1131"/>
      <c r="B9" s="1133"/>
      <c r="C9" s="1130"/>
      <c r="D9" s="1138"/>
      <c r="E9" s="1132"/>
    </row>
    <row r="10" spans="1:5" s="3" customFormat="1" ht="20.100000000000001" customHeight="1">
      <c r="A10" s="1134" t="s">
        <v>9</v>
      </c>
      <c r="B10" s="1135"/>
      <c r="C10" s="1136" t="s">
        <v>10</v>
      </c>
      <c r="D10" s="1136"/>
      <c r="E10" s="1136" t="s">
        <v>10</v>
      </c>
    </row>
    <row r="11" spans="1:5" s="3" customFormat="1" ht="20.100000000000001" customHeight="1">
      <c r="A11" s="1134"/>
      <c r="B11" s="1135"/>
      <c r="C11" s="1135"/>
      <c r="D11" s="1136"/>
      <c r="E11" s="1135"/>
    </row>
    <row r="12" spans="1:5" ht="20.100000000000001" customHeight="1">
      <c r="A12" s="1135"/>
      <c r="B12" s="1135"/>
      <c r="C12" s="1135"/>
      <c r="D12" s="1136"/>
      <c r="E12" s="1135"/>
    </row>
    <row r="13" spans="1:5" ht="20.100000000000001" customHeight="1">
      <c r="A13" s="1137" t="s">
        <v>10</v>
      </c>
      <c r="B13" s="1135"/>
      <c r="C13" s="1135"/>
      <c r="D13" s="1136"/>
      <c r="E13" s="1135"/>
    </row>
    <row r="14" spans="1:5" ht="20.100000000000001" customHeight="1">
      <c r="A14" s="1137"/>
      <c r="B14" s="1135"/>
      <c r="C14" s="1135"/>
      <c r="D14" s="1139"/>
      <c r="E14" s="1135"/>
    </row>
    <row r="15" spans="1:5" ht="20.100000000000001" customHeight="1">
      <c r="A15" s="1137"/>
      <c r="B15" s="1135"/>
      <c r="C15" s="1135"/>
      <c r="D15" s="1139"/>
      <c r="E15" s="1135"/>
    </row>
    <row r="16" spans="1:5" ht="20.100000000000001" customHeight="1">
      <c r="A16" s="1137"/>
      <c r="B16" s="1135"/>
      <c r="C16" s="1135"/>
      <c r="D16" s="1139"/>
      <c r="E16" s="1135"/>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r:id="rId1"/>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zoomScale="80" zoomScaleNormal="80"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Daytona State College</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762</v>
      </c>
      <c r="B6" s="879"/>
      <c r="C6" s="879"/>
      <c r="D6" s="879"/>
      <c r="E6" s="879"/>
      <c r="F6" s="273"/>
    </row>
    <row r="7" spans="1:8" ht="20.100000000000001" customHeight="1">
      <c r="A7" s="808"/>
      <c r="B7" s="808"/>
      <c r="C7" s="808"/>
      <c r="D7" s="884"/>
      <c r="E7" s="884"/>
    </row>
    <row r="8" spans="1:8" ht="24" customHeight="1" thickBot="1">
      <c r="A8" s="835" t="s">
        <v>570</v>
      </c>
      <c r="B8" s="835"/>
      <c r="C8" s="835"/>
      <c r="H8" s="322"/>
    </row>
    <row r="9" spans="1:8" s="11" customFormat="1" ht="64.349999999999994" customHeight="1" thickBot="1">
      <c r="A9" s="276" t="s">
        <v>571</v>
      </c>
      <c r="B9" s="809" t="s">
        <v>572</v>
      </c>
      <c r="C9" s="295" t="s">
        <v>573</v>
      </c>
      <c r="D9" s="295" t="s">
        <v>574</v>
      </c>
      <c r="E9" s="344" t="s">
        <v>48</v>
      </c>
      <c r="F9" s="25"/>
      <c r="H9" s="342"/>
    </row>
    <row r="10" spans="1:8" s="11" customFormat="1" ht="20.100000000000001" customHeight="1">
      <c r="A10" s="358" t="s">
        <v>575</v>
      </c>
      <c r="B10" s="435">
        <v>40243958</v>
      </c>
      <c r="C10" s="436">
        <v>4210379</v>
      </c>
      <c r="D10" s="436">
        <v>0</v>
      </c>
      <c r="E10" s="359">
        <f>SUM(B10:D10)</f>
        <v>44454337</v>
      </c>
      <c r="F10" s="342"/>
      <c r="G10" s="342"/>
    </row>
    <row r="11" spans="1:8" s="11" customFormat="1" ht="20.100000000000001" customHeight="1">
      <c r="A11" s="358" t="s">
        <v>576</v>
      </c>
      <c r="B11" s="437">
        <v>0</v>
      </c>
      <c r="C11" s="430">
        <v>0</v>
      </c>
      <c r="D11" s="430">
        <v>0</v>
      </c>
      <c r="E11" s="359">
        <f>SUM(B11:D11)</f>
        <v>0</v>
      </c>
      <c r="F11" s="342"/>
      <c r="G11" s="342"/>
      <c r="H11" s="342"/>
    </row>
    <row r="12" spans="1:8" s="11" customFormat="1" ht="20.100000000000001" customHeight="1" thickBot="1">
      <c r="A12" s="358" t="s">
        <v>577</v>
      </c>
      <c r="B12" s="437">
        <v>284763</v>
      </c>
      <c r="C12" s="430">
        <v>2050</v>
      </c>
      <c r="D12" s="430">
        <v>0</v>
      </c>
      <c r="E12" s="360">
        <f>SUM(B12:D12)</f>
        <v>286813</v>
      </c>
      <c r="F12" s="342"/>
    </row>
    <row r="13" spans="1:8" s="11" customFormat="1" ht="20.100000000000001" customHeight="1" thickBot="1">
      <c r="A13" s="358" t="s">
        <v>578</v>
      </c>
      <c r="B13" s="361"/>
      <c r="C13" s="362"/>
      <c r="D13" s="362"/>
      <c r="E13" s="363"/>
      <c r="F13" s="342"/>
    </row>
    <row r="14" spans="1:8" s="11" customFormat="1" ht="20.100000000000001" customHeight="1">
      <c r="A14" s="358" t="s">
        <v>579</v>
      </c>
      <c r="B14" s="437">
        <v>1603577</v>
      </c>
      <c r="C14" s="438">
        <v>66370</v>
      </c>
      <c r="D14" s="438">
        <v>0</v>
      </c>
      <c r="E14" s="360">
        <f t="shared" ref="E14:E20" si="0">SUM(B14:D14)</f>
        <v>1669947</v>
      </c>
      <c r="F14" s="342"/>
    </row>
    <row r="15" spans="1:8" s="11" customFormat="1" ht="20.100000000000001" customHeight="1">
      <c r="A15" s="358" t="s">
        <v>580</v>
      </c>
      <c r="B15" s="437">
        <v>6446863</v>
      </c>
      <c r="C15" s="430">
        <v>1132745</v>
      </c>
      <c r="D15" s="430">
        <v>1181436</v>
      </c>
      <c r="E15" s="360">
        <f>SUM(B15:D15)</f>
        <v>8761044</v>
      </c>
      <c r="F15" s="342"/>
    </row>
    <row r="16" spans="1:8" s="11" customFormat="1" ht="20.100000000000001" customHeight="1">
      <c r="A16" s="358" t="s">
        <v>581</v>
      </c>
      <c r="B16" s="437">
        <v>11739828</v>
      </c>
      <c r="C16" s="430">
        <v>1059669</v>
      </c>
      <c r="D16" s="430">
        <v>0</v>
      </c>
      <c r="E16" s="360">
        <f t="shared" si="0"/>
        <v>12799497</v>
      </c>
      <c r="F16" s="342"/>
    </row>
    <row r="17" spans="1:6" s="11" customFormat="1" ht="20.100000000000001" customHeight="1">
      <c r="A17" s="358" t="s">
        <v>582</v>
      </c>
      <c r="B17" s="437">
        <v>12915267</v>
      </c>
      <c r="C17" s="430">
        <v>8496699</v>
      </c>
      <c r="D17" s="430">
        <v>173795</v>
      </c>
      <c r="E17" s="360">
        <f t="shared" si="0"/>
        <v>21585761</v>
      </c>
      <c r="F17" s="342"/>
    </row>
    <row r="18" spans="1:6" s="11" customFormat="1" ht="20.100000000000001" customHeight="1">
      <c r="A18" s="358" t="s">
        <v>583</v>
      </c>
      <c r="B18" s="437">
        <v>8490639</v>
      </c>
      <c r="C18" s="430">
        <v>7782874</v>
      </c>
      <c r="D18" s="430">
        <v>0</v>
      </c>
      <c r="E18" s="360">
        <f t="shared" si="0"/>
        <v>16273513</v>
      </c>
      <c r="F18" s="342"/>
    </row>
    <row r="19" spans="1:6" s="11" customFormat="1" ht="20.100000000000001" customHeight="1">
      <c r="A19" s="358" t="s">
        <v>584</v>
      </c>
      <c r="B19" s="437">
        <v>0</v>
      </c>
      <c r="C19" s="430">
        <v>809955</v>
      </c>
      <c r="D19" s="430">
        <v>0</v>
      </c>
      <c r="E19" s="360">
        <f t="shared" si="0"/>
        <v>809955</v>
      </c>
      <c r="F19" s="342"/>
    </row>
    <row r="20" spans="1:6" s="11" customFormat="1" ht="20.100000000000001" customHeight="1" thickBot="1">
      <c r="A20" s="358" t="s">
        <v>585</v>
      </c>
      <c r="B20" s="437">
        <v>522804</v>
      </c>
      <c r="C20" s="431">
        <v>0</v>
      </c>
      <c r="D20" s="431">
        <v>0</v>
      </c>
      <c r="E20" s="360">
        <f t="shared" si="0"/>
        <v>522804</v>
      </c>
      <c r="F20" s="342"/>
    </row>
    <row r="21" spans="1:6" s="11" customFormat="1" ht="24" customHeight="1" thickBot="1">
      <c r="A21" s="283" t="s">
        <v>48</v>
      </c>
      <c r="B21" s="343">
        <f>SUM(B10:B20)</f>
        <v>82247699</v>
      </c>
      <c r="C21" s="346">
        <f>SUM(C10:C20)</f>
        <v>23560741</v>
      </c>
      <c r="D21" s="346">
        <f>SUM(D10:D20)</f>
        <v>1355231</v>
      </c>
      <c r="E21" s="345">
        <f>SUM(E10:E20)</f>
        <v>107163671</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workbookViewId="0"/>
  </sheetViews>
  <sheetFormatPr defaultColWidth="8.85546875" defaultRowHeight="12.75"/>
  <cols>
    <col min="1" max="1" width="78.7109375" customWidth="1"/>
  </cols>
  <sheetData>
    <row r="1" spans="1:7" ht="26.1" customHeight="1">
      <c r="A1" s="476" t="s">
        <v>586</v>
      </c>
      <c r="B1" s="475"/>
      <c r="C1" s="475"/>
      <c r="D1" s="475"/>
      <c r="E1" s="475"/>
      <c r="F1" s="475"/>
      <c r="G1" s="475"/>
    </row>
    <row r="2" spans="1:7" ht="26.25">
      <c r="A2" s="466" t="s">
        <v>587</v>
      </c>
      <c r="B2" s="475"/>
    </row>
    <row r="3" spans="1:7" ht="26.1"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zoomScale="60" zoomScaleNormal="60" workbookViewId="0"/>
  </sheetViews>
  <sheetFormatPr defaultColWidth="12.42578125" defaultRowHeight="15.75"/>
  <cols>
    <col min="1" max="1" width="26.42578125" style="171" customWidth="1"/>
    <col min="2" max="2" width="94.28515625" style="171" customWidth="1"/>
    <col min="3" max="3" width="66.85546875" style="171" customWidth="1"/>
    <col min="4" max="5" width="25.85546875" style="243" customWidth="1"/>
    <col min="6" max="6" width="33.7109375" style="243" customWidth="1"/>
    <col min="7" max="7" width="3.140625" style="171" customWidth="1"/>
    <col min="8" max="16384" width="12.42578125" style="171"/>
  </cols>
  <sheetData>
    <row r="1" spans="1:224" ht="30" customHeight="1" thickBot="1">
      <c r="A1" s="879" t="s">
        <v>171</v>
      </c>
      <c r="B1" s="897" t="str">
        <f>'CHECK SHEET'!D7</f>
        <v>Daytona State College</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762</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742</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6" customHeight="1" thickBot="1">
      <c r="A8" s="952" t="s">
        <v>591</v>
      </c>
      <c r="B8" s="953"/>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47">
        <v>0</v>
      </c>
      <c r="E10" s="1147">
        <v>0</v>
      </c>
      <c r="F10" s="1148">
        <f t="shared" ref="F10:F73" si="0">+D10+E10</f>
        <v>0</v>
      </c>
      <c r="I10" s="82"/>
      <c r="J10" s="23"/>
      <c r="K10" s="87"/>
      <c r="L10" s="87"/>
      <c r="M10" s="87"/>
      <c r="N10" s="87"/>
    </row>
    <row r="11" spans="1:224" s="11" customFormat="1" ht="30" customHeight="1">
      <c r="A11" s="722" t="s">
        <v>396</v>
      </c>
      <c r="B11" s="723"/>
      <c r="C11" s="724" t="s">
        <v>397</v>
      </c>
      <c r="D11" s="725">
        <v>0</v>
      </c>
      <c r="E11" s="725">
        <v>0</v>
      </c>
      <c r="F11" s="726">
        <f t="shared" si="0"/>
        <v>0</v>
      </c>
      <c r="I11" s="82"/>
      <c r="J11" s="23"/>
      <c r="K11" s="87"/>
      <c r="L11" s="87"/>
      <c r="M11" s="87"/>
      <c r="N11" s="87"/>
    </row>
    <row r="12" spans="1:224" s="11" customFormat="1" ht="30" customHeight="1">
      <c r="A12" s="722" t="s">
        <v>398</v>
      </c>
      <c r="B12" s="723"/>
      <c r="C12" s="724" t="s">
        <v>399</v>
      </c>
      <c r="D12" s="725">
        <v>0</v>
      </c>
      <c r="E12" s="725">
        <v>0</v>
      </c>
      <c r="F12" s="726">
        <f t="shared" si="0"/>
        <v>0</v>
      </c>
      <c r="I12" s="82"/>
      <c r="J12" s="23"/>
      <c r="K12" s="87"/>
      <c r="L12" s="87"/>
      <c r="M12" s="87"/>
      <c r="N12" s="87"/>
    </row>
    <row r="13" spans="1:224" s="11" customFormat="1" ht="30" customHeight="1">
      <c r="A13" s="722" t="s">
        <v>400</v>
      </c>
      <c r="B13" s="723"/>
      <c r="C13" s="724" t="s">
        <v>401</v>
      </c>
      <c r="D13" s="725">
        <v>0</v>
      </c>
      <c r="E13" s="725">
        <v>0</v>
      </c>
      <c r="F13" s="726">
        <f t="shared" si="0"/>
        <v>0</v>
      </c>
      <c r="I13" s="82"/>
      <c r="J13" s="23"/>
      <c r="K13" s="87"/>
      <c r="L13" s="87"/>
      <c r="M13" s="87"/>
      <c r="N13" s="87"/>
    </row>
    <row r="14" spans="1:224" s="11" customFormat="1" ht="30" customHeight="1">
      <c r="A14" s="722" t="s">
        <v>402</v>
      </c>
      <c r="B14" s="723"/>
      <c r="C14" s="724" t="s">
        <v>403</v>
      </c>
      <c r="D14" s="725">
        <v>0</v>
      </c>
      <c r="E14" s="725">
        <v>0</v>
      </c>
      <c r="F14" s="726">
        <f t="shared" si="0"/>
        <v>0</v>
      </c>
      <c r="I14" s="82"/>
      <c r="J14" s="23"/>
      <c r="K14" s="87"/>
      <c r="L14" s="87"/>
      <c r="M14" s="87"/>
      <c r="N14" s="87"/>
    </row>
    <row r="15" spans="1:224" s="11" customFormat="1" ht="30" customHeight="1">
      <c r="A15" s="722" t="s">
        <v>404</v>
      </c>
      <c r="B15" s="723"/>
      <c r="C15" s="724" t="s">
        <v>405</v>
      </c>
      <c r="D15" s="725">
        <v>2366448</v>
      </c>
      <c r="E15" s="725">
        <v>0</v>
      </c>
      <c r="F15" s="726">
        <f t="shared" si="0"/>
        <v>2366448</v>
      </c>
      <c r="I15" s="82"/>
      <c r="J15" s="23"/>
      <c r="K15" s="87"/>
      <c r="L15" s="87"/>
      <c r="M15" s="87"/>
      <c r="N15" s="87"/>
    </row>
    <row r="16" spans="1:224" s="11" customFormat="1" ht="30" customHeight="1">
      <c r="A16" s="722" t="s">
        <v>406</v>
      </c>
      <c r="B16" s="723"/>
      <c r="C16" s="724" t="s">
        <v>407</v>
      </c>
      <c r="D16" s="725">
        <v>0</v>
      </c>
      <c r="E16" s="725">
        <v>0</v>
      </c>
      <c r="F16" s="726">
        <f t="shared" si="0"/>
        <v>0</v>
      </c>
    </row>
    <row r="17" spans="1:6" s="11" customFormat="1" ht="30" customHeight="1">
      <c r="A17" s="722" t="s">
        <v>408</v>
      </c>
      <c r="B17" s="723"/>
      <c r="C17" s="724" t="s">
        <v>409</v>
      </c>
      <c r="D17" s="725">
        <v>0</v>
      </c>
      <c r="E17" s="725">
        <v>0</v>
      </c>
      <c r="F17" s="726">
        <f t="shared" si="0"/>
        <v>0</v>
      </c>
    </row>
    <row r="18" spans="1:6" s="11" customFormat="1" ht="30" customHeight="1">
      <c r="A18" s="722" t="s">
        <v>410</v>
      </c>
      <c r="B18" s="723"/>
      <c r="C18" s="724" t="s">
        <v>411</v>
      </c>
      <c r="D18" s="725">
        <v>0</v>
      </c>
      <c r="E18" s="725">
        <v>0</v>
      </c>
      <c r="F18" s="726">
        <f t="shared" si="0"/>
        <v>0</v>
      </c>
    </row>
    <row r="19" spans="1:6" s="11" customFormat="1" ht="30" customHeight="1">
      <c r="A19" s="722" t="s">
        <v>689</v>
      </c>
      <c r="B19" s="723"/>
      <c r="C19" s="724" t="s">
        <v>413</v>
      </c>
      <c r="D19" s="725">
        <v>0</v>
      </c>
      <c r="E19" s="725">
        <v>0</v>
      </c>
      <c r="F19" s="726">
        <f t="shared" si="0"/>
        <v>0</v>
      </c>
    </row>
    <row r="20" spans="1:6" s="11" customFormat="1" ht="30" customHeight="1">
      <c r="A20" s="722" t="s">
        <v>414</v>
      </c>
      <c r="B20" s="723"/>
      <c r="C20" s="724">
        <v>52500</v>
      </c>
      <c r="D20" s="725">
        <v>0</v>
      </c>
      <c r="E20" s="725">
        <v>0</v>
      </c>
      <c r="F20" s="726">
        <f>+D20+E20</f>
        <v>0</v>
      </c>
    </row>
    <row r="21" spans="1:6" s="11" customFormat="1" ht="30" customHeight="1">
      <c r="A21" s="722" t="s">
        <v>415</v>
      </c>
      <c r="B21" s="723"/>
      <c r="C21" s="724" t="s">
        <v>416</v>
      </c>
      <c r="D21" s="725">
        <v>0</v>
      </c>
      <c r="E21" s="725">
        <v>0</v>
      </c>
      <c r="F21" s="726">
        <f t="shared" si="0"/>
        <v>0</v>
      </c>
    </row>
    <row r="22" spans="1:6" s="11" customFormat="1" ht="30" customHeight="1">
      <c r="A22" s="722" t="s">
        <v>417</v>
      </c>
      <c r="B22" s="723"/>
      <c r="C22" s="724" t="s">
        <v>418</v>
      </c>
      <c r="D22" s="725">
        <v>0</v>
      </c>
      <c r="E22" s="725">
        <v>0</v>
      </c>
      <c r="F22" s="726">
        <f t="shared" si="0"/>
        <v>0</v>
      </c>
    </row>
    <row r="23" spans="1:6" s="11" customFormat="1" ht="30" customHeight="1">
      <c r="A23" s="722" t="s">
        <v>419</v>
      </c>
      <c r="B23" s="723"/>
      <c r="C23" s="724" t="s">
        <v>420</v>
      </c>
      <c r="D23" s="725">
        <v>0</v>
      </c>
      <c r="E23" s="725">
        <v>0</v>
      </c>
      <c r="F23" s="726">
        <f t="shared" si="0"/>
        <v>0</v>
      </c>
    </row>
    <row r="24" spans="1:6" s="11" customFormat="1" ht="30" customHeight="1">
      <c r="A24" s="722" t="s">
        <v>421</v>
      </c>
      <c r="B24" s="723"/>
      <c r="C24" s="724" t="s">
        <v>422</v>
      </c>
      <c r="D24" s="725">
        <v>0</v>
      </c>
      <c r="E24" s="725">
        <v>0</v>
      </c>
      <c r="F24" s="726">
        <f t="shared" si="0"/>
        <v>0</v>
      </c>
    </row>
    <row r="25" spans="1:6" s="11" customFormat="1" ht="30" customHeight="1">
      <c r="A25" s="722" t="s">
        <v>423</v>
      </c>
      <c r="B25" s="723"/>
      <c r="C25" s="724" t="s">
        <v>424</v>
      </c>
      <c r="D25" s="725">
        <v>96902</v>
      </c>
      <c r="E25" s="725">
        <v>0</v>
      </c>
      <c r="F25" s="726">
        <f t="shared" si="0"/>
        <v>96902</v>
      </c>
    </row>
    <row r="26" spans="1:6" s="11" customFormat="1" ht="30" customHeight="1">
      <c r="A26" s="722" t="s">
        <v>425</v>
      </c>
      <c r="B26" s="723"/>
      <c r="C26" s="724" t="s">
        <v>426</v>
      </c>
      <c r="D26" s="725">
        <v>0</v>
      </c>
      <c r="E26" s="725">
        <v>0</v>
      </c>
      <c r="F26" s="726">
        <f t="shared" si="0"/>
        <v>0</v>
      </c>
    </row>
    <row r="27" spans="1:6" s="11" customFormat="1" ht="30" customHeight="1">
      <c r="A27" s="722" t="s">
        <v>427</v>
      </c>
      <c r="B27" s="723"/>
      <c r="C27" s="724" t="s">
        <v>428</v>
      </c>
      <c r="D27" s="725">
        <v>0</v>
      </c>
      <c r="E27" s="725">
        <v>0</v>
      </c>
      <c r="F27" s="726">
        <f t="shared" si="0"/>
        <v>0</v>
      </c>
    </row>
    <row r="28" spans="1:6" s="11" customFormat="1" ht="30" customHeight="1">
      <c r="A28" s="722" t="s">
        <v>429</v>
      </c>
      <c r="B28" s="723"/>
      <c r="C28" s="724" t="s">
        <v>430</v>
      </c>
      <c r="D28" s="725">
        <v>0</v>
      </c>
      <c r="E28" s="725">
        <v>0</v>
      </c>
      <c r="F28" s="726">
        <f t="shared" si="0"/>
        <v>0</v>
      </c>
    </row>
    <row r="29" spans="1:6" s="11" customFormat="1" ht="30" customHeight="1">
      <c r="A29" s="722" t="s">
        <v>431</v>
      </c>
      <c r="B29" s="723"/>
      <c r="C29" s="724" t="s">
        <v>432</v>
      </c>
      <c r="D29" s="725">
        <v>0</v>
      </c>
      <c r="E29" s="725">
        <v>0</v>
      </c>
      <c r="F29" s="726">
        <f t="shared" si="0"/>
        <v>0</v>
      </c>
    </row>
    <row r="30" spans="1:6" s="11" customFormat="1" ht="30" customHeight="1">
      <c r="A30" s="722" t="s">
        <v>433</v>
      </c>
      <c r="B30" s="723"/>
      <c r="C30" s="724" t="s">
        <v>434</v>
      </c>
      <c r="D30" s="725">
        <v>115700</v>
      </c>
      <c r="E30" s="725">
        <v>0</v>
      </c>
      <c r="F30" s="726">
        <f t="shared" si="0"/>
        <v>115700</v>
      </c>
    </row>
    <row r="31" spans="1:6" s="11" customFormat="1" ht="30" customHeight="1">
      <c r="A31" s="722" t="s">
        <v>435</v>
      </c>
      <c r="B31" s="723"/>
      <c r="C31" s="724" t="s">
        <v>436</v>
      </c>
      <c r="D31" s="725">
        <v>0</v>
      </c>
      <c r="E31" s="725">
        <v>0</v>
      </c>
      <c r="F31" s="726">
        <f t="shared" si="0"/>
        <v>0</v>
      </c>
    </row>
    <row r="32" spans="1:6" s="11" customFormat="1" ht="30" customHeight="1">
      <c r="A32" s="722" t="s">
        <v>437</v>
      </c>
      <c r="B32" s="723"/>
      <c r="C32" s="724" t="s">
        <v>438</v>
      </c>
      <c r="D32" s="725">
        <v>0</v>
      </c>
      <c r="E32" s="725">
        <v>0</v>
      </c>
      <c r="F32" s="726">
        <f>+D32+E32</f>
        <v>0</v>
      </c>
    </row>
    <row r="33" spans="1:6" s="11" customFormat="1" ht="30" customHeight="1">
      <c r="A33" s="722" t="s">
        <v>439</v>
      </c>
      <c r="B33" s="723"/>
      <c r="C33" s="724" t="s">
        <v>440</v>
      </c>
      <c r="D33" s="725">
        <v>0</v>
      </c>
      <c r="E33" s="725">
        <v>0</v>
      </c>
      <c r="F33" s="726">
        <f t="shared" si="0"/>
        <v>0</v>
      </c>
    </row>
    <row r="34" spans="1:6" s="11" customFormat="1" ht="30" customHeight="1">
      <c r="A34" s="722" t="s">
        <v>441</v>
      </c>
      <c r="B34" s="723"/>
      <c r="C34" s="724" t="s">
        <v>442</v>
      </c>
      <c r="D34" s="725">
        <v>0</v>
      </c>
      <c r="E34" s="725">
        <v>0</v>
      </c>
      <c r="F34" s="726">
        <f t="shared" si="0"/>
        <v>0</v>
      </c>
    </row>
    <row r="35" spans="1:6" s="11" customFormat="1" ht="30" customHeight="1">
      <c r="A35" s="722" t="s">
        <v>443</v>
      </c>
      <c r="B35" s="723"/>
      <c r="C35" s="724">
        <v>56001</v>
      </c>
      <c r="D35" s="725">
        <v>0</v>
      </c>
      <c r="E35" s="725">
        <v>0</v>
      </c>
      <c r="F35" s="726">
        <f>+D35+E35</f>
        <v>0</v>
      </c>
    </row>
    <row r="36" spans="1:6" s="11" customFormat="1" ht="30" customHeight="1">
      <c r="A36" s="722" t="s">
        <v>444</v>
      </c>
      <c r="B36" s="723"/>
      <c r="C36" s="724">
        <v>56002</v>
      </c>
      <c r="D36" s="725">
        <v>0</v>
      </c>
      <c r="E36" s="725">
        <v>0</v>
      </c>
      <c r="F36" s="726">
        <f>+D36+E36</f>
        <v>0</v>
      </c>
    </row>
    <row r="37" spans="1:6" s="11" customFormat="1" ht="30" customHeight="1">
      <c r="A37" s="722" t="s">
        <v>445</v>
      </c>
      <c r="B37" s="723"/>
      <c r="C37" s="724">
        <v>56003</v>
      </c>
      <c r="D37" s="725">
        <v>0</v>
      </c>
      <c r="E37" s="725">
        <v>0</v>
      </c>
      <c r="F37" s="726">
        <f>+D37+E37</f>
        <v>0</v>
      </c>
    </row>
    <row r="38" spans="1:6" s="11" customFormat="1" ht="30" customHeight="1">
      <c r="A38" s="722" t="s">
        <v>446</v>
      </c>
      <c r="B38" s="723"/>
      <c r="C38" s="724" t="s">
        <v>447</v>
      </c>
      <c r="D38" s="725">
        <v>0</v>
      </c>
      <c r="E38" s="725">
        <v>0</v>
      </c>
      <c r="F38" s="726">
        <f>+D38+E38</f>
        <v>0</v>
      </c>
    </row>
    <row r="39" spans="1:6" s="11" customFormat="1" ht="30" customHeight="1">
      <c r="A39" s="722" t="s">
        <v>448</v>
      </c>
      <c r="B39" s="723"/>
      <c r="C39" s="724" t="s">
        <v>449</v>
      </c>
      <c r="D39" s="725">
        <v>0</v>
      </c>
      <c r="E39" s="725">
        <v>0</v>
      </c>
      <c r="F39" s="726">
        <f t="shared" si="0"/>
        <v>0</v>
      </c>
    </row>
    <row r="40" spans="1:6" s="11" customFormat="1" ht="30" customHeight="1">
      <c r="A40" s="722" t="s">
        <v>450</v>
      </c>
      <c r="B40" s="723"/>
      <c r="C40" s="724" t="s">
        <v>451</v>
      </c>
      <c r="D40" s="725">
        <v>0</v>
      </c>
      <c r="E40" s="725">
        <v>0</v>
      </c>
      <c r="F40" s="726">
        <f t="shared" si="0"/>
        <v>0</v>
      </c>
    </row>
    <row r="41" spans="1:6" s="11" customFormat="1" ht="30" customHeight="1">
      <c r="A41" s="722" t="s">
        <v>452</v>
      </c>
      <c r="B41" s="723"/>
      <c r="C41" s="724" t="s">
        <v>453</v>
      </c>
      <c r="D41" s="725">
        <v>0</v>
      </c>
      <c r="E41" s="725">
        <v>0</v>
      </c>
      <c r="F41" s="726">
        <f t="shared" si="0"/>
        <v>0</v>
      </c>
    </row>
    <row r="42" spans="1:6" s="11" customFormat="1" ht="30" customHeight="1">
      <c r="A42" s="722" t="s">
        <v>454</v>
      </c>
      <c r="B42" s="723"/>
      <c r="C42" s="724" t="s">
        <v>455</v>
      </c>
      <c r="D42" s="725">
        <v>0</v>
      </c>
      <c r="E42" s="725">
        <v>0</v>
      </c>
      <c r="F42" s="726">
        <f t="shared" si="0"/>
        <v>0</v>
      </c>
    </row>
    <row r="43" spans="1:6" s="11" customFormat="1" ht="30" customHeight="1">
      <c r="A43" s="722" t="s">
        <v>456</v>
      </c>
      <c r="B43" s="723"/>
      <c r="C43" s="724" t="s">
        <v>457</v>
      </c>
      <c r="D43" s="725">
        <v>0</v>
      </c>
      <c r="E43" s="725">
        <v>0</v>
      </c>
      <c r="F43" s="726">
        <f t="shared" si="0"/>
        <v>0</v>
      </c>
    </row>
    <row r="44" spans="1:6" s="11" customFormat="1" ht="30" customHeight="1">
      <c r="A44" s="722" t="s">
        <v>458</v>
      </c>
      <c r="B44" s="723"/>
      <c r="C44" s="724" t="s">
        <v>459</v>
      </c>
      <c r="D44" s="725">
        <v>0</v>
      </c>
      <c r="E44" s="725">
        <v>0</v>
      </c>
      <c r="F44" s="726">
        <f t="shared" si="0"/>
        <v>0</v>
      </c>
    </row>
    <row r="45" spans="1:6" s="11" customFormat="1" ht="30" customHeight="1">
      <c r="A45" s="722" t="s">
        <v>460</v>
      </c>
      <c r="B45" s="723"/>
      <c r="C45" s="724" t="s">
        <v>461</v>
      </c>
      <c r="D45" s="725">
        <v>0</v>
      </c>
      <c r="E45" s="725">
        <v>0</v>
      </c>
      <c r="F45" s="726">
        <f t="shared" si="0"/>
        <v>0</v>
      </c>
    </row>
    <row r="46" spans="1:6" s="11" customFormat="1" ht="30" customHeight="1">
      <c r="A46" s="722" t="s">
        <v>462</v>
      </c>
      <c r="B46" s="723"/>
      <c r="C46" s="724" t="s">
        <v>463</v>
      </c>
      <c r="D46" s="725">
        <v>0</v>
      </c>
      <c r="E46" s="725">
        <v>0</v>
      </c>
      <c r="F46" s="726">
        <f t="shared" si="0"/>
        <v>0</v>
      </c>
    </row>
    <row r="47" spans="1:6" s="11" customFormat="1" ht="30" customHeight="1">
      <c r="A47" s="722" t="s">
        <v>464</v>
      </c>
      <c r="B47" s="723"/>
      <c r="C47" s="724" t="s">
        <v>465</v>
      </c>
      <c r="D47" s="725">
        <v>190850</v>
      </c>
      <c r="E47" s="725">
        <v>0</v>
      </c>
      <c r="F47" s="726">
        <f t="shared" si="0"/>
        <v>190850</v>
      </c>
    </row>
    <row r="48" spans="1:6" s="11" customFormat="1" ht="30" customHeight="1">
      <c r="A48" s="722" t="s">
        <v>466</v>
      </c>
      <c r="B48" s="723"/>
      <c r="C48" s="724" t="s">
        <v>467</v>
      </c>
      <c r="D48" s="725">
        <v>321966</v>
      </c>
      <c r="E48" s="725">
        <v>0</v>
      </c>
      <c r="F48" s="726">
        <f t="shared" si="0"/>
        <v>321966</v>
      </c>
    </row>
    <row r="49" spans="1:6" s="11" customFormat="1" ht="30" customHeight="1">
      <c r="A49" s="722" t="s">
        <v>468</v>
      </c>
      <c r="B49" s="723"/>
      <c r="C49" s="724" t="s">
        <v>469</v>
      </c>
      <c r="D49" s="725">
        <v>0</v>
      </c>
      <c r="E49" s="725">
        <v>0</v>
      </c>
      <c r="F49" s="726">
        <f t="shared" si="0"/>
        <v>0</v>
      </c>
    </row>
    <row r="50" spans="1:6" s="11" customFormat="1" ht="30" customHeight="1">
      <c r="A50" s="722" t="s">
        <v>470</v>
      </c>
      <c r="B50" s="723"/>
      <c r="C50" s="724" t="s">
        <v>471</v>
      </c>
      <c r="D50" s="725">
        <v>0</v>
      </c>
      <c r="E50" s="725">
        <v>0</v>
      </c>
      <c r="F50" s="726">
        <f t="shared" si="0"/>
        <v>0</v>
      </c>
    </row>
    <row r="51" spans="1:6" s="11" customFormat="1" ht="30" customHeight="1">
      <c r="A51" s="722" t="s">
        <v>472</v>
      </c>
      <c r="B51" s="723"/>
      <c r="C51" s="724" t="s">
        <v>473</v>
      </c>
      <c r="D51" s="725">
        <v>0</v>
      </c>
      <c r="E51" s="725">
        <v>0</v>
      </c>
      <c r="F51" s="726">
        <f t="shared" si="0"/>
        <v>0</v>
      </c>
    </row>
    <row r="52" spans="1:6" s="11" customFormat="1" ht="30" customHeight="1">
      <c r="A52" s="722" t="s">
        <v>595</v>
      </c>
      <c r="B52" s="723"/>
      <c r="C52" s="724" t="s">
        <v>596</v>
      </c>
      <c r="D52" s="725">
        <v>0</v>
      </c>
      <c r="E52" s="725">
        <v>0</v>
      </c>
      <c r="F52" s="726">
        <f>+D52+E52</f>
        <v>0</v>
      </c>
    </row>
    <row r="53" spans="1:6" s="11" customFormat="1" ht="30" customHeight="1">
      <c r="A53" s="722" t="s">
        <v>475</v>
      </c>
      <c r="B53" s="723"/>
      <c r="C53" s="724" t="s">
        <v>476</v>
      </c>
      <c r="D53" s="725">
        <v>434806</v>
      </c>
      <c r="E53" s="725">
        <v>0</v>
      </c>
      <c r="F53" s="726">
        <f t="shared" si="0"/>
        <v>434806</v>
      </c>
    </row>
    <row r="54" spans="1:6" s="11" customFormat="1" ht="30" customHeight="1">
      <c r="A54" s="722" t="s">
        <v>477</v>
      </c>
      <c r="B54" s="723"/>
      <c r="C54" s="724" t="s">
        <v>478</v>
      </c>
      <c r="D54" s="725">
        <v>3990</v>
      </c>
      <c r="E54" s="725">
        <v>0</v>
      </c>
      <c r="F54" s="726">
        <f t="shared" si="0"/>
        <v>3990</v>
      </c>
    </row>
    <row r="55" spans="1:6" s="11" customFormat="1" ht="30" customHeight="1" thickBot="1">
      <c r="A55" s="727" t="s">
        <v>479</v>
      </c>
      <c r="B55" s="728"/>
      <c r="C55" s="729" t="s">
        <v>480</v>
      </c>
      <c r="D55" s="725">
        <v>0</v>
      </c>
      <c r="E55" s="730">
        <v>0</v>
      </c>
      <c r="F55" s="731">
        <f t="shared" si="0"/>
        <v>0</v>
      </c>
    </row>
    <row r="56" spans="1:6" s="169" customFormat="1" ht="30" customHeight="1" thickBot="1">
      <c r="A56" s="252" t="s">
        <v>481</v>
      </c>
      <c r="B56" s="253"/>
      <c r="C56" s="538"/>
      <c r="D56" s="258">
        <f>SUM(D10:D55)</f>
        <v>3530662</v>
      </c>
      <c r="E56" s="258">
        <f>SUM(E10:E55)</f>
        <v>0</v>
      </c>
      <c r="F56" s="258">
        <f t="shared" si="0"/>
        <v>3530662</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6" customHeight="1" thickBot="1">
      <c r="A61" s="952" t="s">
        <v>591</v>
      </c>
      <c r="B61" s="953"/>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439">
        <v>4569</v>
      </c>
      <c r="E63" s="439">
        <v>0</v>
      </c>
      <c r="F63" s="224">
        <f t="shared" si="0"/>
        <v>4569</v>
      </c>
    </row>
    <row r="64" spans="1:6" s="11" customFormat="1" ht="30" customHeight="1">
      <c r="A64" s="722" t="s">
        <v>485</v>
      </c>
      <c r="B64" s="723"/>
      <c r="C64" s="732" t="s">
        <v>486</v>
      </c>
      <c r="D64" s="725">
        <v>0</v>
      </c>
      <c r="E64" s="725">
        <v>0</v>
      </c>
      <c r="F64" s="726">
        <f t="shared" si="0"/>
        <v>0</v>
      </c>
    </row>
    <row r="65" spans="1:6" s="11" customFormat="1" ht="30" customHeight="1">
      <c r="A65" s="722" t="s">
        <v>487</v>
      </c>
      <c r="B65" s="723"/>
      <c r="C65" s="732" t="s">
        <v>488</v>
      </c>
      <c r="D65" s="725">
        <v>0</v>
      </c>
      <c r="E65" s="725">
        <v>0</v>
      </c>
      <c r="F65" s="726">
        <f t="shared" si="0"/>
        <v>0</v>
      </c>
    </row>
    <row r="66" spans="1:6" s="11" customFormat="1" ht="30" customHeight="1">
      <c r="A66" s="722" t="s">
        <v>489</v>
      </c>
      <c r="B66" s="723"/>
      <c r="C66" s="732" t="s">
        <v>490</v>
      </c>
      <c r="D66" s="725">
        <v>996</v>
      </c>
      <c r="E66" s="725">
        <v>0</v>
      </c>
      <c r="F66" s="726">
        <f t="shared" si="0"/>
        <v>996</v>
      </c>
    </row>
    <row r="67" spans="1:6" s="11" customFormat="1" ht="30" customHeight="1">
      <c r="A67" s="722" t="s">
        <v>597</v>
      </c>
      <c r="B67" s="723"/>
      <c r="C67" s="732" t="s">
        <v>492</v>
      </c>
      <c r="D67" s="725">
        <v>0</v>
      </c>
      <c r="E67" s="725">
        <v>0</v>
      </c>
      <c r="F67" s="726">
        <f t="shared" si="0"/>
        <v>0</v>
      </c>
    </row>
    <row r="68" spans="1:6" s="11" customFormat="1" ht="30" customHeight="1">
      <c r="A68" s="722" t="s">
        <v>493</v>
      </c>
      <c r="B68" s="723"/>
      <c r="C68" s="732" t="s">
        <v>494</v>
      </c>
      <c r="D68" s="725">
        <v>0</v>
      </c>
      <c r="E68" s="725">
        <v>0</v>
      </c>
      <c r="F68" s="726">
        <f t="shared" si="0"/>
        <v>0</v>
      </c>
    </row>
    <row r="69" spans="1:6" s="11" customFormat="1" ht="30" customHeight="1">
      <c r="A69" s="984" t="s">
        <v>682</v>
      </c>
      <c r="B69" s="723"/>
      <c r="C69" s="981">
        <v>63100</v>
      </c>
      <c r="D69" s="982">
        <v>0</v>
      </c>
      <c r="E69" s="982">
        <v>0</v>
      </c>
      <c r="F69" s="983">
        <v>0</v>
      </c>
    </row>
    <row r="70" spans="1:6" s="11" customFormat="1" ht="30" customHeight="1">
      <c r="A70" s="722" t="s">
        <v>495</v>
      </c>
      <c r="B70" s="723"/>
      <c r="C70" s="732" t="s">
        <v>496</v>
      </c>
      <c r="D70" s="725">
        <v>0</v>
      </c>
      <c r="E70" s="725">
        <v>0</v>
      </c>
      <c r="F70" s="726">
        <f t="shared" si="0"/>
        <v>0</v>
      </c>
    </row>
    <row r="71" spans="1:6" s="11" customFormat="1" ht="30" customHeight="1">
      <c r="A71" s="722" t="s">
        <v>693</v>
      </c>
      <c r="B71" s="723"/>
      <c r="C71" s="732" t="s">
        <v>498</v>
      </c>
      <c r="D71" s="725">
        <v>0</v>
      </c>
      <c r="E71" s="725">
        <v>0</v>
      </c>
      <c r="F71" s="726">
        <f t="shared" si="0"/>
        <v>0</v>
      </c>
    </row>
    <row r="72" spans="1:6" s="11" customFormat="1" ht="30" customHeight="1">
      <c r="A72" s="722" t="s">
        <v>499</v>
      </c>
      <c r="B72" s="723"/>
      <c r="C72" s="732" t="s">
        <v>500</v>
      </c>
      <c r="D72" s="725">
        <v>13178</v>
      </c>
      <c r="E72" s="725">
        <v>0</v>
      </c>
      <c r="F72" s="726">
        <f t="shared" si="0"/>
        <v>13178</v>
      </c>
    </row>
    <row r="73" spans="1:6" s="11" customFormat="1" ht="30" customHeight="1">
      <c r="A73" s="722" t="s">
        <v>678</v>
      </c>
      <c r="B73" s="723"/>
      <c r="C73" s="732" t="s">
        <v>501</v>
      </c>
      <c r="D73" s="725">
        <v>0</v>
      </c>
      <c r="E73" s="725">
        <v>0</v>
      </c>
      <c r="F73" s="726">
        <f t="shared" si="0"/>
        <v>0</v>
      </c>
    </row>
    <row r="74" spans="1:6" s="11" customFormat="1" ht="30" customHeight="1">
      <c r="A74" s="722" t="s">
        <v>502</v>
      </c>
      <c r="B74" s="723"/>
      <c r="C74" s="732" t="s">
        <v>503</v>
      </c>
      <c r="D74" s="725">
        <v>0</v>
      </c>
      <c r="E74" s="725">
        <v>0</v>
      </c>
      <c r="F74" s="726">
        <f t="shared" ref="F74:F109" si="1">+D74+E74</f>
        <v>0</v>
      </c>
    </row>
    <row r="75" spans="1:6" s="11" customFormat="1" ht="30" customHeight="1">
      <c r="A75" s="722" t="s">
        <v>504</v>
      </c>
      <c r="B75" s="723"/>
      <c r="C75" s="732" t="s">
        <v>505</v>
      </c>
      <c r="D75" s="725">
        <v>6791</v>
      </c>
      <c r="E75" s="725">
        <v>0</v>
      </c>
      <c r="F75" s="726">
        <f t="shared" si="1"/>
        <v>6791</v>
      </c>
    </row>
    <row r="76" spans="1:6" s="11" customFormat="1" ht="30" customHeight="1">
      <c r="A76" s="722" t="s">
        <v>506</v>
      </c>
      <c r="B76" s="723"/>
      <c r="C76" s="732" t="s">
        <v>507</v>
      </c>
      <c r="D76" s="725">
        <v>9661</v>
      </c>
      <c r="E76" s="725">
        <v>0</v>
      </c>
      <c r="F76" s="726">
        <f t="shared" si="1"/>
        <v>9661</v>
      </c>
    </row>
    <row r="77" spans="1:6" s="11" customFormat="1" ht="30" customHeight="1">
      <c r="A77" s="722" t="s">
        <v>508</v>
      </c>
      <c r="B77" s="723"/>
      <c r="C77" s="732" t="s">
        <v>509</v>
      </c>
      <c r="D77" s="725">
        <v>2600</v>
      </c>
      <c r="E77" s="725">
        <v>0</v>
      </c>
      <c r="F77" s="726">
        <f t="shared" si="1"/>
        <v>2600</v>
      </c>
    </row>
    <row r="78" spans="1:6" s="11" customFormat="1" ht="30" customHeight="1">
      <c r="A78" s="722" t="s">
        <v>510</v>
      </c>
      <c r="B78" s="723"/>
      <c r="C78" s="732" t="s">
        <v>511</v>
      </c>
      <c r="D78" s="725">
        <v>0</v>
      </c>
      <c r="E78" s="725">
        <v>0</v>
      </c>
      <c r="F78" s="726">
        <f t="shared" si="1"/>
        <v>0</v>
      </c>
    </row>
    <row r="79" spans="1:6" s="11" customFormat="1" ht="30" customHeight="1">
      <c r="A79" s="722" t="s">
        <v>512</v>
      </c>
      <c r="B79" s="723"/>
      <c r="C79" s="732" t="s">
        <v>513</v>
      </c>
      <c r="D79" s="725">
        <v>2189</v>
      </c>
      <c r="E79" s="725">
        <v>0</v>
      </c>
      <c r="F79" s="726">
        <f t="shared" si="1"/>
        <v>2189</v>
      </c>
    </row>
    <row r="80" spans="1:6" s="11" customFormat="1" ht="30" customHeight="1">
      <c r="A80" s="722" t="s">
        <v>514</v>
      </c>
      <c r="B80" s="723"/>
      <c r="C80" s="732" t="s">
        <v>515</v>
      </c>
      <c r="D80" s="725">
        <v>5925</v>
      </c>
      <c r="E80" s="725">
        <v>0</v>
      </c>
      <c r="F80" s="726">
        <f t="shared" ref="F80:F85" si="2">+D80+E80</f>
        <v>5925</v>
      </c>
    </row>
    <row r="81" spans="1:6" s="11" customFormat="1" ht="30" customHeight="1">
      <c r="A81" s="722" t="s">
        <v>516</v>
      </c>
      <c r="B81" s="723"/>
      <c r="C81" s="732" t="s">
        <v>517</v>
      </c>
      <c r="D81" s="725">
        <v>0</v>
      </c>
      <c r="E81" s="725">
        <v>0</v>
      </c>
      <c r="F81" s="726">
        <f t="shared" si="2"/>
        <v>0</v>
      </c>
    </row>
    <row r="82" spans="1:6" s="11" customFormat="1" ht="30" customHeight="1">
      <c r="A82" s="722" t="s">
        <v>518</v>
      </c>
      <c r="B82" s="723"/>
      <c r="C82" s="732" t="s">
        <v>519</v>
      </c>
      <c r="D82" s="725">
        <v>0</v>
      </c>
      <c r="E82" s="725">
        <v>0</v>
      </c>
      <c r="F82" s="726">
        <f t="shared" si="2"/>
        <v>0</v>
      </c>
    </row>
    <row r="83" spans="1:6" s="11" customFormat="1" ht="30" customHeight="1">
      <c r="A83" s="722" t="s">
        <v>520</v>
      </c>
      <c r="B83" s="723"/>
      <c r="C83" s="732" t="s">
        <v>521</v>
      </c>
      <c r="D83" s="725">
        <v>0</v>
      </c>
      <c r="E83" s="725">
        <v>0</v>
      </c>
      <c r="F83" s="726">
        <f t="shared" si="2"/>
        <v>0</v>
      </c>
    </row>
    <row r="84" spans="1:6" s="11" customFormat="1" ht="30" customHeight="1">
      <c r="A84" s="722" t="s">
        <v>522</v>
      </c>
      <c r="B84" s="723"/>
      <c r="C84" s="732" t="s">
        <v>523</v>
      </c>
      <c r="D84" s="725">
        <v>0</v>
      </c>
      <c r="E84" s="725">
        <v>0</v>
      </c>
      <c r="F84" s="726">
        <f t="shared" si="2"/>
        <v>0</v>
      </c>
    </row>
    <row r="85" spans="1:6" s="11" customFormat="1" ht="30" customHeight="1">
      <c r="A85" s="722" t="s">
        <v>524</v>
      </c>
      <c r="B85" s="723"/>
      <c r="C85" s="732" t="s">
        <v>525</v>
      </c>
      <c r="D85" s="725">
        <v>0</v>
      </c>
      <c r="E85" s="725">
        <v>0</v>
      </c>
      <c r="F85" s="726">
        <f t="shared" si="2"/>
        <v>0</v>
      </c>
    </row>
    <row r="86" spans="1:6" s="11" customFormat="1" ht="30" customHeight="1">
      <c r="A86" s="722" t="s">
        <v>526</v>
      </c>
      <c r="B86" s="723"/>
      <c r="C86" s="732" t="s">
        <v>527</v>
      </c>
      <c r="D86" s="725">
        <v>0</v>
      </c>
      <c r="E86" s="725">
        <v>0</v>
      </c>
      <c r="F86" s="726">
        <f t="shared" si="1"/>
        <v>0</v>
      </c>
    </row>
    <row r="87" spans="1:6" s="11" customFormat="1" ht="30" customHeight="1">
      <c r="A87" s="722" t="s">
        <v>598</v>
      </c>
      <c r="B87" s="723"/>
      <c r="C87" s="732">
        <v>69100</v>
      </c>
      <c r="D87" s="725">
        <v>0</v>
      </c>
      <c r="E87" s="725">
        <v>0</v>
      </c>
      <c r="F87" s="726">
        <f t="shared" si="1"/>
        <v>0</v>
      </c>
    </row>
    <row r="88" spans="1:6" s="11" customFormat="1" ht="30" customHeight="1">
      <c r="A88" s="722" t="s">
        <v>599</v>
      </c>
      <c r="B88" s="723"/>
      <c r="C88" s="732">
        <v>69200</v>
      </c>
      <c r="D88" s="725">
        <v>0</v>
      </c>
      <c r="E88" s="725">
        <v>0</v>
      </c>
      <c r="F88" s="726">
        <f t="shared" si="1"/>
        <v>0</v>
      </c>
    </row>
    <row r="89" spans="1:6" s="11" customFormat="1" ht="30" customHeight="1">
      <c r="A89" s="722" t="s">
        <v>528</v>
      </c>
      <c r="B89" s="723"/>
      <c r="C89" s="732" t="s">
        <v>529</v>
      </c>
      <c r="D89" s="725">
        <v>0</v>
      </c>
      <c r="E89" s="725">
        <v>0</v>
      </c>
      <c r="F89" s="726">
        <f t="shared" si="1"/>
        <v>0</v>
      </c>
    </row>
    <row r="90" spans="1:6" s="11" customFormat="1" ht="30" customHeight="1">
      <c r="A90" s="722" t="s">
        <v>387</v>
      </c>
      <c r="B90" s="723"/>
      <c r="C90" s="732" t="s">
        <v>531</v>
      </c>
      <c r="D90" s="725">
        <v>0</v>
      </c>
      <c r="E90" s="725">
        <v>0</v>
      </c>
      <c r="F90" s="726">
        <f t="shared" si="1"/>
        <v>0</v>
      </c>
    </row>
    <row r="91" spans="1:6" s="11" customFormat="1" ht="30" customHeight="1" thickBot="1">
      <c r="A91" s="727" t="s">
        <v>532</v>
      </c>
      <c r="B91" s="728"/>
      <c r="C91" s="733" t="s">
        <v>533</v>
      </c>
      <c r="D91" s="725">
        <v>0</v>
      </c>
      <c r="E91" s="725">
        <v>0</v>
      </c>
      <c r="F91" s="731">
        <f t="shared" si="1"/>
        <v>0</v>
      </c>
    </row>
    <row r="92" spans="1:6" s="11" customFormat="1" ht="30" customHeight="1" thickBot="1">
      <c r="A92" s="836" t="s">
        <v>600</v>
      </c>
      <c r="B92" s="841"/>
      <c r="C92" s="255"/>
      <c r="D92" s="254">
        <f>SUM(D63:D91)</f>
        <v>45909</v>
      </c>
      <c r="E92" s="254">
        <f>SUM(E63:E91)</f>
        <v>0</v>
      </c>
      <c r="F92" s="254">
        <f t="shared" si="1"/>
        <v>45909</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6" customHeight="1" thickBot="1">
      <c r="A96" s="954" t="s">
        <v>156</v>
      </c>
      <c r="B96" s="955"/>
      <c r="C96" s="221" t="s">
        <v>261</v>
      </c>
      <c r="D96" s="222" t="s">
        <v>592</v>
      </c>
      <c r="E96" s="536" t="s">
        <v>593</v>
      </c>
      <c r="F96" s="221" t="s">
        <v>594</v>
      </c>
    </row>
    <row r="97" spans="1:6" s="11" customFormat="1" ht="30" customHeight="1">
      <c r="A97" s="223" t="s">
        <v>535</v>
      </c>
      <c r="B97" s="231"/>
      <c r="C97" s="232" t="s">
        <v>536</v>
      </c>
      <c r="D97" s="439">
        <v>0</v>
      </c>
      <c r="E97" s="439">
        <v>0</v>
      </c>
      <c r="F97" s="224">
        <f t="shared" si="1"/>
        <v>0</v>
      </c>
    </row>
    <row r="98" spans="1:6" s="11" customFormat="1" ht="30" customHeight="1">
      <c r="A98" s="722" t="s">
        <v>601</v>
      </c>
      <c r="B98" s="723"/>
      <c r="C98" s="732" t="s">
        <v>538</v>
      </c>
      <c r="D98" s="725">
        <v>0</v>
      </c>
      <c r="E98" s="725">
        <v>0</v>
      </c>
      <c r="F98" s="726">
        <f t="shared" si="1"/>
        <v>0</v>
      </c>
    </row>
    <row r="99" spans="1:6" s="11" customFormat="1" ht="30" customHeight="1">
      <c r="A99" s="722" t="s">
        <v>539</v>
      </c>
      <c r="B99" s="723"/>
      <c r="C99" s="732" t="s">
        <v>540</v>
      </c>
      <c r="D99" s="725">
        <v>0</v>
      </c>
      <c r="E99" s="725">
        <v>0</v>
      </c>
      <c r="F99" s="726">
        <f t="shared" si="1"/>
        <v>0</v>
      </c>
    </row>
    <row r="100" spans="1:6" s="11" customFormat="1" ht="30" customHeight="1">
      <c r="A100" s="722" t="s">
        <v>541</v>
      </c>
      <c r="B100" s="723"/>
      <c r="C100" s="732" t="s">
        <v>542</v>
      </c>
      <c r="D100" s="725">
        <v>0</v>
      </c>
      <c r="E100" s="725">
        <v>0</v>
      </c>
      <c r="F100" s="726">
        <f t="shared" si="1"/>
        <v>0</v>
      </c>
    </row>
    <row r="101" spans="1:6" s="11" customFormat="1" ht="30" customHeight="1">
      <c r="A101" s="722" t="s">
        <v>544</v>
      </c>
      <c r="B101" s="723"/>
      <c r="C101" s="981" t="s">
        <v>545</v>
      </c>
      <c r="D101" s="982">
        <v>0</v>
      </c>
      <c r="E101" s="982">
        <v>0</v>
      </c>
      <c r="F101" s="983">
        <f t="shared" si="1"/>
        <v>0</v>
      </c>
    </row>
    <row r="102" spans="1:6" s="11" customFormat="1" ht="30" customHeight="1">
      <c r="A102" s="1060" t="s">
        <v>770</v>
      </c>
      <c r="B102" s="1061"/>
      <c r="C102" s="1062">
        <v>73001</v>
      </c>
      <c r="D102" s="1086">
        <v>0</v>
      </c>
      <c r="E102" s="1086">
        <v>0</v>
      </c>
      <c r="F102" s="1019">
        <f t="shared" si="1"/>
        <v>0</v>
      </c>
    </row>
    <row r="103" spans="1:6" s="11" customFormat="1" ht="30" customHeight="1">
      <c r="A103" s="1063" t="s">
        <v>684</v>
      </c>
      <c r="B103" s="1064"/>
      <c r="C103" s="1065">
        <v>73002</v>
      </c>
      <c r="D103" s="1087">
        <v>0</v>
      </c>
      <c r="E103" s="1087">
        <v>0</v>
      </c>
      <c r="F103" s="1020">
        <f t="shared" si="1"/>
        <v>0</v>
      </c>
    </row>
    <row r="104" spans="1:6" s="11" customFormat="1" ht="30" customHeight="1">
      <c r="A104" s="722" t="s">
        <v>543</v>
      </c>
      <c r="B104" s="723"/>
      <c r="C104" s="1016">
        <v>73050</v>
      </c>
      <c r="D104" s="1017">
        <v>0</v>
      </c>
      <c r="E104" s="1017">
        <v>0</v>
      </c>
      <c r="F104" s="1018">
        <f>+D104+E104</f>
        <v>0</v>
      </c>
    </row>
    <row r="105" spans="1:6" s="11" customFormat="1" ht="30" customHeight="1">
      <c r="A105" s="984" t="s">
        <v>771</v>
      </c>
      <c r="B105" s="723"/>
      <c r="C105" s="981">
        <v>73100</v>
      </c>
      <c r="D105" s="982">
        <v>0</v>
      </c>
      <c r="E105" s="982">
        <v>0</v>
      </c>
      <c r="F105" s="1018">
        <f>+D105+E105</f>
        <v>0</v>
      </c>
    </row>
    <row r="106" spans="1:6" s="11" customFormat="1" ht="47.25" customHeight="1">
      <c r="A106" s="1043" t="s">
        <v>602</v>
      </c>
      <c r="B106" s="1044"/>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0</v>
      </c>
      <c r="E110" s="258">
        <f>SUM(E97:E109)</f>
        <v>0</v>
      </c>
      <c r="F110" s="258">
        <f>SUM(D110:E110)</f>
        <v>0</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3576571</v>
      </c>
      <c r="E112" s="254">
        <f>+E56+E92+E110</f>
        <v>0</v>
      </c>
      <c r="F112" s="254">
        <f>SUM(D112:E112)</f>
        <v>3576571</v>
      </c>
    </row>
    <row r="113" spans="1:6" s="11" customFormat="1" ht="116.45" customHeight="1">
      <c r="F113" s="236"/>
    </row>
    <row r="114" spans="1:6" s="63" customFormat="1" ht="30" customHeight="1" thickBot="1">
      <c r="A114" s="11"/>
      <c r="B114" s="11"/>
      <c r="C114" s="11"/>
      <c r="D114" s="11"/>
      <c r="E114" s="11"/>
      <c r="F114" s="11"/>
    </row>
    <row r="115" spans="1:6" s="63" customFormat="1" ht="111.75" customHeight="1" thickBot="1">
      <c r="A115" s="952" t="s">
        <v>603</v>
      </c>
      <c r="B115" s="953"/>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2">
        <f>'EXHIBIT C'!H10</f>
        <v>2813364</v>
      </c>
      <c r="E117" s="725">
        <v>0</v>
      </c>
      <c r="F117" s="726">
        <f t="shared" ref="F117:F127" si="3">+D117+E117</f>
        <v>2813364</v>
      </c>
    </row>
    <row r="118" spans="1:6" s="63" customFormat="1" ht="30" customHeight="1">
      <c r="A118" s="722" t="s">
        <v>606</v>
      </c>
      <c r="B118" s="575"/>
      <c r="C118" s="734"/>
      <c r="D118" s="1042">
        <f>'EXHIBIT C'!F19</f>
        <v>178870</v>
      </c>
      <c r="E118" s="725">
        <v>0</v>
      </c>
      <c r="F118" s="726">
        <f t="shared" si="3"/>
        <v>178870</v>
      </c>
    </row>
    <row r="119" spans="1:6" s="63" customFormat="1" ht="50.25" customHeight="1">
      <c r="A119" s="722" t="s">
        <v>607</v>
      </c>
      <c r="B119" s="575"/>
      <c r="C119" s="734"/>
      <c r="D119" s="725">
        <v>0</v>
      </c>
      <c r="E119" s="725">
        <v>0</v>
      </c>
      <c r="F119" s="726">
        <f t="shared" si="3"/>
        <v>0</v>
      </c>
    </row>
    <row r="120" spans="1:6" s="63" customFormat="1" ht="30" customHeight="1">
      <c r="A120" s="722" t="s">
        <v>608</v>
      </c>
      <c r="B120" s="575"/>
      <c r="C120" s="734"/>
      <c r="D120" s="725">
        <v>0</v>
      </c>
      <c r="E120" s="725">
        <v>0</v>
      </c>
      <c r="F120" s="726">
        <f t="shared" si="3"/>
        <v>0</v>
      </c>
    </row>
    <row r="121" spans="1:6" s="63" customFormat="1" ht="30" customHeight="1">
      <c r="A121" s="956" t="s">
        <v>680</v>
      </c>
      <c r="B121" s="575"/>
      <c r="C121" s="734"/>
      <c r="D121" s="725">
        <v>0</v>
      </c>
      <c r="E121" s="725">
        <v>0</v>
      </c>
      <c r="F121" s="726">
        <f t="shared" si="3"/>
        <v>0</v>
      </c>
    </row>
    <row r="122" spans="1:6" s="63" customFormat="1" ht="30" customHeight="1">
      <c r="A122" s="722" t="s">
        <v>609</v>
      </c>
      <c r="B122" s="575"/>
      <c r="C122" s="734"/>
      <c r="D122" s="725">
        <v>584337</v>
      </c>
      <c r="E122" s="725">
        <v>0</v>
      </c>
      <c r="F122" s="726">
        <f t="shared" si="3"/>
        <v>584337</v>
      </c>
    </row>
    <row r="123" spans="1:6" s="63" customFormat="1" ht="30" customHeight="1">
      <c r="A123" s="722" t="s">
        <v>610</v>
      </c>
      <c r="B123" s="575"/>
      <c r="C123" s="734"/>
      <c r="D123" s="725">
        <v>0</v>
      </c>
      <c r="E123" s="725">
        <v>0</v>
      </c>
      <c r="F123" s="726">
        <f t="shared" si="3"/>
        <v>0</v>
      </c>
    </row>
    <row r="124" spans="1:6" s="63" customFormat="1" ht="30" customHeight="1">
      <c r="A124" s="722" t="s">
        <v>611</v>
      </c>
      <c r="B124" s="575"/>
      <c r="C124" s="734"/>
      <c r="D124" s="725">
        <v>0</v>
      </c>
      <c r="E124" s="725">
        <v>0</v>
      </c>
      <c r="F124" s="726">
        <f t="shared" si="3"/>
        <v>0</v>
      </c>
    </row>
    <row r="125" spans="1:6" s="63" customFormat="1" ht="30" customHeight="1">
      <c r="A125" s="722" t="s">
        <v>612</v>
      </c>
      <c r="B125" s="575"/>
      <c r="C125" s="734"/>
      <c r="D125" s="725">
        <v>0</v>
      </c>
      <c r="E125" s="725">
        <v>0</v>
      </c>
      <c r="F125" s="726">
        <f t="shared" si="3"/>
        <v>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1" customHeight="1" thickBot="1">
      <c r="A128" s="836" t="s">
        <v>615</v>
      </c>
      <c r="B128" s="837"/>
      <c r="C128" s="246"/>
      <c r="D128" s="247">
        <f>SUM(D116:D127)</f>
        <v>3576571</v>
      </c>
      <c r="E128" s="248">
        <f>SUM(E116:E127)</f>
        <v>0</v>
      </c>
      <c r="F128" s="249">
        <f>SUM(F116:F127)</f>
        <v>3576571</v>
      </c>
    </row>
    <row r="129" spans="1:6" ht="14.1" customHeight="1">
      <c r="A129" s="237"/>
      <c r="B129" s="237"/>
      <c r="C129" s="238"/>
      <c r="D129" s="239"/>
      <c r="E129" s="239"/>
      <c r="F129" s="239"/>
    </row>
    <row r="130" spans="1:6" ht="83.25" customHeight="1">
      <c r="A130" s="899" t="s">
        <v>694</v>
      </c>
      <c r="B130" s="899"/>
      <c r="C130" s="900"/>
      <c r="D130" s="240">
        <f>D128-D112</f>
        <v>0</v>
      </c>
      <c r="E130" s="240">
        <f t="shared" ref="E130:F130" si="4">E128-E112</f>
        <v>0</v>
      </c>
      <c r="F130" s="240">
        <f t="shared" si="4"/>
        <v>0</v>
      </c>
    </row>
    <row r="131" spans="1:6" ht="30" customHeight="1">
      <c r="A131" s="237"/>
      <c r="B131" s="237"/>
      <c r="C131" s="238"/>
      <c r="D131" s="239"/>
      <c r="E131" s="239"/>
      <c r="F131" s="239"/>
    </row>
    <row r="132" spans="1:6" ht="30" customHeight="1" thickBot="1">
      <c r="A132" s="443" t="s">
        <v>695</v>
      </c>
      <c r="B132" s="11"/>
      <c r="C132" s="11"/>
      <c r="D132" s="241"/>
      <c r="E132" s="241"/>
      <c r="F132" s="242"/>
    </row>
    <row r="133" spans="1:6" ht="238.5" customHeight="1" thickBot="1">
      <c r="A133" s="1045"/>
      <c r="B133" s="1046"/>
      <c r="C133" s="1046"/>
      <c r="D133" s="1046"/>
      <c r="E133" s="1046"/>
      <c r="F133" s="1047"/>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5"/>
      <c r="B136" s="1046"/>
      <c r="C136" s="1046"/>
      <c r="D136" s="1046"/>
      <c r="E136" s="1046"/>
      <c r="F136" s="1047"/>
    </row>
    <row r="137" spans="1:6" ht="25.35" customHeight="1">
      <c r="F137" s="244"/>
    </row>
    <row r="138" spans="1:6" ht="25.35" customHeight="1">
      <c r="F138" s="244"/>
    </row>
    <row r="139" spans="1:6" ht="25.35" customHeight="1">
      <c r="F139" s="244"/>
    </row>
    <row r="140" spans="1:6" ht="25.35" customHeight="1">
      <c r="F140" s="244"/>
    </row>
    <row r="141" spans="1:6" ht="25.35" customHeight="1">
      <c r="F141" s="244"/>
    </row>
    <row r="142" spans="1:6" ht="25.35" customHeight="1">
      <c r="E142" s="245"/>
      <c r="F142" s="244"/>
    </row>
    <row r="143" spans="1:6" ht="25.35" customHeight="1">
      <c r="E143" s="245"/>
      <c r="F143" s="244"/>
    </row>
    <row r="144" spans="1:6" ht="25.35" customHeight="1">
      <c r="E144" s="245"/>
      <c r="F144" s="244"/>
    </row>
    <row r="145" spans="6:6" ht="25.35" customHeight="1">
      <c r="F145" s="244"/>
    </row>
    <row r="146" spans="6:6" ht="25.35" customHeight="1">
      <c r="F146" s="244"/>
    </row>
    <row r="147" spans="6:6" ht="25.35" customHeight="1">
      <c r="F147" s="244"/>
    </row>
    <row r="148" spans="6:6" ht="25.35" customHeight="1">
      <c r="F148" s="244"/>
    </row>
    <row r="149" spans="6:6" ht="25.35" customHeight="1">
      <c r="F149" s="244"/>
    </row>
    <row r="150" spans="6:6" ht="25.35" customHeight="1">
      <c r="F150" s="244"/>
    </row>
    <row r="151" spans="6:6" ht="25.35" customHeight="1">
      <c r="F151" s="244"/>
    </row>
    <row r="152" spans="6:6" ht="25.35" customHeight="1">
      <c r="F152" s="244"/>
    </row>
    <row r="153" spans="6:6" ht="25.35" customHeight="1">
      <c r="F153" s="244"/>
    </row>
    <row r="154" spans="6:6" ht="25.35" customHeight="1">
      <c r="F154" s="244"/>
    </row>
    <row r="155" spans="6:6" ht="25.35" customHeight="1">
      <c r="F155" s="244"/>
    </row>
    <row r="156" spans="6:6" ht="25.35" customHeight="1">
      <c r="F156" s="244"/>
    </row>
    <row r="157" spans="6:6" ht="25.35" customHeight="1">
      <c r="F157" s="244"/>
    </row>
    <row r="158" spans="6:6" ht="25.35" customHeight="1">
      <c r="F158" s="244"/>
    </row>
    <row r="159" spans="6:6" ht="25.35" customHeight="1">
      <c r="F159" s="244"/>
    </row>
    <row r="160" spans="6: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workbookViewId="0"/>
  </sheetViews>
  <sheetFormatPr defaultColWidth="9.140625" defaultRowHeight="15.75"/>
  <cols>
    <col min="1" max="1" width="5.28515625" style="265" customWidth="1"/>
    <col min="2" max="2" width="84.42578125" style="265" customWidth="1"/>
    <col min="3" max="3" width="14.85546875" style="265" customWidth="1"/>
    <col min="4" max="4" width="14" style="265" customWidth="1"/>
    <col min="5" max="5" width="15.42578125" style="265" customWidth="1"/>
    <col min="6" max="6" width="9.140625" style="265"/>
    <col min="7" max="7" width="10.85546875" style="265" customWidth="1"/>
    <col min="8" max="16384" width="9.140625" style="265"/>
  </cols>
  <sheetData>
    <row r="1" spans="2:7" ht="26.25">
      <c r="B1" s="879" t="s">
        <v>11</v>
      </c>
      <c r="C1" s="879"/>
      <c r="D1" s="879"/>
      <c r="E1" s="879"/>
      <c r="F1" s="264"/>
      <c r="G1" s="264"/>
    </row>
    <row r="2" spans="2:7" ht="26.25">
      <c r="B2" s="879" t="s">
        <v>763</v>
      </c>
      <c r="C2" s="879"/>
      <c r="D2" s="879"/>
      <c r="E2" s="879"/>
      <c r="F2" s="264"/>
      <c r="G2" s="264"/>
    </row>
    <row r="3" spans="2:7" ht="21">
      <c r="B3" s="869"/>
      <c r="C3" s="869"/>
      <c r="D3" s="869"/>
      <c r="E3" s="869"/>
      <c r="F3" s="264"/>
      <c r="G3" s="264"/>
    </row>
    <row r="4" spans="2:7" ht="21.75" thickBot="1">
      <c r="B4" s="980"/>
      <c r="C4" s="980"/>
      <c r="D4" s="980"/>
      <c r="E4" s="980"/>
      <c r="F4" s="264"/>
      <c r="G4" s="264"/>
    </row>
    <row r="5" spans="2:7" ht="48" customHeight="1">
      <c r="B5" s="862" t="s">
        <v>617</v>
      </c>
      <c r="C5" s="960" t="s">
        <v>618</v>
      </c>
      <c r="D5" s="961"/>
      <c r="E5" s="962"/>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6" customHeight="1">
      <c r="B13" s="865" t="s">
        <v>626</v>
      </c>
      <c r="C13" s="957" t="s">
        <v>618</v>
      </c>
      <c r="D13" s="958"/>
      <c r="E13" s="959"/>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35" customHeight="1">
      <c r="B23" s="866" t="s">
        <v>632</v>
      </c>
      <c r="C23" s="963" t="s">
        <v>618</v>
      </c>
      <c r="D23" s="964"/>
      <c r="E23" s="965"/>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45" customHeight="1">
      <c r="B31" s="857" t="s">
        <v>634</v>
      </c>
      <c r="C31" s="957" t="s">
        <v>618</v>
      </c>
      <c r="D31" s="958"/>
      <c r="E31" s="966"/>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3" t="s">
        <v>618</v>
      </c>
      <c r="D56" s="964"/>
      <c r="E56" s="965"/>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7" t="s">
        <v>618</v>
      </c>
      <c r="D63" s="958"/>
      <c r="E63" s="966"/>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3" t="s">
        <v>647</v>
      </c>
      <c r="D72" s="964"/>
      <c r="E72" s="965"/>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702</v>
      </c>
      <c r="B2" s="879"/>
      <c r="C2" s="879"/>
    </row>
    <row r="3" spans="1:3" s="79" customFormat="1" ht="26.45" customHeight="1">
      <c r="A3" s="979" t="s">
        <v>652</v>
      </c>
      <c r="B3" s="967"/>
      <c r="C3" s="968"/>
    </row>
    <row r="4" spans="1:3" s="79" customFormat="1" ht="42">
      <c r="A4" s="775" t="s">
        <v>653</v>
      </c>
      <c r="B4" s="776">
        <v>7.0000000000000007E-2</v>
      </c>
      <c r="C4" s="777" t="s">
        <v>654</v>
      </c>
    </row>
    <row r="5" spans="1:3" s="79" customFormat="1" ht="42">
      <c r="A5" s="775" t="s">
        <v>655</v>
      </c>
      <c r="B5" s="776">
        <v>0.05</v>
      </c>
      <c r="C5" s="777" t="s">
        <v>654</v>
      </c>
    </row>
    <row r="6" spans="1:3" s="79" customFormat="1" ht="30.95" customHeight="1">
      <c r="A6" s="778" t="s">
        <v>656</v>
      </c>
      <c r="B6" s="779">
        <v>0.1</v>
      </c>
      <c r="C6" s="780" t="s">
        <v>654</v>
      </c>
    </row>
    <row r="7" spans="1:3" s="79" customFormat="1" ht="26.45" customHeight="1">
      <c r="A7" s="973" t="s">
        <v>657</v>
      </c>
      <c r="B7" s="974"/>
      <c r="C7" s="975"/>
    </row>
    <row r="8" spans="1:3" s="79" customFormat="1" ht="42">
      <c r="A8" s="775" t="s">
        <v>653</v>
      </c>
      <c r="B8" s="776">
        <v>7.0000000000000007E-2</v>
      </c>
      <c r="C8" s="777" t="s">
        <v>658</v>
      </c>
    </row>
    <row r="9" spans="1:3" s="79" customFormat="1" ht="42">
      <c r="A9" s="775" t="s">
        <v>655</v>
      </c>
      <c r="B9" s="776">
        <v>0.05</v>
      </c>
      <c r="C9" s="777" t="s">
        <v>658</v>
      </c>
    </row>
    <row r="10" spans="1:3" s="79" customFormat="1" ht="29.1" customHeight="1">
      <c r="A10" s="778" t="str">
        <f>A6</f>
        <v>CCATD</v>
      </c>
      <c r="B10" s="779">
        <v>0.1</v>
      </c>
      <c r="C10" s="780" t="s">
        <v>658</v>
      </c>
    </row>
    <row r="11" spans="1:3" s="79" customFormat="1" ht="26.45" customHeight="1">
      <c r="A11" s="973" t="s">
        <v>659</v>
      </c>
      <c r="B11" s="974"/>
      <c r="C11" s="975"/>
    </row>
    <row r="12" spans="1:3" s="79" customFormat="1" ht="29.1" customHeight="1">
      <c r="A12" s="775" t="s">
        <v>660</v>
      </c>
      <c r="B12" s="776">
        <v>0.1</v>
      </c>
      <c r="C12" s="777" t="s">
        <v>661</v>
      </c>
    </row>
    <row r="13" spans="1:3" s="79" customFormat="1" ht="30" customHeight="1">
      <c r="A13" s="778" t="str">
        <f>A6</f>
        <v>CCATD</v>
      </c>
      <c r="B13" s="779">
        <v>0</v>
      </c>
      <c r="C13" s="780" t="s">
        <v>662</v>
      </c>
    </row>
    <row r="14" spans="1:3" s="79" customFormat="1" ht="26.45" customHeight="1">
      <c r="A14" s="976" t="s">
        <v>663</v>
      </c>
      <c r="B14" s="977"/>
      <c r="C14" s="978"/>
    </row>
    <row r="15" spans="1:3" s="79" customFormat="1" ht="27.95" customHeight="1">
      <c r="A15" s="775" t="s">
        <v>660</v>
      </c>
      <c r="B15" s="776">
        <v>0.1</v>
      </c>
      <c r="C15" s="777" t="s">
        <v>664</v>
      </c>
    </row>
    <row r="16" spans="1:3" s="79" customFormat="1" ht="27.95" customHeight="1">
      <c r="A16" s="778" t="str">
        <f>A6</f>
        <v>CCATD</v>
      </c>
      <c r="B16" s="779">
        <v>0</v>
      </c>
      <c r="C16" s="780" t="s">
        <v>662</v>
      </c>
    </row>
    <row r="17" spans="1:3" s="79" customFormat="1" ht="26.45" customHeight="1">
      <c r="A17" s="973" t="s">
        <v>665</v>
      </c>
      <c r="B17" s="974"/>
      <c r="C17" s="975"/>
    </row>
    <row r="18" spans="1:3" s="79" customFormat="1" ht="42">
      <c r="A18" s="781" t="s">
        <v>660</v>
      </c>
      <c r="B18" s="776">
        <v>0.2</v>
      </c>
      <c r="C18" s="782" t="s">
        <v>666</v>
      </c>
    </row>
    <row r="19" spans="1:3" s="79" customFormat="1" ht="30.95" customHeight="1">
      <c r="A19" s="778" t="str">
        <f>A6</f>
        <v>CCATD</v>
      </c>
      <c r="B19" s="779">
        <v>0.05</v>
      </c>
      <c r="C19" s="780" t="s">
        <v>667</v>
      </c>
    </row>
    <row r="20" spans="1:3" s="79" customFormat="1" ht="26.45" customHeight="1">
      <c r="A20" s="973" t="s">
        <v>668</v>
      </c>
      <c r="B20" s="974"/>
      <c r="C20" s="975"/>
    </row>
    <row r="21" spans="1:3" s="79" customFormat="1" ht="21">
      <c r="A21" s="781" t="s">
        <v>660</v>
      </c>
      <c r="B21" s="776">
        <v>0.2</v>
      </c>
      <c r="C21" s="777" t="s">
        <v>658</v>
      </c>
    </row>
    <row r="22" spans="1:3" s="79" customFormat="1" ht="27.95" customHeight="1">
      <c r="A22" s="778" t="str">
        <f>A6</f>
        <v>CCATD</v>
      </c>
      <c r="B22" s="779">
        <v>0.05</v>
      </c>
      <c r="C22" s="780" t="s">
        <v>658</v>
      </c>
    </row>
    <row r="23" spans="1:3" s="79" customFormat="1" ht="26.45" customHeight="1">
      <c r="A23" s="973" t="s">
        <v>669</v>
      </c>
      <c r="B23" s="974"/>
      <c r="C23" s="975"/>
    </row>
    <row r="24" spans="1:3" s="79" customFormat="1" ht="21">
      <c r="A24" s="781" t="s">
        <v>660</v>
      </c>
      <c r="B24" s="776">
        <v>0.05</v>
      </c>
      <c r="C24" s="777" t="s">
        <v>661</v>
      </c>
    </row>
    <row r="25" spans="1:3" s="79" customFormat="1" ht="27.95" customHeight="1">
      <c r="A25" s="778" t="str">
        <f>A6</f>
        <v>CCATD</v>
      </c>
      <c r="B25" s="779">
        <v>0.05</v>
      </c>
      <c r="C25" s="783" t="s">
        <v>661</v>
      </c>
    </row>
    <row r="26" spans="1:3" s="79" customFormat="1" ht="26.45" customHeight="1">
      <c r="A26" s="973" t="s">
        <v>670</v>
      </c>
      <c r="B26" s="974"/>
      <c r="C26" s="975"/>
    </row>
    <row r="27" spans="1:3" s="79" customFormat="1" ht="21">
      <c r="A27" s="781" t="s">
        <v>660</v>
      </c>
      <c r="B27" s="776">
        <v>0.05</v>
      </c>
      <c r="C27" s="777" t="s">
        <v>658</v>
      </c>
    </row>
    <row r="28" spans="1:3" s="79" customFormat="1" ht="27.95" customHeight="1" thickBot="1">
      <c r="A28" s="784" t="str">
        <f>A6</f>
        <v>CCATD</v>
      </c>
      <c r="B28" s="785">
        <v>0.05</v>
      </c>
      <c r="C28" s="786" t="s">
        <v>658</v>
      </c>
    </row>
    <row r="30" spans="1:3" ht="61.35" customHeight="1">
      <c r="A30" s="969" t="s">
        <v>671</v>
      </c>
      <c r="B30" s="969"/>
      <c r="C30" s="969"/>
    </row>
    <row r="31" spans="1:3" ht="14.45" customHeight="1">
      <c r="A31" s="970"/>
      <c r="B31" s="970"/>
      <c r="C31" s="970"/>
    </row>
    <row r="32" spans="1:3" ht="31.35" customHeight="1">
      <c r="A32" s="969" t="s">
        <v>672</v>
      </c>
      <c r="B32" s="969"/>
      <c r="C32" s="969"/>
    </row>
    <row r="33" spans="1:3" ht="14.45" customHeight="1">
      <c r="A33" s="970"/>
      <c r="B33" s="970"/>
      <c r="C33" s="970"/>
    </row>
    <row r="34" spans="1:3" ht="30" customHeight="1">
      <c r="A34" s="969" t="s">
        <v>673</v>
      </c>
      <c r="B34" s="969"/>
      <c r="C34" s="969"/>
    </row>
    <row r="35" spans="1:3" ht="14.45" customHeight="1">
      <c r="A35" s="970"/>
      <c r="B35" s="970"/>
      <c r="C35" s="970"/>
    </row>
    <row r="36" spans="1:3" ht="15" customHeight="1">
      <c r="A36" s="971" t="s">
        <v>674</v>
      </c>
      <c r="B36" s="970"/>
      <c r="C36" s="970"/>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7"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workbookViewId="0"/>
  </sheetViews>
  <sheetFormatPr defaultColWidth="8.85546875" defaultRowHeight="12.75"/>
  <cols>
    <col min="1" max="1" width="109" customWidth="1"/>
  </cols>
  <sheetData>
    <row r="1" spans="1:10" ht="22.35" customHeight="1">
      <c r="A1" s="583" t="s">
        <v>11</v>
      </c>
      <c r="B1" s="579"/>
      <c r="C1" s="579"/>
      <c r="D1" s="579"/>
      <c r="E1" s="579"/>
      <c r="F1" s="579"/>
      <c r="G1" s="579"/>
      <c r="H1" s="579"/>
      <c r="I1" s="579"/>
      <c r="J1" s="579"/>
    </row>
    <row r="2" spans="1:10" ht="22.35" customHeight="1">
      <c r="A2" s="583" t="s">
        <v>740</v>
      </c>
      <c r="B2" s="579"/>
      <c r="C2" s="579"/>
      <c r="D2" s="579"/>
      <c r="E2" s="579"/>
      <c r="F2" s="579"/>
      <c r="G2" s="579"/>
      <c r="H2" s="579"/>
      <c r="I2" s="579"/>
      <c r="J2" s="579"/>
    </row>
    <row r="3" spans="1:10" ht="22.35" customHeight="1">
      <c r="A3" s="583" t="s">
        <v>12</v>
      </c>
      <c r="B3" s="579"/>
      <c r="C3" s="579"/>
      <c r="D3" s="579"/>
      <c r="E3" s="579"/>
      <c r="F3" s="579"/>
      <c r="G3" s="579"/>
      <c r="H3" s="579"/>
      <c r="I3" s="579"/>
      <c r="J3" s="579"/>
    </row>
    <row r="4" spans="1:10" ht="26.4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utoPict="0" altText="OPB Workbook Instructions" r:id="rId5">
            <anchor moveWithCells="1">
              <from>
                <xdr:col>0</xdr:col>
                <xdr:colOff>1114425</xdr:colOff>
                <xdr:row>4</xdr:row>
                <xdr:rowOff>19050</xdr:rowOff>
              </from>
              <to>
                <xdr:col>0</xdr:col>
                <xdr:colOff>6943725</xdr:colOff>
                <xdr:row>48</xdr:row>
                <xdr:rowOff>161925</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workbookViewId="0"/>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3.42578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35" customHeight="1">
      <c r="A1" s="988" t="s">
        <v>14</v>
      </c>
      <c r="B1" s="988"/>
      <c r="C1" s="988"/>
      <c r="D1" s="988"/>
      <c r="E1" s="10"/>
    </row>
    <row r="2" spans="1:10" ht="33.6" customHeight="1" thickBot="1">
      <c r="A2" s="995" t="s">
        <v>15</v>
      </c>
      <c r="B2" s="995"/>
      <c r="C2" s="995"/>
      <c r="D2" s="995"/>
    </row>
    <row r="3" spans="1:10" ht="25.35" customHeight="1" thickBot="1">
      <c r="A3" s="56"/>
      <c r="B3" s="57" t="s">
        <v>717</v>
      </c>
      <c r="C3" s="58"/>
      <c r="D3" s="67"/>
      <c r="E3" s="66"/>
    </row>
    <row r="4" spans="1:10" ht="25.35" customHeight="1" thickBot="1">
      <c r="A4" s="56">
        <v>1</v>
      </c>
      <c r="B4" s="46">
        <v>2</v>
      </c>
      <c r="C4" s="46">
        <v>3</v>
      </c>
      <c r="D4" s="46">
        <v>4</v>
      </c>
      <c r="E4" s="13"/>
    </row>
    <row r="5" spans="1:10" ht="44.1" customHeight="1" thickBot="1">
      <c r="A5" s="32" t="s">
        <v>16</v>
      </c>
      <c r="B5" s="1030" t="s">
        <v>711</v>
      </c>
      <c r="C5" s="1031"/>
      <c r="D5" s="1032"/>
      <c r="E5" s="564"/>
      <c r="F5" s="13"/>
    </row>
    <row r="6" spans="1:10" ht="89.1" customHeight="1" thickBot="1">
      <c r="A6" s="280" t="s">
        <v>17</v>
      </c>
      <c r="B6" s="55" t="s">
        <v>18</v>
      </c>
      <c r="C6" s="17" t="s">
        <v>19</v>
      </c>
      <c r="D6" s="70" t="s">
        <v>20</v>
      </c>
      <c r="F6" s="13"/>
    </row>
    <row r="7" spans="1:10" ht="25.35" customHeight="1">
      <c r="A7" s="397" t="s">
        <v>21</v>
      </c>
      <c r="B7" s="908">
        <v>43600274.429753423</v>
      </c>
      <c r="C7" s="1108">
        <v>9683162.5702465735</v>
      </c>
      <c r="D7" s="75">
        <f t="shared" ref="D7:D34" si="0">SUM(B7:C7)</f>
        <v>53283437</v>
      </c>
      <c r="E7" s="421"/>
      <c r="F7" s="422"/>
      <c r="G7" s="42"/>
      <c r="I7" s="42"/>
      <c r="J7" s="42"/>
    </row>
    <row r="8" spans="1:10" ht="25.35" customHeight="1">
      <c r="A8" s="377" t="s">
        <v>22</v>
      </c>
      <c r="B8" s="1085">
        <v>90255203.52015838</v>
      </c>
      <c r="C8" s="1108">
        <v>19406699.479841623</v>
      </c>
      <c r="D8" s="68">
        <f t="shared" si="0"/>
        <v>109661903</v>
      </c>
      <c r="E8" s="399"/>
      <c r="F8" s="42"/>
      <c r="G8" s="42"/>
      <c r="I8" s="42"/>
      <c r="J8" s="42"/>
    </row>
    <row r="9" spans="1:10" ht="25.35" customHeight="1">
      <c r="A9" s="377" t="s">
        <v>23</v>
      </c>
      <c r="B9" s="909">
        <v>35165545.160336338</v>
      </c>
      <c r="C9" s="1108">
        <v>5543604.8396636629</v>
      </c>
      <c r="D9" s="68">
        <f t="shared" si="0"/>
        <v>40709150</v>
      </c>
      <c r="E9" s="399"/>
      <c r="F9" s="42"/>
      <c r="G9" s="42"/>
      <c r="I9" s="42"/>
      <c r="J9" s="42"/>
    </row>
    <row r="10" spans="1:10" ht="25.35" customHeight="1">
      <c r="A10" s="377" t="s">
        <v>24</v>
      </c>
      <c r="B10" s="909">
        <v>13053746.353345605</v>
      </c>
      <c r="C10" s="1108">
        <v>3049204.6466543949</v>
      </c>
      <c r="D10" s="68">
        <f t="shared" si="0"/>
        <v>16102951</v>
      </c>
      <c r="E10" s="399"/>
      <c r="F10" s="42"/>
      <c r="G10" s="42"/>
      <c r="I10" s="42"/>
      <c r="J10" s="42"/>
    </row>
    <row r="11" spans="1:10" ht="25.35" customHeight="1">
      <c r="A11" s="377" t="s">
        <v>25</v>
      </c>
      <c r="B11" s="909">
        <f>51911674.2674803-2611000</f>
        <v>49300674.267480299</v>
      </c>
      <c r="C11" s="1108">
        <v>11651335.732519712</v>
      </c>
      <c r="D11" s="68">
        <f t="shared" si="0"/>
        <v>60952010.000000015</v>
      </c>
      <c r="E11" s="399"/>
      <c r="F11" s="42"/>
      <c r="G11" s="42"/>
      <c r="I11" s="42"/>
      <c r="J11" s="42"/>
    </row>
    <row r="12" spans="1:10" ht="25.35" customHeight="1">
      <c r="A12" s="377" t="s">
        <v>26</v>
      </c>
      <c r="B12" s="909">
        <v>46221977.178284936</v>
      </c>
      <c r="C12" s="1108">
        <v>7423501.8217150643</v>
      </c>
      <c r="D12" s="68">
        <f t="shared" si="0"/>
        <v>53645479</v>
      </c>
      <c r="E12" s="399"/>
      <c r="F12" s="42"/>
      <c r="G12" s="42"/>
      <c r="I12" s="42"/>
      <c r="J12" s="42"/>
    </row>
    <row r="13" spans="1:10" ht="25.35" customHeight="1">
      <c r="A13" s="377" t="s">
        <v>27</v>
      </c>
      <c r="B13" s="909">
        <v>70522268.071765155</v>
      </c>
      <c r="C13" s="1108">
        <v>17443886.928234838</v>
      </c>
      <c r="D13" s="68">
        <f t="shared" si="0"/>
        <v>87966155</v>
      </c>
      <c r="E13" s="399"/>
      <c r="F13" s="42"/>
      <c r="G13" s="42"/>
      <c r="I13" s="42"/>
      <c r="J13" s="42"/>
    </row>
    <row r="14" spans="1:10" ht="25.35" customHeight="1">
      <c r="A14" s="377" t="s">
        <v>28</v>
      </c>
      <c r="B14" s="909">
        <v>9205482.6022929847</v>
      </c>
      <c r="C14" s="1108">
        <v>1571784.3977070146</v>
      </c>
      <c r="D14" s="68">
        <f t="shared" si="0"/>
        <v>10777267</v>
      </c>
      <c r="E14" s="399"/>
      <c r="F14" s="42"/>
      <c r="G14" s="42"/>
      <c r="I14" s="42"/>
      <c r="J14" s="42"/>
    </row>
    <row r="15" spans="1:10" ht="25.35" customHeight="1">
      <c r="A15" s="377" t="s">
        <v>29</v>
      </c>
      <c r="B15" s="909">
        <v>22103920.083340969</v>
      </c>
      <c r="C15" s="1108">
        <v>4970200.9166590301</v>
      </c>
      <c r="D15" s="68">
        <f t="shared" si="0"/>
        <v>27074121</v>
      </c>
      <c r="E15" s="399"/>
      <c r="F15" s="42"/>
      <c r="G15" s="42"/>
      <c r="I15" s="42"/>
      <c r="J15" s="42"/>
    </row>
    <row r="16" spans="1:10" ht="25.35" customHeight="1">
      <c r="A16" s="377" t="s">
        <v>782</v>
      </c>
      <c r="B16" s="909">
        <v>71153026.980324924</v>
      </c>
      <c r="C16" s="1108">
        <v>13180273.01967508</v>
      </c>
      <c r="D16" s="68">
        <f t="shared" si="0"/>
        <v>84333300</v>
      </c>
      <c r="E16" s="399"/>
      <c r="F16" s="42"/>
      <c r="G16" s="42"/>
      <c r="I16" s="42"/>
      <c r="J16" s="42"/>
    </row>
    <row r="17" spans="1:10" ht="25.35" customHeight="1">
      <c r="A17" s="377" t="s">
        <v>30</v>
      </c>
      <c r="B17" s="909">
        <v>49338008.875280872</v>
      </c>
      <c r="C17" s="1108">
        <v>10681339.124719128</v>
      </c>
      <c r="D17" s="68">
        <f t="shared" si="0"/>
        <v>60019348</v>
      </c>
      <c r="E17" s="399"/>
      <c r="F17" s="42"/>
      <c r="G17" s="42"/>
      <c r="I17" s="42"/>
      <c r="J17" s="42"/>
    </row>
    <row r="18" spans="1:10" ht="25.35" customHeight="1">
      <c r="A18" s="377" t="s">
        <v>31</v>
      </c>
      <c r="B18" s="909">
        <v>16227012.774821987</v>
      </c>
      <c r="C18" s="1108">
        <v>3109791.2251780131</v>
      </c>
      <c r="D18" s="68">
        <f t="shared" si="0"/>
        <v>19336804</v>
      </c>
      <c r="E18" s="399"/>
      <c r="F18" s="42"/>
      <c r="G18" s="42"/>
      <c r="I18" s="42"/>
      <c r="J18" s="42"/>
    </row>
    <row r="19" spans="1:10" ht="25.35" customHeight="1">
      <c r="A19" s="377" t="s">
        <v>32</v>
      </c>
      <c r="B19" s="909">
        <v>21135195.500593662</v>
      </c>
      <c r="C19" s="1108">
        <v>3055669.4994063387</v>
      </c>
      <c r="D19" s="68">
        <f t="shared" si="0"/>
        <v>24190865</v>
      </c>
      <c r="E19" s="399"/>
      <c r="F19" s="42"/>
      <c r="G19" s="42"/>
      <c r="I19" s="42"/>
      <c r="J19" s="42"/>
    </row>
    <row r="20" spans="1:10" ht="25.35" customHeight="1">
      <c r="A20" s="377" t="s">
        <v>33</v>
      </c>
      <c r="B20" s="909">
        <v>31285444.06757804</v>
      </c>
      <c r="C20" s="1108">
        <v>5148765.9324219599</v>
      </c>
      <c r="D20" s="68">
        <f t="shared" si="0"/>
        <v>36434210</v>
      </c>
      <c r="E20" s="399"/>
      <c r="F20" s="42"/>
      <c r="G20" s="42"/>
      <c r="H20" s="42"/>
      <c r="I20" s="42"/>
      <c r="J20" s="42"/>
    </row>
    <row r="21" spans="1:10" ht="25.35" customHeight="1">
      <c r="A21" s="377" t="s">
        <v>34</v>
      </c>
      <c r="B21" s="909">
        <v>165651995.20318142</v>
      </c>
      <c r="C21" s="1108">
        <v>39356905.796818577</v>
      </c>
      <c r="D21" s="68">
        <f t="shared" si="0"/>
        <v>205008901</v>
      </c>
      <c r="E21" s="399"/>
      <c r="F21" s="42"/>
      <c r="G21" s="42"/>
      <c r="I21" s="42"/>
      <c r="J21" s="42"/>
    </row>
    <row r="22" spans="1:10" ht="25.35" customHeight="1">
      <c r="A22" s="377" t="s">
        <v>35</v>
      </c>
      <c r="B22" s="909">
        <v>8949937.6940170676</v>
      </c>
      <c r="C22" s="1108">
        <v>1656741.3059829331</v>
      </c>
      <c r="D22" s="68">
        <f t="shared" si="0"/>
        <v>10606679</v>
      </c>
      <c r="E22" s="399"/>
      <c r="F22" s="42"/>
      <c r="G22" s="42"/>
      <c r="I22" s="42"/>
      <c r="J22" s="42"/>
    </row>
    <row r="23" spans="1:10" ht="25.35" customHeight="1">
      <c r="A23" s="377" t="s">
        <v>36</v>
      </c>
      <c r="B23" s="909">
        <v>24756000.410122402</v>
      </c>
      <c r="C23" s="1108">
        <v>4377734.5898775999</v>
      </c>
      <c r="D23" s="68">
        <f t="shared" si="0"/>
        <v>29133735</v>
      </c>
      <c r="E23" s="399"/>
      <c r="F23" s="42"/>
      <c r="G23" s="42"/>
      <c r="I23" s="42"/>
      <c r="J23" s="42"/>
    </row>
    <row r="24" spans="1:10" ht="25.35" customHeight="1">
      <c r="A24" s="377" t="s">
        <v>37</v>
      </c>
      <c r="B24" s="909">
        <v>65808360.931644589</v>
      </c>
      <c r="C24" s="1108">
        <v>13200326.068355408</v>
      </c>
      <c r="D24" s="68">
        <f t="shared" si="0"/>
        <v>79008687</v>
      </c>
      <c r="E24" s="399"/>
      <c r="F24" s="42"/>
      <c r="G24" s="42"/>
      <c r="I24" s="42"/>
      <c r="J24" s="42"/>
    </row>
    <row r="25" spans="1:10" ht="25.35" customHeight="1">
      <c r="A25" s="377" t="s">
        <v>38</v>
      </c>
      <c r="B25" s="909">
        <v>45144249.785152942</v>
      </c>
      <c r="C25" s="1108">
        <v>6373548.2148470599</v>
      </c>
      <c r="D25" s="68">
        <f t="shared" si="0"/>
        <v>51517798</v>
      </c>
      <c r="E25" s="399"/>
      <c r="F25" s="42"/>
      <c r="G25" s="42"/>
      <c r="I25" s="42"/>
      <c r="J25" s="42"/>
    </row>
    <row r="26" spans="1:10" ht="25.35" customHeight="1">
      <c r="A26" s="377" t="s">
        <v>39</v>
      </c>
      <c r="B26" s="909">
        <v>54382200.078217097</v>
      </c>
      <c r="C26" s="1108">
        <v>7904347.9217829015</v>
      </c>
      <c r="D26" s="68">
        <f t="shared" si="0"/>
        <v>62286548</v>
      </c>
      <c r="E26" s="399"/>
      <c r="F26" s="42"/>
      <c r="G26" s="42"/>
      <c r="I26" s="42"/>
      <c r="J26" s="42"/>
    </row>
    <row r="27" spans="1:10" ht="25.35" customHeight="1">
      <c r="A27" s="377" t="s">
        <v>40</v>
      </c>
      <c r="B27" s="909">
        <v>43580224.848735243</v>
      </c>
      <c r="C27" s="1108">
        <v>6479015.1512647606</v>
      </c>
      <c r="D27" s="68">
        <f t="shared" si="0"/>
        <v>50059240</v>
      </c>
      <c r="E27" s="399"/>
      <c r="F27" s="42"/>
      <c r="G27" s="42"/>
      <c r="I27" s="42"/>
      <c r="J27" s="42"/>
    </row>
    <row r="28" spans="1:10" ht="25.35" customHeight="1">
      <c r="A28" s="377" t="s">
        <v>41</v>
      </c>
      <c r="B28" s="909">
        <v>33932430.755269237</v>
      </c>
      <c r="C28" s="1108">
        <v>4419727.2447307603</v>
      </c>
      <c r="D28" s="68">
        <f t="shared" si="0"/>
        <v>38352158</v>
      </c>
      <c r="E28" s="399"/>
      <c r="F28" s="42"/>
      <c r="G28" s="42"/>
      <c r="I28" s="42"/>
      <c r="J28" s="42"/>
    </row>
    <row r="29" spans="1:10" ht="25.35" customHeight="1">
      <c r="A29" s="377" t="s">
        <v>42</v>
      </c>
      <c r="B29" s="909">
        <v>77492481.402347744</v>
      </c>
      <c r="C29" s="1108">
        <v>15840843.597652253</v>
      </c>
      <c r="D29" s="68">
        <f t="shared" si="0"/>
        <v>93333325</v>
      </c>
      <c r="E29" s="399"/>
      <c r="F29" s="42"/>
      <c r="G29" s="42"/>
      <c r="I29" s="42"/>
      <c r="J29" s="42"/>
    </row>
    <row r="30" spans="1:10" ht="25.35" customHeight="1">
      <c r="A30" s="377" t="s">
        <v>43</v>
      </c>
      <c r="B30" s="909">
        <v>45822834.425018497</v>
      </c>
      <c r="C30" s="1108">
        <v>8042112.5749815032</v>
      </c>
      <c r="D30" s="68">
        <f t="shared" si="0"/>
        <v>53864947</v>
      </c>
      <c r="E30" s="399"/>
      <c r="F30" s="42"/>
      <c r="G30" s="42"/>
      <c r="I30" s="42"/>
      <c r="J30" s="42"/>
    </row>
    <row r="31" spans="1:10" ht="25.35" customHeight="1">
      <c r="A31" s="377" t="s">
        <v>44</v>
      </c>
      <c r="B31" s="909">
        <v>47618457.312297449</v>
      </c>
      <c r="C31" s="1108">
        <v>8663977.6877025533</v>
      </c>
      <c r="D31" s="68">
        <f t="shared" si="0"/>
        <v>56282435</v>
      </c>
      <c r="E31" s="399"/>
      <c r="F31" s="42"/>
      <c r="G31" s="42"/>
      <c r="I31" s="42"/>
      <c r="J31" s="42"/>
    </row>
    <row r="32" spans="1:10" ht="25.35" customHeight="1">
      <c r="A32" s="377" t="s">
        <v>45</v>
      </c>
      <c r="B32" s="909">
        <v>22811855.379114985</v>
      </c>
      <c r="C32" s="1108">
        <v>3719348.6208850164</v>
      </c>
      <c r="D32" s="68">
        <f t="shared" si="0"/>
        <v>26531204</v>
      </c>
      <c r="E32" s="399"/>
      <c r="F32" s="42"/>
      <c r="G32" s="42"/>
      <c r="I32" s="42" t="s">
        <v>46</v>
      </c>
      <c r="J32" s="42"/>
    </row>
    <row r="33" spans="1:12" ht="25.35" customHeight="1">
      <c r="A33" s="377" t="s">
        <v>712</v>
      </c>
      <c r="B33" s="909">
        <v>34145110.16823367</v>
      </c>
      <c r="C33" s="1108">
        <v>7234580.8317663297</v>
      </c>
      <c r="D33" s="68">
        <f t="shared" si="0"/>
        <v>41379691</v>
      </c>
      <c r="E33" s="399"/>
      <c r="F33" s="42"/>
      <c r="G33" s="42"/>
      <c r="I33" s="399"/>
      <c r="J33" s="42"/>
      <c r="K33" s="399"/>
    </row>
    <row r="34" spans="1:12" ht="25.35" customHeight="1" thickBot="1">
      <c r="A34" s="378" t="s">
        <v>47</v>
      </c>
      <c r="B34" s="909">
        <v>110093250.74129009</v>
      </c>
      <c r="C34" s="1108">
        <v>15737996.258709911</v>
      </c>
      <c r="D34" s="69">
        <f t="shared" si="0"/>
        <v>125831247</v>
      </c>
      <c r="E34" s="399"/>
      <c r="F34" s="42"/>
      <c r="G34" s="42"/>
      <c r="I34" s="399"/>
      <c r="J34" s="42"/>
      <c r="K34" s="399"/>
    </row>
    <row r="35" spans="1:12" ht="25.35" customHeight="1" thickBot="1">
      <c r="A35" s="379" t="s">
        <v>48</v>
      </c>
      <c r="B35" s="418">
        <f>SUM(B7:B34)</f>
        <v>1348757168.9999998</v>
      </c>
      <c r="C35" s="418">
        <f>SUM(C7:C34)</f>
        <v>258926426.00000006</v>
      </c>
      <c r="D35" s="391">
        <f>SUM(D7:D34)</f>
        <v>1607683595</v>
      </c>
      <c r="E35" s="419"/>
      <c r="F35" s="42"/>
      <c r="G35" s="42"/>
      <c r="H35" s="42"/>
      <c r="I35" s="399"/>
      <c r="J35" s="42"/>
      <c r="K35" s="399"/>
      <c r="L35" s="400"/>
    </row>
    <row r="36" spans="1:12" ht="19.350000000000001" customHeight="1">
      <c r="A36" s="1033" t="s">
        <v>49</v>
      </c>
      <c r="B36" s="1033"/>
      <c r="C36" s="1033"/>
      <c r="D36" s="1033"/>
      <c r="E36" s="462"/>
      <c r="K36" s="399"/>
    </row>
    <row r="37" spans="1:12" ht="44.45" customHeight="1">
      <c r="A37" s="1034" t="s">
        <v>715</v>
      </c>
      <c r="B37" s="1034"/>
      <c r="C37" s="1034"/>
      <c r="D37" s="1034"/>
      <c r="E37" s="461"/>
      <c r="K37" s="399"/>
    </row>
    <row r="38" spans="1:12" ht="26.45" customHeight="1">
      <c r="A38" s="1005"/>
      <c r="B38" s="1005"/>
      <c r="C38" s="1005"/>
      <c r="D38" s="1005"/>
      <c r="E38" s="461"/>
      <c r="K38" s="399"/>
    </row>
    <row r="39" spans="1:12" ht="36.6" hidden="1" customHeight="1" thickBot="1">
      <c r="A39" s="456" t="s">
        <v>15</v>
      </c>
      <c r="B39" s="457"/>
      <c r="C39" s="457"/>
      <c r="K39" s="163"/>
    </row>
    <row r="40" spans="1:12" ht="24" hidden="1" customHeight="1" thickBot="1">
      <c r="A40" s="38" t="s">
        <v>718</v>
      </c>
      <c r="B40" s="904" t="s">
        <v>730</v>
      </c>
      <c r="C40" s="905"/>
      <c r="D40" s="905"/>
      <c r="E40" s="906"/>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80" t="s">
        <v>53</v>
      </c>
    </row>
    <row r="43" spans="1:12" ht="63" hidden="1">
      <c r="A43" s="911" t="str">
        <f>A10</f>
        <v>Chipola College</v>
      </c>
      <c r="B43" s="596" t="s">
        <v>719</v>
      </c>
      <c r="C43" s="597"/>
      <c r="D43" s="597">
        <v>0</v>
      </c>
      <c r="E43" s="598">
        <f t="shared" ref="E43:E53" si="1">C43+D43</f>
        <v>0</v>
      </c>
    </row>
    <row r="44" spans="1:12" ht="42" hidden="1">
      <c r="A44" s="912" t="str">
        <f>A11</f>
        <v>Daytona State College</v>
      </c>
      <c r="B44" s="599" t="s">
        <v>720</v>
      </c>
      <c r="C44" s="597"/>
      <c r="D44" s="597">
        <v>0</v>
      </c>
      <c r="E44" s="598">
        <f t="shared" si="1"/>
        <v>0</v>
      </c>
    </row>
    <row r="45" spans="1:12" ht="84.75" hidden="1" customHeight="1">
      <c r="A45" s="910" t="s">
        <v>25</v>
      </c>
      <c r="B45" s="599" t="s">
        <v>721</v>
      </c>
      <c r="C45" s="597"/>
      <c r="D45" s="597">
        <v>0</v>
      </c>
      <c r="E45" s="598">
        <f t="shared" si="1"/>
        <v>0</v>
      </c>
    </row>
    <row r="46" spans="1:12" ht="84.75" hidden="1" customHeight="1">
      <c r="A46" s="910" t="s">
        <v>25</v>
      </c>
      <c r="B46" s="985" t="s">
        <v>722</v>
      </c>
      <c r="C46" s="986"/>
      <c r="D46" s="986">
        <v>0</v>
      </c>
      <c r="E46" s="598">
        <f t="shared" si="1"/>
        <v>0</v>
      </c>
    </row>
    <row r="47" spans="1:12" ht="84.75" hidden="1" customHeight="1">
      <c r="A47" s="910" t="s">
        <v>710</v>
      </c>
      <c r="B47" s="985" t="s">
        <v>723</v>
      </c>
      <c r="C47" s="986"/>
      <c r="D47" s="986">
        <v>0</v>
      </c>
      <c r="E47" s="598">
        <f t="shared" si="1"/>
        <v>0</v>
      </c>
      <c r="G47" s="155" t="s">
        <v>10</v>
      </c>
    </row>
    <row r="48" spans="1:12" ht="62.45" hidden="1" customHeight="1">
      <c r="A48" s="910" t="s">
        <v>710</v>
      </c>
      <c r="B48" s="599" t="s">
        <v>724</v>
      </c>
      <c r="C48" s="597"/>
      <c r="D48" s="597">
        <v>0</v>
      </c>
      <c r="E48" s="598">
        <f t="shared" si="1"/>
        <v>0</v>
      </c>
    </row>
    <row r="49" spans="1:5" ht="62.45" hidden="1" customHeight="1">
      <c r="A49" s="910" t="s">
        <v>34</v>
      </c>
      <c r="B49" s="985" t="s">
        <v>725</v>
      </c>
      <c r="C49" s="986"/>
      <c r="D49" s="986">
        <v>0</v>
      </c>
      <c r="E49" s="598">
        <f t="shared" si="1"/>
        <v>0</v>
      </c>
    </row>
    <row r="50" spans="1:5" ht="62.45" hidden="1" customHeight="1">
      <c r="A50" s="910" t="s">
        <v>34</v>
      </c>
      <c r="B50" s="985" t="s">
        <v>726</v>
      </c>
      <c r="C50" s="986"/>
      <c r="D50" s="986">
        <v>0</v>
      </c>
      <c r="E50" s="598">
        <f t="shared" si="1"/>
        <v>0</v>
      </c>
    </row>
    <row r="51" spans="1:5" ht="62.45" hidden="1" customHeight="1">
      <c r="A51" s="1099" t="s">
        <v>727</v>
      </c>
      <c r="B51" s="985" t="s">
        <v>728</v>
      </c>
      <c r="C51" s="986"/>
      <c r="D51" s="986">
        <v>0</v>
      </c>
      <c r="E51" s="1084">
        <f t="shared" si="1"/>
        <v>0</v>
      </c>
    </row>
    <row r="52" spans="1:5" ht="62.45" hidden="1" customHeight="1" thickBot="1">
      <c r="A52" s="1104" t="s">
        <v>45</v>
      </c>
      <c r="B52" s="1105" t="s">
        <v>729</v>
      </c>
      <c r="C52" s="1106"/>
      <c r="D52" s="1106">
        <v>0</v>
      </c>
      <c r="E52" s="1107">
        <f t="shared" si="1"/>
        <v>0</v>
      </c>
    </row>
    <row r="53" spans="1:5" ht="62.45" hidden="1" customHeight="1" thickBot="1">
      <c r="A53" s="1104" t="s">
        <v>33</v>
      </c>
      <c r="B53" s="1105" t="s">
        <v>733</v>
      </c>
      <c r="C53" s="1106"/>
      <c r="D53" s="1106">
        <v>0</v>
      </c>
      <c r="E53" s="1107">
        <f t="shared" si="1"/>
        <v>0</v>
      </c>
    </row>
    <row r="54" spans="1:5" ht="24.6" hidden="1" customHeight="1" thickBot="1">
      <c r="A54" s="1100" t="s">
        <v>53</v>
      </c>
      <c r="B54" s="1101"/>
      <c r="C54" s="1102">
        <f>SUM(C43:C51)</f>
        <v>0</v>
      </c>
      <c r="D54" s="1102">
        <f>SUM(D43:D53)</f>
        <v>0</v>
      </c>
      <c r="E54" s="1103">
        <f>SUM(E43:E53)</f>
        <v>0</v>
      </c>
    </row>
    <row r="55" spans="1:5" ht="25.35" hidden="1" customHeight="1">
      <c r="A55" s="11" t="s">
        <v>54</v>
      </c>
    </row>
    <row r="56" spans="1:5" ht="25.35" hidden="1" customHeight="1">
      <c r="D56" s="42"/>
    </row>
    <row r="57" spans="1:5" ht="30.6" hidden="1" customHeight="1" thickBot="1">
      <c r="A57" s="456" t="s">
        <v>15</v>
      </c>
      <c r="B57" s="457"/>
      <c r="C57" s="457"/>
    </row>
    <row r="58" spans="1:5" ht="41.1" hidden="1" customHeight="1" thickBot="1">
      <c r="A58" s="39" t="s">
        <v>713</v>
      </c>
      <c r="B58" s="381" t="s">
        <v>731</v>
      </c>
      <c r="C58" s="10" t="s">
        <v>10</v>
      </c>
      <c r="D58" s="10"/>
    </row>
    <row r="59" spans="1:5" ht="69" hidden="1" customHeight="1" thickBot="1">
      <c r="A59" s="1000" t="s">
        <v>732</v>
      </c>
      <c r="B59" s="1001"/>
      <c r="C59" s="142"/>
    </row>
    <row r="60" spans="1:5" ht="37.35" hidden="1" customHeight="1" thickBot="1">
      <c r="A60" s="347" t="s">
        <v>17</v>
      </c>
      <c r="B60" s="442" t="s">
        <v>48</v>
      </c>
      <c r="D60" s="16"/>
    </row>
    <row r="61" spans="1:5" ht="25.35" hidden="1" customHeight="1" thickBot="1">
      <c r="A61" s="398" t="str">
        <f>A33</f>
        <v>Tallahassee State College</v>
      </c>
      <c r="B61" s="458">
        <v>0</v>
      </c>
      <c r="C61" s="155"/>
    </row>
    <row r="62" spans="1:5" ht="25.35" hidden="1" customHeight="1" thickBot="1">
      <c r="A62" s="369" t="s">
        <v>48</v>
      </c>
      <c r="B62" s="459">
        <f>SUM(B61:B61)</f>
        <v>0</v>
      </c>
      <c r="C62" s="382"/>
    </row>
    <row r="63" spans="1:5" ht="24.6" customHeight="1">
      <c r="A63" s="464"/>
      <c r="B63" s="463"/>
      <c r="C63" s="463"/>
    </row>
    <row r="64" spans="1:5" ht="32.1" customHeight="1" thickBot="1">
      <c r="A64" s="456" t="s">
        <v>55</v>
      </c>
      <c r="B64" s="457"/>
      <c r="C64" s="457"/>
    </row>
    <row r="65" spans="1:7" ht="44.45" customHeight="1" thickBot="1">
      <c r="A65" s="32" t="s">
        <v>765</v>
      </c>
      <c r="B65" s="1002" t="s">
        <v>764</v>
      </c>
      <c r="C65" s="1003"/>
      <c r="D65" s="1003"/>
      <c r="E65" s="1004"/>
      <c r="F65" s="12"/>
      <c r="G65" s="10"/>
    </row>
    <row r="66" spans="1:7" ht="87.6" customHeight="1" thickBot="1">
      <c r="A66" s="34" t="s">
        <v>17</v>
      </c>
      <c r="B66" s="18" t="s">
        <v>769</v>
      </c>
      <c r="C66" s="33" t="s">
        <v>56</v>
      </c>
      <c r="D66" s="19" t="s">
        <v>57</v>
      </c>
      <c r="E66" s="20" t="s">
        <v>58</v>
      </c>
      <c r="F66" s="18" t="s">
        <v>59</v>
      </c>
    </row>
    <row r="67" spans="1:7" ht="25.35" customHeight="1">
      <c r="A67" s="600" t="str">
        <f t="shared" ref="A67:A94" si="2">A7</f>
        <v>Eastern Florida State College</v>
      </c>
      <c r="B67" s="401">
        <v>23256743.352906086</v>
      </c>
      <c r="C67" s="401">
        <f t="shared" ref="C67:C94" si="3">B67*0.05</f>
        <v>1162837.1676453042</v>
      </c>
      <c r="D67" s="1039">
        <f t="shared" ref="D67:D94" si="4">IF(C67&gt;500000,0,1)</f>
        <v>0</v>
      </c>
      <c r="E67" s="402">
        <f t="shared" ref="E67:E94" si="5">IF(D67&lt;1,0,B67*0.02)</f>
        <v>0</v>
      </c>
      <c r="F67" s="401">
        <f>C67+E67</f>
        <v>1162837.1676453042</v>
      </c>
    </row>
    <row r="68" spans="1:7" ht="25.3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3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3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3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3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3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3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3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3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3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35" customHeight="1">
      <c r="A96" s="71"/>
    </row>
    <row r="97" spans="1:50" ht="25.35" customHeight="1">
      <c r="A97" s="72" t="s">
        <v>60</v>
      </c>
    </row>
    <row r="98" spans="1:50" ht="25.35" customHeight="1">
      <c r="A98" s="996" t="s">
        <v>768</v>
      </c>
      <c r="B98" s="996"/>
      <c r="C98" s="996"/>
      <c r="D98" s="996"/>
      <c r="E98" s="996"/>
      <c r="F98" s="996"/>
      <c r="G98" s="996"/>
      <c r="H98" s="996"/>
      <c r="I98" s="996"/>
      <c r="J98" s="996"/>
      <c r="K98" s="996"/>
      <c r="L98" s="996"/>
      <c r="M98" s="996"/>
      <c r="N98" s="996"/>
      <c r="O98" s="996"/>
      <c r="P98" s="996"/>
      <c r="Q98" s="996"/>
      <c r="R98" s="996"/>
    </row>
    <row r="99" spans="1:50" ht="20.100000000000001" customHeight="1">
      <c r="A99" s="994" t="s">
        <v>61</v>
      </c>
      <c r="B99" s="994"/>
      <c r="C99" s="994"/>
      <c r="D99" s="994"/>
      <c r="E99" s="994"/>
      <c r="F99" s="994"/>
      <c r="G99" s="994"/>
      <c r="H99" s="994"/>
      <c r="I99" s="994"/>
      <c r="J99" s="994"/>
      <c r="K99" s="994"/>
      <c r="L99" s="994"/>
      <c r="M99" s="994"/>
      <c r="N99" s="994"/>
      <c r="O99" s="994"/>
      <c r="P99" s="994"/>
      <c r="Q99" s="994"/>
      <c r="R99" s="994"/>
      <c r="S99" s="460"/>
    </row>
    <row r="100" spans="1:50" ht="20.100000000000001"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100000000000001" customHeight="1">
      <c r="A101" s="994" t="s">
        <v>63</v>
      </c>
      <c r="B101" s="994"/>
      <c r="C101" s="994"/>
      <c r="D101" s="994"/>
      <c r="E101" s="994"/>
      <c r="F101" s="994"/>
      <c r="G101" s="994"/>
      <c r="H101" s="994"/>
      <c r="I101" s="994"/>
      <c r="J101" s="994"/>
      <c r="K101" s="994"/>
      <c r="L101" s="994"/>
      <c r="M101" s="994"/>
      <c r="N101" s="994"/>
      <c r="O101" s="994"/>
      <c r="P101" s="994"/>
      <c r="Q101" s="994"/>
      <c r="R101" s="994"/>
    </row>
    <row r="102" spans="1:50" ht="20.100000000000001" customHeight="1">
      <c r="A102" s="994"/>
      <c r="B102" s="994"/>
      <c r="C102" s="994"/>
      <c r="D102" s="994"/>
      <c r="E102" s="994"/>
      <c r="F102" s="994"/>
      <c r="G102" s="994"/>
    </row>
    <row r="103" spans="1:50" ht="32.450000000000003" customHeight="1" thickBot="1">
      <c r="E103" s="455"/>
      <c r="F103" s="455"/>
      <c r="G103" s="455"/>
    </row>
    <row r="104" spans="1:50" ht="43.35" customHeight="1" thickBot="1">
      <c r="A104" s="41" t="s">
        <v>766</v>
      </c>
      <c r="B104" s="989" t="s">
        <v>780</v>
      </c>
      <c r="C104" s="990"/>
      <c r="D104" s="991"/>
      <c r="E104" s="992" t="s">
        <v>64</v>
      </c>
      <c r="F104" s="992"/>
      <c r="G104" s="992"/>
      <c r="H104" s="992"/>
      <c r="I104" s="992"/>
      <c r="J104" s="992"/>
      <c r="K104" s="992"/>
      <c r="L104" s="992"/>
      <c r="M104" s="992"/>
      <c r="N104" s="992"/>
      <c r="O104" s="992"/>
      <c r="P104" s="992"/>
      <c r="Q104" s="992"/>
      <c r="R104" s="992"/>
      <c r="S104" s="993"/>
      <c r="T104" s="13"/>
      <c r="U104" s="13"/>
      <c r="AC104" s="13"/>
      <c r="AK104" s="374"/>
    </row>
    <row r="105" spans="1:50" ht="39" customHeight="1" thickBot="1">
      <c r="A105" s="40">
        <v>1</v>
      </c>
      <c r="B105" s="38">
        <v>2</v>
      </c>
      <c r="C105" s="992">
        <v>3</v>
      </c>
      <c r="D105" s="993">
        <v>4</v>
      </c>
      <c r="E105" s="992">
        <v>5</v>
      </c>
      <c r="F105" s="992">
        <v>6</v>
      </c>
      <c r="G105" s="992">
        <v>7</v>
      </c>
      <c r="H105" s="992">
        <v>8</v>
      </c>
      <c r="I105" s="992">
        <v>9</v>
      </c>
      <c r="J105" s="992">
        <v>10</v>
      </c>
      <c r="K105" s="992">
        <v>11</v>
      </c>
      <c r="L105" s="992">
        <v>12</v>
      </c>
      <c r="M105" s="992">
        <v>13</v>
      </c>
      <c r="N105" s="992">
        <v>14</v>
      </c>
      <c r="O105" s="992">
        <v>15</v>
      </c>
      <c r="P105" s="992">
        <v>16</v>
      </c>
      <c r="Q105" s="992">
        <v>17</v>
      </c>
      <c r="R105" s="992">
        <v>18</v>
      </c>
      <c r="S105" s="993">
        <v>19</v>
      </c>
      <c r="T105" s="1027" t="s">
        <v>48</v>
      </c>
      <c r="U105" s="22"/>
      <c r="V105" s="38">
        <v>20</v>
      </c>
      <c r="W105" s="992">
        <v>21</v>
      </c>
      <c r="X105" s="992">
        <v>22</v>
      </c>
      <c r="Y105" s="52"/>
      <c r="Z105" s="992">
        <v>23</v>
      </c>
      <c r="AA105" s="992">
        <v>24</v>
      </c>
      <c r="AB105" s="993">
        <v>25</v>
      </c>
      <c r="AC105" s="25"/>
    </row>
    <row r="106" spans="1:50" ht="29.45" customHeight="1" thickBot="1">
      <c r="A106" s="49" t="s">
        <v>66</v>
      </c>
      <c r="B106" s="1035" t="s">
        <v>67</v>
      </c>
      <c r="C106" s="1036"/>
      <c r="D106" s="1037"/>
      <c r="E106" s="24"/>
      <c r="G106" s="1008"/>
      <c r="H106" s="1008"/>
      <c r="I106" s="1008"/>
      <c r="J106" s="1008" t="s">
        <v>68</v>
      </c>
      <c r="K106" s="1008"/>
      <c r="L106" s="1008"/>
      <c r="M106" s="1008"/>
      <c r="N106" s="1008"/>
      <c r="O106" s="1008"/>
      <c r="P106" s="1008"/>
      <c r="Q106" s="1021" t="s">
        <v>69</v>
      </c>
      <c r="R106" s="1022"/>
      <c r="S106" s="1023"/>
      <c r="T106" s="1028" t="s">
        <v>685</v>
      </c>
      <c r="U106" s="26"/>
      <c r="V106" s="27"/>
      <c r="W106" s="28"/>
      <c r="X106" s="29"/>
      <c r="Y106" s="53"/>
      <c r="Z106" s="1009"/>
      <c r="AA106" s="1010"/>
      <c r="AB106" s="1011"/>
      <c r="AC106" s="13"/>
      <c r="AD106" s="1098" t="s">
        <v>779</v>
      </c>
      <c r="AF106" s="23"/>
    </row>
    <row r="107" spans="1:50" ht="66" customHeight="1" thickBot="1">
      <c r="A107" s="30"/>
      <c r="B107" s="38" t="s">
        <v>70</v>
      </c>
      <c r="C107" s="992"/>
      <c r="D107" s="993"/>
      <c r="E107" s="38" t="s">
        <v>71</v>
      </c>
      <c r="F107" s="992"/>
      <c r="G107" s="993"/>
      <c r="H107" s="38" t="s">
        <v>72</v>
      </c>
      <c r="I107" s="992"/>
      <c r="J107" s="993"/>
      <c r="K107" s="998" t="s">
        <v>73</v>
      </c>
      <c r="L107" s="998"/>
      <c r="M107" s="998"/>
      <c r="N107" s="32" t="s">
        <v>74</v>
      </c>
      <c r="O107" s="999"/>
      <c r="P107" s="33"/>
      <c r="Q107" s="1024" t="s">
        <v>709</v>
      </c>
      <c r="R107" s="1025"/>
      <c r="S107" s="1026"/>
      <c r="T107" s="1083"/>
      <c r="U107" s="15"/>
      <c r="V107" s="1140" t="s">
        <v>77</v>
      </c>
      <c r="W107" s="1143"/>
      <c r="X107" s="1144"/>
      <c r="Y107" s="1142"/>
      <c r="Z107" s="1140" t="s">
        <v>78</v>
      </c>
      <c r="AA107" s="1141"/>
      <c r="AB107" s="997"/>
      <c r="AD107" s="37" t="s">
        <v>79</v>
      </c>
      <c r="AF107" s="13"/>
      <c r="AI107" s="1029" t="s">
        <v>686</v>
      </c>
      <c r="AJ107" s="1029"/>
      <c r="AK107" s="1029"/>
      <c r="AL107" s="1029"/>
      <c r="AM107" s="1029"/>
      <c r="AN107" s="1029"/>
      <c r="AO107" s="1029"/>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2"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6" customHeight="1">
      <c r="A109" s="368" t="str">
        <f t="shared" ref="A109:A136" si="7">A7</f>
        <v>Eastern Florida State College</v>
      </c>
      <c r="B109" s="445">
        <v>938</v>
      </c>
      <c r="C109" s="1038"/>
      <c r="D109" s="913">
        <f t="shared" ref="D109:D136" si="8">B109+C109</f>
        <v>938</v>
      </c>
      <c r="E109" s="1012">
        <v>4588.0626271683277</v>
      </c>
      <c r="F109" s="446">
        <v>230.07580094492536</v>
      </c>
      <c r="G109" s="383">
        <f t="shared" ref="G109:G136" si="9">E109+F109</f>
        <v>4818.1384281132532</v>
      </c>
      <c r="H109" s="1076">
        <v>1791.0290909090911</v>
      </c>
      <c r="I109" s="1077">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7" t="s">
        <v>85</v>
      </c>
      <c r="AJ109" s="1007"/>
      <c r="AK109" s="1007"/>
      <c r="AL109" s="1007"/>
      <c r="AM109" s="1007"/>
      <c r="AN109" s="1007"/>
      <c r="AO109" s="36">
        <f>X137+AB137</f>
        <v>4305</v>
      </c>
      <c r="AR109" s="22"/>
      <c r="AS109" s="22"/>
      <c r="AT109" s="22"/>
    </row>
    <row r="110" spans="1:50" ht="25.35" customHeight="1">
      <c r="A110" s="606" t="str">
        <f t="shared" si="7"/>
        <v>Broward College</v>
      </c>
      <c r="B110" s="580">
        <v>1127</v>
      </c>
      <c r="C110" s="586"/>
      <c r="D110" s="914">
        <f t="shared" si="8"/>
        <v>1127</v>
      </c>
      <c r="E110" s="1013">
        <v>11240.924842589982</v>
      </c>
      <c r="F110" s="588">
        <v>643.98274754878923</v>
      </c>
      <c r="G110" s="587">
        <f t="shared" si="9"/>
        <v>11884.907590138771</v>
      </c>
      <c r="H110" s="1078">
        <v>6540.9687888604021</v>
      </c>
      <c r="I110" s="1079">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7" t="s">
        <v>86</v>
      </c>
      <c r="AJ110" s="1007"/>
      <c r="AK110" s="1007"/>
      <c r="AL110" s="1007"/>
      <c r="AM110" s="1007"/>
      <c r="AN110" s="1007"/>
      <c r="AO110" s="454">
        <v>33002.959983617438</v>
      </c>
      <c r="AR110" s="151"/>
      <c r="AS110" s="151"/>
      <c r="AT110" s="151"/>
      <c r="AU110" s="151"/>
      <c r="AV110" s="151"/>
      <c r="AW110" s="151"/>
      <c r="AX110" s="151"/>
    </row>
    <row r="111" spans="1:50" ht="25.35" customHeight="1">
      <c r="A111" s="612" t="str">
        <f t="shared" si="7"/>
        <v>College of Central Florida</v>
      </c>
      <c r="B111" s="580">
        <v>311</v>
      </c>
      <c r="C111" s="586"/>
      <c r="D111" s="914">
        <f t="shared" si="8"/>
        <v>311</v>
      </c>
      <c r="E111" s="1013">
        <v>2036.2073561877783</v>
      </c>
      <c r="F111" s="588">
        <v>99.517723997167522</v>
      </c>
      <c r="G111" s="587">
        <f t="shared" si="9"/>
        <v>2135.7250801849459</v>
      </c>
      <c r="H111" s="1078">
        <v>1217.0137785291631</v>
      </c>
      <c r="I111" s="1079">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7" t="s">
        <v>87</v>
      </c>
      <c r="AJ111" s="1007"/>
      <c r="AK111" s="1007"/>
      <c r="AL111" s="1007"/>
      <c r="AM111" s="1007"/>
      <c r="AN111" s="1007"/>
      <c r="AO111" s="553">
        <v>3682</v>
      </c>
    </row>
    <row r="112" spans="1:50" ht="25.35" customHeight="1">
      <c r="A112" s="612" t="str">
        <f t="shared" si="7"/>
        <v>Chipola College</v>
      </c>
      <c r="B112" s="580">
        <v>128</v>
      </c>
      <c r="C112" s="586"/>
      <c r="D112" s="914">
        <f t="shared" si="8"/>
        <v>128</v>
      </c>
      <c r="E112" s="1013">
        <v>573.84916748285991</v>
      </c>
      <c r="F112" s="588">
        <v>45.270323212536731</v>
      </c>
      <c r="G112" s="587">
        <f t="shared" si="9"/>
        <v>619.11949069539662</v>
      </c>
      <c r="H112" s="1078">
        <v>176.61202185792351</v>
      </c>
      <c r="I112" s="1079">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2" t="str">
        <f t="shared" si="7"/>
        <v>Daytona State College</v>
      </c>
      <c r="B113" s="580">
        <v>970</v>
      </c>
      <c r="C113" s="586"/>
      <c r="D113" s="914">
        <f t="shared" si="8"/>
        <v>970</v>
      </c>
      <c r="E113" s="1013">
        <v>4521.5110417895121</v>
      </c>
      <c r="F113" s="588">
        <v>290.15226447035553</v>
      </c>
      <c r="G113" s="587">
        <f t="shared" si="9"/>
        <v>4811.6633062598676</v>
      </c>
      <c r="H113" s="1078">
        <v>2078.2681063610989</v>
      </c>
      <c r="I113" s="1079">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35" customHeight="1">
      <c r="A114" s="612" t="str">
        <f t="shared" si="7"/>
        <v>Florida SouthWestern State College</v>
      </c>
      <c r="B114" s="580">
        <v>574</v>
      </c>
      <c r="C114" s="586"/>
      <c r="D114" s="914">
        <f t="shared" si="8"/>
        <v>574</v>
      </c>
      <c r="E114" s="1013">
        <v>5666.7723737539709</v>
      </c>
      <c r="F114" s="588">
        <v>287.18881221017267</v>
      </c>
      <c r="G114" s="587">
        <f t="shared" si="9"/>
        <v>5953.9611859641436</v>
      </c>
      <c r="H114" s="1078">
        <v>1223.9419134396355</v>
      </c>
      <c r="I114" s="1079">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777</v>
      </c>
      <c r="AO114" s="454">
        <v>303736</v>
      </c>
      <c r="AR114" s="22"/>
      <c r="AS114" s="22"/>
    </row>
    <row r="115" spans="1:45" ht="25.35" customHeight="1">
      <c r="A115" s="612" t="str">
        <f t="shared" si="7"/>
        <v>Florida State College at Jacksonville</v>
      </c>
      <c r="B115" s="580">
        <v>1636</v>
      </c>
      <c r="C115" s="586"/>
      <c r="D115" s="914">
        <f t="shared" si="8"/>
        <v>1636</v>
      </c>
      <c r="E115" s="1013">
        <v>7590.7871283977338</v>
      </c>
      <c r="F115" s="588">
        <v>266.27411038258322</v>
      </c>
      <c r="G115" s="587">
        <f t="shared" si="9"/>
        <v>7857.0612387803167</v>
      </c>
      <c r="H115" s="1078">
        <v>3425.5373247068869</v>
      </c>
      <c r="I115" s="1079">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35" customHeight="1">
      <c r="A116" s="612" t="str">
        <f t="shared" si="7"/>
        <v>College of the Florida Keys</v>
      </c>
      <c r="B116" s="580">
        <v>64</v>
      </c>
      <c r="C116" s="586"/>
      <c r="D116" s="914">
        <f t="shared" si="8"/>
        <v>64</v>
      </c>
      <c r="E116" s="1013">
        <v>371.12689585439841</v>
      </c>
      <c r="F116" s="588">
        <v>40.826592517694635</v>
      </c>
      <c r="G116" s="587">
        <f t="shared" si="9"/>
        <v>411.95348837209303</v>
      </c>
      <c r="H116" s="1078">
        <v>209.1978138222849</v>
      </c>
      <c r="I116" s="1079">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6" t="s">
        <v>88</v>
      </c>
      <c r="AJ116" s="1006"/>
      <c r="AK116" s="1006"/>
      <c r="AL116" s="1006"/>
      <c r="AM116" s="1006"/>
      <c r="AN116" s="1006"/>
      <c r="AO116" s="375">
        <f>AO114-AO115</f>
        <v>262746.04001638258</v>
      </c>
    </row>
    <row r="117" spans="1:45" ht="25.35" customHeight="1">
      <c r="A117" s="612" t="str">
        <f t="shared" si="7"/>
        <v>Gulf Coast State College</v>
      </c>
      <c r="B117" s="580">
        <v>128</v>
      </c>
      <c r="C117" s="586"/>
      <c r="D117" s="914">
        <f t="shared" si="8"/>
        <v>128</v>
      </c>
      <c r="E117" s="1013">
        <v>2048.1865239897343</v>
      </c>
      <c r="F117" s="588">
        <v>136.69646352603419</v>
      </c>
      <c r="G117" s="587">
        <f t="shared" si="9"/>
        <v>2184.8829875157685</v>
      </c>
      <c r="H117" s="1078">
        <v>519.67653758542133</v>
      </c>
      <c r="I117" s="1079">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35" customHeight="1">
      <c r="A118" s="612" t="str">
        <f t="shared" si="7"/>
        <v>Hillsborough Community College</v>
      </c>
      <c r="B118" s="580">
        <v>85</v>
      </c>
      <c r="C118" s="586"/>
      <c r="D118" s="914">
        <f t="shared" si="8"/>
        <v>85</v>
      </c>
      <c r="E118" s="1013">
        <v>8517.9001498351809</v>
      </c>
      <c r="F118" s="588">
        <v>526.27999486279373</v>
      </c>
      <c r="G118" s="587">
        <f t="shared" si="9"/>
        <v>9044.1801446979753</v>
      </c>
      <c r="H118" s="1078">
        <v>4503.6660264533493</v>
      </c>
      <c r="I118" s="1079">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6" t="s">
        <v>778</v>
      </c>
      <c r="AJ118" s="1006"/>
      <c r="AK118" s="1006"/>
      <c r="AL118" s="1006"/>
      <c r="AM118" s="1006"/>
      <c r="AN118" s="1006"/>
      <c r="AO118" s="376">
        <f>AO112+AO116</f>
        <v>303736</v>
      </c>
    </row>
    <row r="119" spans="1:45" ht="25.35" customHeight="1">
      <c r="A119" s="612" t="str">
        <f t="shared" si="7"/>
        <v>Indian River State College</v>
      </c>
      <c r="B119" s="580">
        <v>1249</v>
      </c>
      <c r="C119" s="586"/>
      <c r="D119" s="914">
        <f t="shared" si="8"/>
        <v>1249</v>
      </c>
      <c r="E119" s="1013">
        <v>4700.0814839350778</v>
      </c>
      <c r="F119" s="588">
        <v>159.28444413451646</v>
      </c>
      <c r="G119" s="587">
        <f t="shared" si="9"/>
        <v>4859.3659280695947</v>
      </c>
      <c r="H119" s="1078">
        <v>2247.8246989270856</v>
      </c>
      <c r="I119" s="1079">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35" customHeight="1">
      <c r="A120" s="612" t="str">
        <f t="shared" si="7"/>
        <v>Florida Gateway College</v>
      </c>
      <c r="B120" s="580">
        <v>152</v>
      </c>
      <c r="C120" s="586"/>
      <c r="D120" s="914">
        <f t="shared" si="8"/>
        <v>152</v>
      </c>
      <c r="E120" s="1013">
        <v>973.52495725103824</v>
      </c>
      <c r="F120" s="588">
        <v>19.288331569090467</v>
      </c>
      <c r="G120" s="587">
        <f t="shared" si="9"/>
        <v>992.81328882012872</v>
      </c>
      <c r="H120" s="1078">
        <v>402.17190037899297</v>
      </c>
      <c r="I120" s="1079">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35" customHeight="1">
      <c r="A121" s="612" t="str">
        <f t="shared" si="7"/>
        <v>Lake-Sumter State College</v>
      </c>
      <c r="B121" s="580">
        <v>225</v>
      </c>
      <c r="C121" s="586"/>
      <c r="D121" s="914">
        <f t="shared" si="8"/>
        <v>225</v>
      </c>
      <c r="E121" s="1013">
        <v>2151.5016223764733</v>
      </c>
      <c r="F121" s="588">
        <v>44.578962500513413</v>
      </c>
      <c r="G121" s="587">
        <f t="shared" si="9"/>
        <v>2196.0805848769869</v>
      </c>
      <c r="H121" s="1078">
        <v>604.49777965743283</v>
      </c>
      <c r="I121" s="1079">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35" customHeight="1">
      <c r="A122" s="612" t="str">
        <f t="shared" si="7"/>
        <v>State College of Florida, Manatee-Sarasota</v>
      </c>
      <c r="B122" s="580">
        <v>469</v>
      </c>
      <c r="C122" s="586"/>
      <c r="D122" s="914">
        <f t="shared" si="8"/>
        <v>469</v>
      </c>
      <c r="E122" s="1013">
        <v>4066.8683647166763</v>
      </c>
      <c r="F122" s="588">
        <v>219.85888418017387</v>
      </c>
      <c r="G122" s="587">
        <f t="shared" si="9"/>
        <v>4286.7272488968501</v>
      </c>
      <c r="H122" s="1078">
        <v>638.73826714801453</v>
      </c>
      <c r="I122" s="1079">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35" customHeight="1">
      <c r="A123" s="612" t="str">
        <f t="shared" si="7"/>
        <v>Miami Dade College</v>
      </c>
      <c r="B123" s="580">
        <v>2789</v>
      </c>
      <c r="C123" s="586"/>
      <c r="D123" s="914">
        <f t="shared" si="8"/>
        <v>2789</v>
      </c>
      <c r="E123" s="1013">
        <v>30701.879099082336</v>
      </c>
      <c r="F123" s="588">
        <v>1598.2522210630536</v>
      </c>
      <c r="G123" s="587">
        <f t="shared" si="9"/>
        <v>32300.131320145389</v>
      </c>
      <c r="H123" s="1078">
        <v>4515.5803949224264</v>
      </c>
      <c r="I123" s="1079">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35" customHeight="1">
      <c r="A124" s="612" t="str">
        <f t="shared" si="7"/>
        <v>North Florida College</v>
      </c>
      <c r="B124" s="580">
        <v>28</v>
      </c>
      <c r="C124" s="586"/>
      <c r="D124" s="914">
        <f t="shared" si="8"/>
        <v>28</v>
      </c>
      <c r="E124" s="1013">
        <v>410.26276091913695</v>
      </c>
      <c r="F124" s="588">
        <v>16.674618487984564</v>
      </c>
      <c r="G124" s="587">
        <f t="shared" si="9"/>
        <v>426.93737940712151</v>
      </c>
      <c r="H124" s="1078">
        <v>88.286964129483806</v>
      </c>
      <c r="I124" s="1079">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35" customHeight="1">
      <c r="A125" s="612" t="str">
        <f t="shared" si="7"/>
        <v>Northwest Florida State College</v>
      </c>
      <c r="B125" s="580">
        <v>278</v>
      </c>
      <c r="C125" s="586"/>
      <c r="D125" s="914">
        <f t="shared" si="8"/>
        <v>278</v>
      </c>
      <c r="E125" s="1013">
        <v>1525.1869607797416</v>
      </c>
      <c r="F125" s="588">
        <v>146.83407172503846</v>
      </c>
      <c r="G125" s="587">
        <f t="shared" si="9"/>
        <v>1672.0210325047801</v>
      </c>
      <c r="H125" s="1078">
        <v>522.19764011799407</v>
      </c>
      <c r="I125" s="1079">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35" customHeight="1">
      <c r="A126" s="612" t="str">
        <f t="shared" si="7"/>
        <v>Palm Beach State College</v>
      </c>
      <c r="B126" s="580">
        <v>887</v>
      </c>
      <c r="C126" s="586"/>
      <c r="D126" s="914">
        <f t="shared" si="8"/>
        <v>887</v>
      </c>
      <c r="E126" s="1013">
        <v>12364.555328214139</v>
      </c>
      <c r="F126" s="588">
        <v>602.94016641391647</v>
      </c>
      <c r="G126" s="587">
        <f t="shared" si="9"/>
        <v>12967.495494628056</v>
      </c>
      <c r="H126" s="1078">
        <v>1487.5113744422499</v>
      </c>
      <c r="I126" s="1079">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35" customHeight="1">
      <c r="A127" s="612" t="str">
        <f t="shared" si="7"/>
        <v>Pasco-Hernando State College</v>
      </c>
      <c r="B127" s="580">
        <v>266</v>
      </c>
      <c r="C127" s="586"/>
      <c r="D127" s="914">
        <f t="shared" si="8"/>
        <v>266</v>
      </c>
      <c r="E127" s="1013">
        <v>2928.4578356360435</v>
      </c>
      <c r="F127" s="588">
        <v>21.377993064347447</v>
      </c>
      <c r="G127" s="587">
        <f t="shared" si="9"/>
        <v>2949.8358287003907</v>
      </c>
      <c r="H127" s="1078">
        <v>1570.3220015057625</v>
      </c>
      <c r="I127" s="1079">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35" customHeight="1">
      <c r="A128" s="612" t="str">
        <f t="shared" si="7"/>
        <v>Pensacola State College</v>
      </c>
      <c r="B128" s="580">
        <v>365</v>
      </c>
      <c r="C128" s="586"/>
      <c r="D128" s="914">
        <f t="shared" si="8"/>
        <v>365</v>
      </c>
      <c r="E128" s="1013">
        <v>3544.6930046710568</v>
      </c>
      <c r="F128" s="588">
        <v>153.09471551578594</v>
      </c>
      <c r="G128" s="587">
        <f t="shared" si="9"/>
        <v>3697.7877201868428</v>
      </c>
      <c r="H128" s="1078">
        <v>1333.1676629103381</v>
      </c>
      <c r="I128" s="1079">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35" customHeight="1">
      <c r="A129" s="612" t="str">
        <f t="shared" si="7"/>
        <v>Polk State College</v>
      </c>
      <c r="B129" s="580">
        <v>555</v>
      </c>
      <c r="C129" s="586"/>
      <c r="D129" s="914">
        <f t="shared" si="8"/>
        <v>555</v>
      </c>
      <c r="E129" s="1013">
        <v>2327.7648773056926</v>
      </c>
      <c r="F129" s="588">
        <v>78.016094314004704</v>
      </c>
      <c r="G129" s="587">
        <f t="shared" si="9"/>
        <v>2405.7809716196971</v>
      </c>
      <c r="H129" s="1078">
        <v>1344.2773162939297</v>
      </c>
      <c r="I129" s="1079">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35" customHeight="1">
      <c r="A130" s="612" t="str">
        <f t="shared" si="7"/>
        <v>St. Johns River State College</v>
      </c>
      <c r="B130" s="580">
        <v>210</v>
      </c>
      <c r="C130" s="586"/>
      <c r="D130" s="914">
        <f t="shared" si="8"/>
        <v>210</v>
      </c>
      <c r="E130" s="1013">
        <v>2125.9434759453225</v>
      </c>
      <c r="F130" s="588">
        <v>64.282336232913181</v>
      </c>
      <c r="G130" s="587">
        <f t="shared" si="9"/>
        <v>2190.2258121782356</v>
      </c>
      <c r="H130" s="1078">
        <v>723.87584711303873</v>
      </c>
      <c r="I130" s="1079">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35" customHeight="1">
      <c r="A131" s="612" t="str">
        <f t="shared" si="7"/>
        <v>St. Petersburg College</v>
      </c>
      <c r="B131" s="580">
        <v>2258</v>
      </c>
      <c r="C131" s="586"/>
      <c r="D131" s="914">
        <f t="shared" si="8"/>
        <v>2258</v>
      </c>
      <c r="E131" s="1013">
        <v>6466.3874752105494</v>
      </c>
      <c r="F131" s="588">
        <v>298.64737167435032</v>
      </c>
      <c r="G131" s="587">
        <f t="shared" si="9"/>
        <v>6765.0348468848997</v>
      </c>
      <c r="H131" s="1078">
        <v>3647.7516879219806</v>
      </c>
      <c r="I131" s="1079">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35" customHeight="1">
      <c r="A132" s="612" t="str">
        <f t="shared" si="7"/>
        <v>Santa Fe College</v>
      </c>
      <c r="B132" s="580">
        <v>429</v>
      </c>
      <c r="C132" s="586"/>
      <c r="D132" s="914">
        <f t="shared" si="8"/>
        <v>429</v>
      </c>
      <c r="E132" s="1013">
        <v>5397.9071716704148</v>
      </c>
      <c r="F132" s="588">
        <v>450.4869891548737</v>
      </c>
      <c r="G132" s="587">
        <f t="shared" si="9"/>
        <v>5848.3941608252881</v>
      </c>
      <c r="H132" s="1078">
        <v>2141.0359024390245</v>
      </c>
      <c r="I132" s="1079">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35" customHeight="1">
      <c r="A133" s="612" t="str">
        <f t="shared" si="7"/>
        <v>Seminole State College of Florida</v>
      </c>
      <c r="B133" s="580">
        <v>993</v>
      </c>
      <c r="C133" s="586"/>
      <c r="D133" s="914">
        <f t="shared" si="8"/>
        <v>993</v>
      </c>
      <c r="E133" s="1013">
        <v>5792.3039146659157</v>
      </c>
      <c r="F133" s="588">
        <v>143.33380271773569</v>
      </c>
      <c r="G133" s="587">
        <f t="shared" si="9"/>
        <v>5935.6377173836518</v>
      </c>
      <c r="H133" s="1078">
        <v>2360.9423675428397</v>
      </c>
      <c r="I133" s="1079">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35" customHeight="1">
      <c r="A134" s="612" t="str">
        <f t="shared" si="7"/>
        <v>South Florida State College</v>
      </c>
      <c r="B134" s="580">
        <v>105</v>
      </c>
      <c r="C134" s="586"/>
      <c r="D134" s="914">
        <f t="shared" si="8"/>
        <v>105</v>
      </c>
      <c r="E134" s="1013">
        <v>1073.8904267589387</v>
      </c>
      <c r="F134" s="588">
        <v>14.205882352941179</v>
      </c>
      <c r="G134" s="587">
        <f t="shared" si="9"/>
        <v>1088.0963091118799</v>
      </c>
      <c r="H134" s="1078">
        <v>293</v>
      </c>
      <c r="I134" s="1079">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35" customHeight="1">
      <c r="A135" s="612" t="str">
        <f t="shared" si="7"/>
        <v>Tallahassee State College</v>
      </c>
      <c r="B135" s="580">
        <v>181</v>
      </c>
      <c r="C135" s="586"/>
      <c r="D135" s="914">
        <f t="shared" si="8"/>
        <v>181</v>
      </c>
      <c r="E135" s="1013">
        <v>7295.8956308616443</v>
      </c>
      <c r="F135" s="588">
        <v>282.20821409344626</v>
      </c>
      <c r="G135" s="587">
        <f t="shared" si="9"/>
        <v>7578.1038449550906</v>
      </c>
      <c r="H135" s="1078">
        <v>1567.3072472153913</v>
      </c>
      <c r="I135" s="1079">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35" customHeight="1" thickBot="1">
      <c r="A136" s="613" t="str">
        <f t="shared" si="7"/>
        <v>Valencia College</v>
      </c>
      <c r="B136" s="542">
        <v>1277</v>
      </c>
      <c r="C136" s="566"/>
      <c r="D136" s="915">
        <f t="shared" si="8"/>
        <v>1277</v>
      </c>
      <c r="E136" s="1014">
        <v>19245.34984144977</v>
      </c>
      <c r="F136" s="567">
        <v>1756.2105859762444</v>
      </c>
      <c r="G136" s="543">
        <f t="shared" si="9"/>
        <v>21001.560427426015</v>
      </c>
      <c r="H136" s="1080">
        <v>8142.6811519960011</v>
      </c>
      <c r="I136" s="1081">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3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1"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681</v>
      </c>
      <c r="V139" s="47"/>
      <c r="W139" s="47"/>
      <c r="X139" s="47"/>
      <c r="Y139" s="47"/>
      <c r="Z139" s="47"/>
      <c r="AA139" s="47"/>
      <c r="AB139" s="47"/>
    </row>
    <row r="140" spans="1:44">
      <c r="A140" s="11" t="s">
        <v>767</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6" customHeight="1" thickBot="1">
      <c r="A145" s="1073" t="s">
        <v>708</v>
      </c>
      <c r="B145" s="995"/>
      <c r="C145" s="1072"/>
      <c r="D145" s="1072"/>
    </row>
    <row r="146" spans="1:4" ht="21.75" thickBot="1">
      <c r="A146" s="56"/>
      <c r="B146" s="57" t="s">
        <v>716</v>
      </c>
    </row>
    <row r="147" spans="1:4" ht="21.75" thickBot="1">
      <c r="A147" s="56">
        <v>1</v>
      </c>
      <c r="B147" s="46">
        <v>2</v>
      </c>
    </row>
    <row r="148" spans="1:4" ht="57" customHeight="1" thickBot="1">
      <c r="A148" s="32" t="s">
        <v>149</v>
      </c>
      <c r="B148" s="1068" t="str">
        <f>B5</f>
        <v xml:space="preserve">2024-25 BASE BUDGET </v>
      </c>
    </row>
    <row r="149" spans="1:4" ht="63.75" thickBot="1">
      <c r="A149" s="280" t="s">
        <v>17</v>
      </c>
      <c r="B149" s="17" t="s">
        <v>149</v>
      </c>
    </row>
    <row r="150" spans="1:4">
      <c r="A150" s="397" t="str">
        <f t="shared" ref="A150:A177" si="23">A7</f>
        <v>Eastern Florida State College</v>
      </c>
      <c r="B150" s="1069">
        <v>1223211</v>
      </c>
    </row>
    <row r="151" spans="1:4">
      <c r="A151" s="377" t="str">
        <f t="shared" si="23"/>
        <v>Broward College</v>
      </c>
      <c r="B151" s="1070">
        <v>2901756</v>
      </c>
    </row>
    <row r="152" spans="1:4">
      <c r="A152" s="377" t="str">
        <f t="shared" si="23"/>
        <v>College of Central Florida</v>
      </c>
      <c r="B152" s="1070">
        <v>580642</v>
      </c>
    </row>
    <row r="153" spans="1:4">
      <c r="A153" s="377" t="str">
        <f t="shared" si="23"/>
        <v>Chipola College</v>
      </c>
      <c r="B153" s="1070">
        <v>199039</v>
      </c>
    </row>
    <row r="154" spans="1:4">
      <c r="A154" s="377" t="str">
        <f t="shared" si="23"/>
        <v>Daytona State College</v>
      </c>
      <c r="B154" s="1070">
        <v>806367</v>
      </c>
    </row>
    <row r="155" spans="1:4">
      <c r="A155" s="377" t="str">
        <f t="shared" si="23"/>
        <v>Florida SouthWestern State College</v>
      </c>
      <c r="B155" s="1070">
        <v>831927</v>
      </c>
    </row>
    <row r="156" spans="1:4">
      <c r="A156" s="377" t="str">
        <f t="shared" si="23"/>
        <v>Florida State College at Jacksonville</v>
      </c>
      <c r="B156" s="1070">
        <v>1522554</v>
      </c>
    </row>
    <row r="157" spans="1:4">
      <c r="A157" s="377" t="str">
        <f t="shared" si="23"/>
        <v>College of the Florida Keys</v>
      </c>
      <c r="B157" s="1070">
        <v>55645</v>
      </c>
    </row>
    <row r="158" spans="1:4">
      <c r="A158" s="377" t="str">
        <f t="shared" si="23"/>
        <v>Gulf Coast State College</v>
      </c>
      <c r="B158" s="1070">
        <v>281214</v>
      </c>
    </row>
    <row r="159" spans="1:4">
      <c r="A159" s="377" t="str">
        <f t="shared" si="23"/>
        <v>Hillsborough Community College</v>
      </c>
      <c r="B159" s="1070">
        <v>1535676</v>
      </c>
    </row>
    <row r="160" spans="1:4">
      <c r="A160" s="377" t="str">
        <f t="shared" si="23"/>
        <v>Indian River State College</v>
      </c>
      <c r="B160" s="1070">
        <v>861594</v>
      </c>
    </row>
    <row r="161" spans="1:2">
      <c r="A161" s="377" t="str">
        <f t="shared" si="23"/>
        <v>Florida Gateway College</v>
      </c>
      <c r="B161" s="1070">
        <v>234886</v>
      </c>
    </row>
    <row r="162" spans="1:2">
      <c r="A162" s="377" t="str">
        <f t="shared" si="23"/>
        <v>Lake-Sumter State College</v>
      </c>
      <c r="B162" s="1070">
        <v>334183</v>
      </c>
    </row>
    <row r="163" spans="1:2">
      <c r="A163" s="377" t="str">
        <f t="shared" si="23"/>
        <v>State College of Florida, Manatee-Sarasota</v>
      </c>
      <c r="B163" s="1070">
        <v>538310</v>
      </c>
    </row>
    <row r="164" spans="1:2">
      <c r="A164" s="377" t="str">
        <f t="shared" si="23"/>
        <v>Miami Dade College</v>
      </c>
      <c r="B164" s="1070">
        <v>4079933</v>
      </c>
    </row>
    <row r="165" spans="1:2">
      <c r="A165" s="377" t="str">
        <f t="shared" si="23"/>
        <v>North Florida College</v>
      </c>
      <c r="B165" s="1070">
        <v>134140</v>
      </c>
    </row>
    <row r="166" spans="1:2">
      <c r="A166" s="377" t="str">
        <f t="shared" si="23"/>
        <v>Northwest Florida State College</v>
      </c>
      <c r="B166" s="1070">
        <v>337943</v>
      </c>
    </row>
    <row r="167" spans="1:2">
      <c r="A167" s="377" t="str">
        <f t="shared" si="23"/>
        <v>Palm Beach State College</v>
      </c>
      <c r="B167" s="1070">
        <v>1362933</v>
      </c>
    </row>
    <row r="168" spans="1:2">
      <c r="A168" s="377" t="str">
        <f t="shared" si="23"/>
        <v>Pasco-Hernando State College</v>
      </c>
      <c r="B168" s="1070">
        <v>656969</v>
      </c>
    </row>
    <row r="169" spans="1:2">
      <c r="A169" s="377" t="str">
        <f t="shared" si="23"/>
        <v>Pensacola State College</v>
      </c>
      <c r="B169" s="1070">
        <v>468310</v>
      </c>
    </row>
    <row r="170" spans="1:2">
      <c r="A170" s="377" t="str">
        <f t="shared" si="23"/>
        <v>Polk State College</v>
      </c>
      <c r="B170" s="1070">
        <v>612408</v>
      </c>
    </row>
    <row r="171" spans="1:2">
      <c r="A171" s="377" t="str">
        <f t="shared" si="23"/>
        <v>St. Johns River State College</v>
      </c>
      <c r="B171" s="1070">
        <v>432461</v>
      </c>
    </row>
    <row r="172" spans="1:2">
      <c r="A172" s="377" t="str">
        <f t="shared" si="23"/>
        <v>St. Petersburg College</v>
      </c>
      <c r="B172" s="1070">
        <v>1662776</v>
      </c>
    </row>
    <row r="173" spans="1:2">
      <c r="A173" s="377" t="str">
        <f t="shared" si="23"/>
        <v>Santa Fe College</v>
      </c>
      <c r="B173" s="1070">
        <v>1069199</v>
      </c>
    </row>
    <row r="174" spans="1:2">
      <c r="A174" s="377" t="str">
        <f t="shared" si="23"/>
        <v>Seminole State College of Florida</v>
      </c>
      <c r="B174" s="1070">
        <v>1560101</v>
      </c>
    </row>
    <row r="175" spans="1:2">
      <c r="A175" s="377" t="str">
        <f t="shared" si="23"/>
        <v>South Florida State College</v>
      </c>
      <c r="B175" s="1070">
        <v>188239</v>
      </c>
    </row>
    <row r="176" spans="1:2">
      <c r="A176" s="377" t="str">
        <f t="shared" si="23"/>
        <v>Tallahassee State College</v>
      </c>
      <c r="B176" s="1070">
        <v>1011402</v>
      </c>
    </row>
    <row r="177" spans="1:2" ht="21.75" thickBot="1">
      <c r="A177" s="378" t="str">
        <f t="shared" si="23"/>
        <v>Valencia College</v>
      </c>
      <c r="B177" s="1071">
        <v>4516182</v>
      </c>
    </row>
    <row r="178" spans="1:2" ht="24" thickBot="1">
      <c r="A178" s="379" t="s">
        <v>48</v>
      </c>
      <c r="B178" s="417">
        <f>SUM(B150:B177)</f>
        <v>30000000</v>
      </c>
    </row>
    <row r="180" spans="1:2" ht="36.75" thickBot="1">
      <c r="A180" s="1073" t="s">
        <v>708</v>
      </c>
      <c r="B180" s="995"/>
    </row>
    <row r="181" spans="1:2" ht="21.75" thickBot="1">
      <c r="A181" s="56"/>
      <c r="B181" s="57" t="s">
        <v>716</v>
      </c>
    </row>
    <row r="182" spans="1:2" ht="21.75" thickBot="1">
      <c r="A182" s="56">
        <v>1</v>
      </c>
      <c r="B182" s="46">
        <v>2</v>
      </c>
    </row>
    <row r="183" spans="1:2" ht="54" thickBot="1">
      <c r="A183" s="1074" t="s">
        <v>687</v>
      </c>
      <c r="B183" s="1068" t="str">
        <f>B5</f>
        <v xml:space="preserve">2024-25 BASE BUDGET </v>
      </c>
    </row>
    <row r="184" spans="1:2" ht="42.75" thickBot="1">
      <c r="A184" s="280" t="s">
        <v>17</v>
      </c>
      <c r="B184" s="17" t="s">
        <v>687</v>
      </c>
    </row>
    <row r="185" spans="1:2">
      <c r="A185" s="397" t="str">
        <f t="shared" ref="A185:A212" si="24">A7</f>
        <v>Eastern Florida State College</v>
      </c>
      <c r="B185" s="1075">
        <v>1305041</v>
      </c>
    </row>
    <row r="186" spans="1:2">
      <c r="A186" s="377" t="str">
        <f t="shared" si="24"/>
        <v>Broward College</v>
      </c>
      <c r="B186" s="1070">
        <v>1431485</v>
      </c>
    </row>
    <row r="187" spans="1:2">
      <c r="A187" s="377" t="str">
        <f t="shared" si="24"/>
        <v>College of Central Florida</v>
      </c>
      <c r="B187" s="1070">
        <v>1049273</v>
      </c>
    </row>
    <row r="188" spans="1:2">
      <c r="A188" s="377" t="str">
        <f t="shared" si="24"/>
        <v>Chipola College</v>
      </c>
      <c r="B188" s="1070">
        <v>432695</v>
      </c>
    </row>
    <row r="189" spans="1:2">
      <c r="A189" s="377" t="str">
        <f t="shared" si="24"/>
        <v>Daytona State College</v>
      </c>
      <c r="B189" s="1070">
        <v>2291042</v>
      </c>
    </row>
    <row r="190" spans="1:2">
      <c r="A190" s="377" t="str">
        <f t="shared" si="24"/>
        <v>Florida SouthWestern State College</v>
      </c>
      <c r="B190" s="1070">
        <v>1383615</v>
      </c>
    </row>
    <row r="191" spans="1:2">
      <c r="A191" s="377" t="str">
        <f t="shared" si="24"/>
        <v>Florida State College at Jacksonville</v>
      </c>
      <c r="B191" s="1070">
        <v>2284275</v>
      </c>
    </row>
    <row r="192" spans="1:2">
      <c r="A192" s="377" t="str">
        <f t="shared" si="24"/>
        <v>College of the Florida Keys</v>
      </c>
      <c r="B192" s="1070">
        <v>338573</v>
      </c>
    </row>
    <row r="193" spans="1:2">
      <c r="A193" s="377" t="str">
        <f t="shared" si="24"/>
        <v>Gulf Coast State College</v>
      </c>
      <c r="B193" s="1070">
        <v>1680100</v>
      </c>
    </row>
    <row r="194" spans="1:2">
      <c r="A194" s="377" t="str">
        <f t="shared" si="24"/>
        <v>Hillsborough Community College</v>
      </c>
      <c r="B194" s="1070">
        <v>653062</v>
      </c>
    </row>
    <row r="195" spans="1:2">
      <c r="A195" s="377" t="str">
        <f t="shared" si="24"/>
        <v>Indian River State College</v>
      </c>
      <c r="B195" s="1070">
        <v>1644383</v>
      </c>
    </row>
    <row r="196" spans="1:2">
      <c r="A196" s="377" t="str">
        <f t="shared" si="24"/>
        <v>Florida Gateway College</v>
      </c>
      <c r="B196" s="1070">
        <v>1502315</v>
      </c>
    </row>
    <row r="197" spans="1:2">
      <c r="A197" s="377" t="str">
        <f t="shared" si="24"/>
        <v>Lake-Sumter State College</v>
      </c>
      <c r="B197" s="1070">
        <v>1203371</v>
      </c>
    </row>
    <row r="198" spans="1:2">
      <c r="A198" s="377" t="str">
        <f t="shared" si="24"/>
        <v>State College of Florida, Manatee-Sarasota</v>
      </c>
      <c r="B198" s="1070">
        <v>1708676</v>
      </c>
    </row>
    <row r="199" spans="1:2">
      <c r="A199" s="377" t="str">
        <f t="shared" si="24"/>
        <v>Miami Dade College</v>
      </c>
      <c r="B199" s="1070">
        <v>2347456</v>
      </c>
    </row>
    <row r="200" spans="1:2">
      <c r="A200" s="377" t="str">
        <f t="shared" si="24"/>
        <v>North Florida College</v>
      </c>
      <c r="B200" s="1070">
        <v>909979</v>
      </c>
    </row>
    <row r="201" spans="1:2">
      <c r="A201" s="377" t="str">
        <f t="shared" si="24"/>
        <v>Northwest Florida State College</v>
      </c>
      <c r="B201" s="1070">
        <v>846604</v>
      </c>
    </row>
    <row r="202" spans="1:2">
      <c r="A202" s="377" t="str">
        <f t="shared" si="24"/>
        <v>Palm Beach State College</v>
      </c>
      <c r="B202" s="1070">
        <v>1637660</v>
      </c>
    </row>
    <row r="203" spans="1:2">
      <c r="A203" s="377" t="str">
        <f t="shared" si="24"/>
        <v>Pasco-Hernando State College</v>
      </c>
      <c r="B203" s="1070">
        <v>2453045</v>
      </c>
    </row>
    <row r="204" spans="1:2">
      <c r="A204" s="377" t="str">
        <f t="shared" si="24"/>
        <v>Pensacola State College</v>
      </c>
      <c r="B204" s="1070">
        <v>1084766</v>
      </c>
    </row>
    <row r="205" spans="1:2">
      <c r="A205" s="377" t="str">
        <f t="shared" si="24"/>
        <v>Polk State College</v>
      </c>
      <c r="B205" s="1070">
        <v>1287984</v>
      </c>
    </row>
    <row r="206" spans="1:2">
      <c r="A206" s="377" t="str">
        <f t="shared" si="24"/>
        <v>St. Johns River State College</v>
      </c>
      <c r="B206" s="1070">
        <v>1161973</v>
      </c>
    </row>
    <row r="207" spans="1:2">
      <c r="A207" s="377" t="str">
        <f t="shared" si="24"/>
        <v>St. Petersburg College</v>
      </c>
      <c r="B207" s="1070">
        <v>2139506</v>
      </c>
    </row>
    <row r="208" spans="1:2">
      <c r="A208" s="377" t="str">
        <f t="shared" si="24"/>
        <v>Santa Fe College</v>
      </c>
      <c r="B208" s="1070">
        <v>1764750</v>
      </c>
    </row>
    <row r="209" spans="1:2">
      <c r="A209" s="377" t="str">
        <f t="shared" si="24"/>
        <v>Seminole State College of Florida</v>
      </c>
      <c r="B209" s="1070">
        <v>1473391</v>
      </c>
    </row>
    <row r="210" spans="1:2">
      <c r="A210" s="377" t="str">
        <f t="shared" si="24"/>
        <v>South Florida State College</v>
      </c>
      <c r="B210" s="1070">
        <v>1194691</v>
      </c>
    </row>
    <row r="211" spans="1:2">
      <c r="A211" s="377" t="str">
        <f t="shared" si="24"/>
        <v>Tallahassee State College</v>
      </c>
      <c r="B211" s="1070">
        <v>678930</v>
      </c>
    </row>
    <row r="212" spans="1:2" ht="21.75" thickBot="1">
      <c r="A212" s="378" t="str">
        <f t="shared" si="24"/>
        <v>Valencia College</v>
      </c>
      <c r="B212" s="1071">
        <v>2111359</v>
      </c>
    </row>
    <row r="213" spans="1:2" ht="24" thickBot="1">
      <c r="A213" s="379" t="s">
        <v>48</v>
      </c>
      <c r="B213" s="417">
        <f>SUM(B185:B212)</f>
        <v>40000000</v>
      </c>
    </row>
  </sheetData>
  <sheetProtection algorithmName="SHA-512" hashValue="EmY/sRXhiGECdYZN7urTFR65JNzJ/XEi1iRB3LCGFHDL8ouiWIVv/7Vl34bjN/vcie28vmbVwvObQZIuURfxig==" saltValue="CQlyPFkJonTOGFXZy8Rr2w=="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zoomScale="80" zoomScaleNormal="80" workbookViewId="0">
      <pane xSplit="2" ySplit="5" topLeftCell="C6" activePane="bottomRight" state="frozen"/>
      <selection pane="topRight" activeCell="C1" sqref="C1"/>
      <selection pane="bottomLeft" activeCell="A6" sqref="A6"/>
      <selection pane="bottomRight"/>
    </sheetView>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9" t="s">
        <v>11</v>
      </c>
      <c r="B1" s="869"/>
      <c r="C1" s="869"/>
      <c r="D1" s="869"/>
      <c r="E1" s="869"/>
      <c r="F1" s="869"/>
      <c r="G1" s="869"/>
      <c r="H1" s="22"/>
      <c r="I1" s="22"/>
    </row>
    <row r="2" spans="1:9" ht="20.100000000000001" customHeight="1">
      <c r="A2" s="869" t="s">
        <v>741</v>
      </c>
      <c r="B2" s="869"/>
      <c r="C2" s="869"/>
      <c r="D2" s="869"/>
      <c r="E2" s="869"/>
      <c r="F2" s="869"/>
      <c r="G2" s="869"/>
    </row>
    <row r="3" spans="1:9" ht="20.100000000000001" customHeight="1">
      <c r="A3" s="869"/>
      <c r="B3" s="869"/>
      <c r="C3" s="869"/>
      <c r="D3" s="869"/>
      <c r="E3" s="869"/>
      <c r="F3" s="869"/>
      <c r="G3" s="869"/>
      <c r="H3" s="82"/>
    </row>
    <row r="4" spans="1:9" ht="28.35" customHeight="1">
      <c r="A4" s="1088" t="s">
        <v>703</v>
      </c>
      <c r="B4" s="1088"/>
      <c r="C4" s="1088"/>
      <c r="D4" s="1088"/>
      <c r="E4" s="1088"/>
      <c r="F4" s="1088"/>
      <c r="G4" s="1088"/>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90" t="s">
        <v>25</v>
      </c>
      <c r="E7" s="907"/>
      <c r="F7" s="907"/>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3" t="s">
        <v>94</v>
      </c>
      <c r="B10" s="85"/>
      <c r="C10" s="870" t="s">
        <v>781</v>
      </c>
      <c r="D10" s="870"/>
      <c r="E10" s="870"/>
      <c r="F10" s="870"/>
      <c r="G10" s="870"/>
      <c r="H10" s="87"/>
      <c r="I10" s="512"/>
    </row>
    <row r="11" spans="1:9" ht="20.45" customHeight="1">
      <c r="A11" s="85"/>
      <c r="B11" s="85"/>
      <c r="C11" s="420"/>
      <c r="D11" s="420"/>
      <c r="E11" s="420"/>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2" t="s">
        <v>97</v>
      </c>
      <c r="D15" s="792"/>
      <c r="E15" s="792"/>
    </row>
    <row r="16" spans="1:9" ht="20.100000000000001" customHeight="1">
      <c r="A16" s="792"/>
      <c r="B16" s="792"/>
      <c r="D16" s="82"/>
      <c r="E16" s="82"/>
      <c r="H16" s="82"/>
    </row>
    <row r="17" spans="1:8" ht="27" customHeight="1">
      <c r="C17" s="799">
        <f>IF(+'EXHIBIT A'!E44&gt;=0.0499,+'EXHIBIT A'!E44,"PERCENTAGE DOES NOT MEET STATUTORY GUIDELINES")</f>
        <v>0.13308268042371837</v>
      </c>
      <c r="D17" s="799"/>
      <c r="E17" s="799"/>
      <c r="F17" s="799"/>
      <c r="G17" s="799"/>
      <c r="H17" s="82"/>
    </row>
    <row r="18" spans="1:8" ht="20.100000000000001" customHeight="1">
      <c r="A18" s="792"/>
      <c r="B18" s="792"/>
      <c r="C18" s="871" t="s">
        <v>98</v>
      </c>
      <c r="D18" s="871"/>
      <c r="E18" s="871"/>
      <c r="F18" s="871"/>
      <c r="G18" s="871"/>
      <c r="H18" s="82"/>
    </row>
    <row r="19" spans="1:8" ht="20.100000000000001" customHeight="1">
      <c r="A19" s="792"/>
      <c r="B19" s="792"/>
      <c r="C19" s="22"/>
      <c r="D19" s="22"/>
      <c r="E19" s="22"/>
      <c r="F19" s="82"/>
      <c r="G19" s="82"/>
      <c r="H19" s="82"/>
    </row>
    <row r="20" spans="1:8" ht="20.100000000000001" customHeight="1"/>
    <row r="21" spans="1:8" ht="20.100000000000001" customHeight="1">
      <c r="A21" s="85" t="s">
        <v>99</v>
      </c>
      <c r="B21" s="85"/>
      <c r="C21" s="792" t="s">
        <v>100</v>
      </c>
      <c r="D21" s="792"/>
      <c r="E21" s="792"/>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3"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742</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f>VLOOKUP($D$7,VLOOKUP!$A$109:$S$137,2)*30+D59</f>
        <v>29100</v>
      </c>
      <c r="E44" s="108">
        <f>+'EXHIBIT C'!F10</f>
        <v>30650</v>
      </c>
      <c r="F44" s="109">
        <f t="shared" ref="F44:F50" si="0">IF(D44=0,"0",(E44/D44-1))</f>
        <v>5.3264604810996596E-2</v>
      </c>
      <c r="G44" s="110" t="str">
        <f t="shared" ref="G44:G50" si="1">IF(OR(F44&gt;3%, F44&lt;-3%),"YES","NO")</f>
        <v>YES</v>
      </c>
      <c r="H44" s="82"/>
    </row>
    <row r="45" spans="1:8" ht="20.100000000000001" customHeight="1">
      <c r="C45" s="111" t="s">
        <v>125</v>
      </c>
      <c r="D45" s="621">
        <f>VLOOKUP($D$7,VLOOKUP!$A$109:$S$137,5)*30+D60</f>
        <v>144349.89918779602</v>
      </c>
      <c r="E45" s="112">
        <f>+'EXHIBIT C'!F11</f>
        <v>145118</v>
      </c>
      <c r="F45" s="622">
        <f t="shared" si="0"/>
        <v>5.3211039046496822E-3</v>
      </c>
      <c r="G45" s="623" t="str">
        <f t="shared" si="1"/>
        <v>NO</v>
      </c>
      <c r="H45" s="82"/>
    </row>
    <row r="46" spans="1:8" ht="20.100000000000001" customHeight="1">
      <c r="C46" s="624" t="s">
        <v>126</v>
      </c>
      <c r="D46" s="625">
        <f>VLOOKUP($D$7,VLOOKUP!$A$109:$S$137,8)*30</f>
        <v>62348.04319083297</v>
      </c>
      <c r="E46" s="626">
        <f>+'EXHIBIT C'!F12</f>
        <v>69152</v>
      </c>
      <c r="F46" s="622">
        <f t="shared" si="0"/>
        <v>0.10912863437175879</v>
      </c>
      <c r="G46" s="623" t="str">
        <f t="shared" si="1"/>
        <v>YES</v>
      </c>
      <c r="H46" s="82"/>
    </row>
    <row r="47" spans="1:8" ht="20.100000000000001" customHeight="1">
      <c r="C47" s="624" t="s">
        <v>75</v>
      </c>
      <c r="D47" s="625">
        <f>VLOOKUP($D$7,VLOOKUP!$A$109:$S$137,17)*30</f>
        <v>20073.991710733171</v>
      </c>
      <c r="E47" s="626">
        <f>+'EXHIBIT C'!F13</f>
        <v>22458</v>
      </c>
      <c r="F47" s="622">
        <f t="shared" si="0"/>
        <v>0.11876104780855057</v>
      </c>
      <c r="G47" s="623" t="str">
        <f t="shared" si="1"/>
        <v>YES</v>
      </c>
      <c r="H47" s="82"/>
    </row>
    <row r="48" spans="1:8" ht="20.100000000000001" customHeight="1">
      <c r="C48" s="624" t="s">
        <v>127</v>
      </c>
      <c r="D48" s="625">
        <f>VLOOKUP($D$7,VLOOKUP!$A$109:$S$137,11)*30</f>
        <v>4510.5637065637065</v>
      </c>
      <c r="E48" s="626">
        <f>+'EXHIBIT C'!F14</f>
        <v>5760</v>
      </c>
      <c r="F48" s="622">
        <f t="shared" si="0"/>
        <v>0.27700224954546848</v>
      </c>
      <c r="G48" s="623" t="str">
        <f t="shared" si="1"/>
        <v>YES</v>
      </c>
      <c r="H48" s="82"/>
    </row>
    <row r="49" spans="3:8" ht="20.100000000000001" customHeight="1" thickBot="1">
      <c r="C49" s="627" t="s">
        <v>128</v>
      </c>
      <c r="D49" s="628">
        <f>VLOOKUP($D$7,VLOOKUP!$A$109:$S$137,14)*30</f>
        <v>30</v>
      </c>
      <c r="E49" s="629">
        <f>+'EXHIBIT C'!F15</f>
        <v>0</v>
      </c>
      <c r="F49" s="630">
        <f t="shared" si="0"/>
        <v>-1</v>
      </c>
      <c r="G49" s="631" t="str">
        <f t="shared" si="1"/>
        <v>YES</v>
      </c>
      <c r="H49" s="82"/>
    </row>
    <row r="50" spans="3:8" ht="20.100000000000001" customHeight="1" thickBot="1">
      <c r="C50" s="113" t="s">
        <v>48</v>
      </c>
      <c r="D50" s="114">
        <f>SUM(D44:D49)</f>
        <v>260412.49779592585</v>
      </c>
      <c r="E50" s="115">
        <f>+'EXHIBIT C'!F17</f>
        <v>273138</v>
      </c>
      <c r="F50" s="116">
        <f t="shared" si="0"/>
        <v>4.8866710744607023E-2</v>
      </c>
      <c r="G50" s="117" t="str">
        <f t="shared" si="1"/>
        <v>YES</v>
      </c>
      <c r="H50" s="82"/>
    </row>
    <row r="51" spans="3:8" ht="46.5" customHeight="1" thickBot="1">
      <c r="C51" s="872" t="s">
        <v>129</v>
      </c>
      <c r="D51" s="873"/>
      <c r="E51" s="873"/>
      <c r="F51" s="873"/>
      <c r="G51" s="874"/>
      <c r="H51" s="82"/>
    </row>
    <row r="52" spans="3:8" ht="24.6" customHeight="1" thickBot="1">
      <c r="C52" s="796" t="s">
        <v>704</v>
      </c>
      <c r="D52" s="797"/>
      <c r="E52" s="797"/>
      <c r="F52" s="797"/>
      <c r="G52" s="798"/>
      <c r="H52" s="118"/>
    </row>
    <row r="53" spans="3:8" ht="205.5" customHeight="1" thickBot="1">
      <c r="C53" s="1048" t="s">
        <v>784</v>
      </c>
      <c r="D53" s="1049"/>
      <c r="E53" s="1049"/>
      <c r="F53" s="1049"/>
      <c r="G53" s="1050"/>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2">
        <f>VLOOKUP($D$7,VLOOKUP!$A$109:$S$137,3)*30</f>
        <v>0</v>
      </c>
      <c r="E59" s="124">
        <f>+'EXHIBIT C'!D19</f>
        <v>390</v>
      </c>
      <c r="F59" s="633" t="str">
        <f t="shared" ref="F59:F65" si="2">IF(D59=0,"0",(E59/D59-1))</f>
        <v>0</v>
      </c>
      <c r="G59" s="634" t="str">
        <f>IF(OR(F59&gt;5%, F59&lt;-5%),"YES","NO")</f>
        <v>NO</v>
      </c>
    </row>
    <row r="60" spans="3:8" ht="20.100000000000001" customHeight="1">
      <c r="C60" s="111" t="s">
        <v>125</v>
      </c>
      <c r="D60" s="632">
        <f>VLOOKUP($D$7,VLOOKUP!$A$109:$S$137,6)*30</f>
        <v>8704.5679341106661</v>
      </c>
      <c r="E60" s="125">
        <f>+'EXHIBIT C'!D20</f>
        <v>6559</v>
      </c>
      <c r="F60" s="633">
        <f t="shared" si="2"/>
        <v>-0.24648758563912287</v>
      </c>
      <c r="G60" s="634" t="str">
        <f t="shared" ref="G60:G65" si="3">IF(OR(F60&gt;5%, F60&lt;-5%),"YES","NO")</f>
        <v>YES</v>
      </c>
      <c r="H60" s="82"/>
    </row>
    <row r="61" spans="3:8" ht="20.100000000000001" customHeight="1">
      <c r="C61" s="624" t="s">
        <v>126</v>
      </c>
      <c r="D61" s="635">
        <f>VLOOKUP($D$7,VLOOKUP!$A$109:$S$137,9)*30</f>
        <v>2953.0351109152343</v>
      </c>
      <c r="E61" s="636">
        <f>+'EXHIBIT C'!D21</f>
        <v>2496</v>
      </c>
      <c r="F61" s="633">
        <f t="shared" si="2"/>
        <v>-0.15476792308560983</v>
      </c>
      <c r="G61" s="634" t="str">
        <f t="shared" si="3"/>
        <v>YES</v>
      </c>
      <c r="H61" s="82"/>
    </row>
    <row r="62" spans="3:8" ht="20.100000000000001" customHeight="1">
      <c r="C62" s="624" t="s">
        <v>75</v>
      </c>
      <c r="D62" s="635">
        <f>VLOOKUP($D$7,VLOOKUP!$A$109:$S$137,18)*30</f>
        <v>801.2405316564242</v>
      </c>
      <c r="E62" s="636">
        <f>+'EXHIBIT C'!D22</f>
        <v>587</v>
      </c>
      <c r="F62" s="633">
        <f t="shared" si="2"/>
        <v>-0.26738603851395226</v>
      </c>
      <c r="G62" s="634" t="str">
        <f t="shared" si="3"/>
        <v>YES</v>
      </c>
      <c r="H62" s="82"/>
    </row>
    <row r="63" spans="3:8" ht="20.100000000000001" customHeight="1">
      <c r="C63" s="624" t="s">
        <v>127</v>
      </c>
      <c r="D63" s="635">
        <f>VLOOKUP($D$7,VLOOKUP!$A$109:$S$137,12)*30</f>
        <v>709.43629343629345</v>
      </c>
      <c r="E63" s="636">
        <f>+'EXHIBIT C'!D23</f>
        <v>525</v>
      </c>
      <c r="F63" s="633">
        <f t="shared" si="2"/>
        <v>-0.25997583594566354</v>
      </c>
      <c r="G63" s="634" t="str">
        <f t="shared" si="3"/>
        <v>YES</v>
      </c>
      <c r="H63" s="82"/>
    </row>
    <row r="64" spans="3:8" ht="20.100000000000001" customHeight="1" thickBot="1">
      <c r="C64" s="627" t="s">
        <v>128</v>
      </c>
      <c r="D64" s="637">
        <f>VLOOKUP($D$7,VLOOKUP!$A$109:$S$137,15)*30</f>
        <v>0</v>
      </c>
      <c r="E64" s="638">
        <f>+'EXHIBIT C'!D24</f>
        <v>0</v>
      </c>
      <c r="F64" s="639" t="str">
        <f t="shared" si="2"/>
        <v>0</v>
      </c>
      <c r="G64" s="640" t="str">
        <f t="shared" si="3"/>
        <v>NO</v>
      </c>
      <c r="H64" s="82"/>
    </row>
    <row r="65" spans="1:8" ht="20.100000000000001" customHeight="1" thickBot="1">
      <c r="C65" s="113" t="s">
        <v>48</v>
      </c>
      <c r="D65" s="126">
        <f>SUM(D59:D64)</f>
        <v>13168.279870118618</v>
      </c>
      <c r="E65" s="127">
        <f>SUM(E59:E64)</f>
        <v>10557</v>
      </c>
      <c r="F65" s="128">
        <f t="shared" si="2"/>
        <v>-0.19830075726474483</v>
      </c>
      <c r="G65" s="129" t="str">
        <f t="shared" si="3"/>
        <v>YES</v>
      </c>
      <c r="H65" s="82"/>
    </row>
    <row r="66" spans="1:8" ht="42" customHeight="1" thickBot="1">
      <c r="C66" s="872" t="s">
        <v>134</v>
      </c>
      <c r="D66" s="873"/>
      <c r="E66" s="873"/>
      <c r="F66" s="873"/>
      <c r="G66" s="874"/>
      <c r="H66" s="82"/>
    </row>
    <row r="67" spans="1:8" ht="24.6" customHeight="1" thickBot="1">
      <c r="A67" s="92"/>
      <c r="B67" s="92"/>
      <c r="C67" s="793" t="s">
        <v>704</v>
      </c>
      <c r="D67" s="794"/>
      <c r="E67" s="794"/>
      <c r="F67" s="794"/>
      <c r="G67" s="795"/>
      <c r="H67" s="82"/>
    </row>
    <row r="68" spans="1:8" ht="227.25" customHeight="1" thickBot="1">
      <c r="A68" s="92"/>
      <c r="B68" s="92"/>
      <c r="C68" s="1051" t="s">
        <v>784</v>
      </c>
      <c r="D68" s="1052"/>
      <c r="E68" s="1052"/>
      <c r="F68" s="1052"/>
      <c r="G68" s="1053"/>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4" t="str">
        <f>IF(+'EXHIBIT A'!E19='EXHIBIT C'!B70,"Equal","Not Equal")</f>
        <v>Equal</v>
      </c>
      <c r="D74" s="82" t="s">
        <v>138</v>
      </c>
      <c r="E74" s="82"/>
      <c r="F74" s="82"/>
      <c r="G74" s="82"/>
      <c r="H74" s="82"/>
    </row>
    <row r="75" spans="1:8" ht="20.100000000000001" customHeight="1">
      <c r="A75" s="92"/>
      <c r="B75" s="92"/>
      <c r="C75" s="1094"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4" t="str">
        <f>IF((+'EXHIBIT A'!E26)='EXHIBIT C'!B61,"Equal","Not Equal")</f>
        <v>Equal</v>
      </c>
      <c r="D77" s="82" t="s">
        <v>141</v>
      </c>
      <c r="E77" s="82"/>
      <c r="F77" s="82"/>
      <c r="G77" s="82"/>
      <c r="H77" s="82"/>
    </row>
    <row r="78" spans="1:8" ht="20.100000000000001" customHeight="1">
      <c r="A78" s="92"/>
      <c r="B78" s="92"/>
      <c r="C78" s="1094"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5" t="s">
        <v>144</v>
      </c>
      <c r="D81" s="875"/>
      <c r="E81" s="875"/>
      <c r="F81" s="875"/>
      <c r="G81" s="875"/>
      <c r="H81" s="791"/>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1" t="s">
        <v>148</v>
      </c>
      <c r="D84" s="642">
        <f>VLOOKUP($D$7,VLOOKUP!$A$7:$E$35,2)</f>
        <v>49300674.267480299</v>
      </c>
      <c r="E84" s="1089">
        <f>+'EXHIBIT D'!G77</f>
        <v>49300674.267480299</v>
      </c>
      <c r="F84" s="1089">
        <f>D84-E84</f>
        <v>0</v>
      </c>
      <c r="G84" s="82"/>
      <c r="H84" s="82"/>
    </row>
    <row r="85" spans="1:8" ht="20.100000000000001" customHeight="1">
      <c r="A85" s="92"/>
      <c r="B85" s="92"/>
      <c r="C85" s="643" t="s">
        <v>149</v>
      </c>
      <c r="D85" s="642">
        <f>VLOOKUP($D$7,VLOOKUP!$A$150:$B$178,2)</f>
        <v>806367</v>
      </c>
      <c r="E85" s="1089">
        <f>'EXHIBIT D'!G79</f>
        <v>806367</v>
      </c>
      <c r="F85" s="1089">
        <f>D85-E85</f>
        <v>0</v>
      </c>
      <c r="G85" s="82"/>
      <c r="H85" s="82"/>
    </row>
    <row r="86" spans="1:8" ht="20.100000000000001" customHeight="1">
      <c r="A86" s="92"/>
      <c r="B86" s="92"/>
      <c r="C86" s="643" t="s">
        <v>150</v>
      </c>
      <c r="D86" s="642">
        <f>VLOOKUP($D$7,VLOOKUP!$A$7:$E$35,3)</f>
        <v>11651335.732519712</v>
      </c>
      <c r="E86" s="1089">
        <f>'EXHIBIT D'!G82</f>
        <v>11651335.732519712</v>
      </c>
      <c r="F86" s="1089">
        <f>D86-E86</f>
        <v>0</v>
      </c>
      <c r="G86" s="82"/>
      <c r="H86" s="82"/>
    </row>
    <row r="87" spans="1:8" ht="20.100000000000001" customHeight="1" thickBot="1">
      <c r="A87" s="91"/>
      <c r="B87" s="91"/>
      <c r="C87" s="137" t="s">
        <v>687</v>
      </c>
      <c r="D87" s="642">
        <f>VLOOKUP($D$7,VLOOKUP!$A$185:$B$213,2)</f>
        <v>2291042</v>
      </c>
      <c r="E87" s="1090">
        <f>'EXHIBIT D'!G78</f>
        <v>2291042</v>
      </c>
      <c r="F87" s="1089">
        <f>D87-E87</f>
        <v>0</v>
      </c>
      <c r="G87" s="82"/>
      <c r="H87" s="82"/>
    </row>
    <row r="88" spans="1:8" ht="20.100000000000001" customHeight="1" thickBot="1">
      <c r="A88" s="91"/>
      <c r="B88" s="91"/>
      <c r="C88" s="138" t="s">
        <v>151</v>
      </c>
      <c r="D88" s="139">
        <f>SUM(D84:D87)</f>
        <v>64049419.000000015</v>
      </c>
      <c r="E88" s="139">
        <f>SUM(E84:E87)</f>
        <v>64049419.000000015</v>
      </c>
      <c r="F88" s="139">
        <f>SUM(F84:F87)</f>
        <v>0</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4" t="str">
        <f>IF(+'EXHIBIT E'!B21=+'EXHIBIT D'!G194,"Equal","Not Equal")</f>
        <v>Equal</v>
      </c>
      <c r="D93" s="82" t="s">
        <v>154</v>
      </c>
      <c r="E93" s="82"/>
      <c r="F93" s="82"/>
      <c r="G93" s="87"/>
      <c r="H93" s="82"/>
    </row>
    <row r="94" spans="1:8" ht="20.100000000000001" customHeight="1">
      <c r="A94" s="92"/>
      <c r="B94" s="92"/>
      <c r="C94" s="644" t="str">
        <f>IF(+'EXHIBIT E'!C21=+'EXHIBIT D'!G228,"Equal","Not Equal")</f>
        <v>Equal</v>
      </c>
      <c r="D94" s="82" t="s">
        <v>155</v>
      </c>
      <c r="E94" s="141"/>
      <c r="F94" s="82"/>
      <c r="G94" s="87"/>
      <c r="H94" s="82"/>
    </row>
    <row r="95" spans="1:8" ht="20.100000000000001" customHeight="1">
      <c r="C95" s="644" t="str">
        <f>IF(+'EXHIBIT E'!D21=+'EXHIBIT D'!G246,"Equal","Not Equal")</f>
        <v>Equal</v>
      </c>
      <c r="D95" s="82" t="s">
        <v>156</v>
      </c>
      <c r="E95" s="141"/>
      <c r="F95" s="82"/>
      <c r="G95" s="82"/>
      <c r="H95" s="82"/>
    </row>
    <row r="96" spans="1:8" ht="20.100000000000001" customHeight="1">
      <c r="A96" s="91"/>
      <c r="B96" s="91"/>
      <c r="C96" s="644"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6" t="s">
        <v>714</v>
      </c>
      <c r="D99" s="876"/>
      <c r="E99" s="876"/>
      <c r="F99" s="876"/>
      <c r="G99" s="800"/>
      <c r="H99" s="800"/>
    </row>
    <row r="100" spans="1:8" ht="20.100000000000001" customHeight="1">
      <c r="A100" s="143"/>
      <c r="B100" s="144"/>
      <c r="C100" s="800"/>
      <c r="D100" s="800"/>
      <c r="E100" s="800"/>
      <c r="F100" s="800"/>
      <c r="G100" s="82"/>
      <c r="H100" s="82"/>
    </row>
    <row r="101" spans="1:8" ht="20.100000000000001" customHeight="1">
      <c r="C101" s="645">
        <f>+'EXHIBIT A'!E40</f>
        <v>24556695</v>
      </c>
      <c r="D101" s="787" t="s">
        <v>743</v>
      </c>
      <c r="E101" s="787"/>
      <c r="F101" s="787"/>
      <c r="G101" s="82"/>
      <c r="H101" s="82"/>
    </row>
    <row r="102" spans="1:8" ht="20.100000000000001" customHeight="1">
      <c r="A102" s="89"/>
      <c r="B102" s="89"/>
      <c r="C102" s="645">
        <f>'EXHIBIT D'!G266-'EXHIBIT D'!G252-'EXHIBIT D'!G264</f>
        <v>24556695</v>
      </c>
      <c r="D102" s="789" t="s">
        <v>744</v>
      </c>
      <c r="E102" s="789"/>
      <c r="F102" s="789"/>
      <c r="G102" s="82"/>
      <c r="H102" s="82"/>
    </row>
    <row r="103" spans="1:8" ht="66.599999999999994" customHeight="1">
      <c r="A103" s="145"/>
      <c r="B103" s="145"/>
      <c r="C103" s="646">
        <f>C101-C102</f>
        <v>0</v>
      </c>
      <c r="D103" s="877" t="s">
        <v>696</v>
      </c>
      <c r="E103" s="877"/>
      <c r="F103" s="877"/>
      <c r="G103" s="877"/>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70" t="s">
        <v>701</v>
      </c>
      <c r="D106" s="870"/>
      <c r="E106" s="870"/>
      <c r="F106" s="870"/>
      <c r="G106" s="870"/>
      <c r="H106" s="788"/>
    </row>
    <row r="107" spans="1:8" ht="20.100000000000001" customHeight="1">
      <c r="A107" s="145"/>
      <c r="B107" s="145"/>
    </row>
    <row r="108" spans="1:8" ht="24.75" customHeight="1">
      <c r="A108" s="145"/>
      <c r="B108" s="145"/>
      <c r="C108" s="148">
        <f>'EXHIBIT A'!E14</f>
        <v>52058318</v>
      </c>
      <c r="D108" s="11" t="s">
        <v>745</v>
      </c>
    </row>
    <row r="109" spans="1:8" ht="26.25" customHeight="1">
      <c r="A109" s="145"/>
      <c r="B109" s="145"/>
      <c r="C109" s="647">
        <f>'EXHIBIT A'!E36</f>
        <v>52058318</v>
      </c>
      <c r="D109" s="11" t="s">
        <v>746</v>
      </c>
    </row>
    <row r="110" spans="1:8" ht="26.1" customHeight="1">
      <c r="A110" s="145"/>
      <c r="B110" s="145"/>
      <c r="C110" s="648">
        <f>C108-C109</f>
        <v>0</v>
      </c>
      <c r="D110" s="83" t="s">
        <v>159</v>
      </c>
      <c r="E110" s="83"/>
      <c r="F110" s="83"/>
      <c r="G110" s="83"/>
    </row>
    <row r="111" spans="1:8" ht="20.100000000000001" customHeight="1">
      <c r="A111" s="145"/>
      <c r="B111" s="145"/>
      <c r="C111" s="148"/>
    </row>
    <row r="112" spans="1:8" ht="26.1" customHeight="1">
      <c r="A112" s="145"/>
      <c r="B112" s="145"/>
      <c r="C112" s="646">
        <f>'EXHIBIT D'!G186</f>
        <v>0</v>
      </c>
      <c r="D112" s="142" t="s">
        <v>160</v>
      </c>
      <c r="E112" s="86"/>
      <c r="F112" s="86"/>
    </row>
    <row r="113" spans="1:8" ht="20.100000000000001" customHeight="1"/>
    <row r="114" spans="1:8" ht="38.450000000000003" customHeight="1">
      <c r="C114" s="1092">
        <f>C110+C112</f>
        <v>0</v>
      </c>
      <c r="D114" s="877" t="s">
        <v>697</v>
      </c>
      <c r="E114" s="877"/>
      <c r="F114" s="877"/>
      <c r="G114" s="877"/>
    </row>
    <row r="115" spans="1:8" ht="20.100000000000001" customHeight="1">
      <c r="C115" s="148"/>
      <c r="D115" s="10"/>
    </row>
    <row r="116" spans="1:8" ht="20.100000000000001" customHeight="1">
      <c r="A116" s="22"/>
      <c r="B116" s="22"/>
      <c r="C116" s="22"/>
    </row>
    <row r="117" spans="1:8" ht="39" customHeight="1">
      <c r="A117" s="149" t="s">
        <v>161</v>
      </c>
      <c r="B117" s="22"/>
      <c r="C117" s="870" t="s">
        <v>162</v>
      </c>
      <c r="D117" s="870"/>
      <c r="E117" s="870"/>
      <c r="F117" s="870"/>
      <c r="G117" s="870"/>
      <c r="H117" s="788"/>
    </row>
    <row r="118" spans="1:8" ht="20.100000000000001" customHeight="1"/>
    <row r="119" spans="1:8" ht="20.100000000000001" customHeight="1">
      <c r="C119" s="150">
        <f>IF('EXHIBIT G'!D117=0,"No Credit Hours or Not Applicable",('EXHIBIT G'!D117/'EXHIBIT C'!F10))</f>
        <v>91.790016313213698</v>
      </c>
      <c r="D119" s="11" t="s">
        <v>80</v>
      </c>
    </row>
    <row r="120" spans="1:8" ht="20.100000000000001" customHeight="1">
      <c r="C120" s="151"/>
    </row>
    <row r="121" spans="1:8" ht="20.100000000000001" customHeight="1">
      <c r="C121" s="152">
        <f>IF('EXHIBIT G'!D118=0,"No Credit Hours or Not Applicable",('EXHIBIT G'!D118/'EXHIBIT C'!D19))</f>
        <v>458.64102564102564</v>
      </c>
      <c r="D121" s="11" t="s">
        <v>163</v>
      </c>
      <c r="F121" s="22"/>
      <c r="G121" s="22"/>
      <c r="H121" s="22"/>
    </row>
    <row r="122" spans="1:8" ht="20.100000000000001" customHeight="1">
      <c r="C122" s="153"/>
      <c r="F122" s="22"/>
      <c r="G122" s="22"/>
      <c r="H122" s="22"/>
    </row>
    <row r="123" spans="1:8" ht="20.100000000000001" customHeight="1">
      <c r="C123" s="802"/>
      <c r="D123" s="803"/>
      <c r="E123" s="803"/>
    </row>
    <row r="124" spans="1:8" ht="20.100000000000001" customHeight="1">
      <c r="A124" s="22" t="s">
        <v>164</v>
      </c>
      <c r="B124" s="22"/>
      <c r="C124" s="22" t="s">
        <v>165</v>
      </c>
    </row>
    <row r="125" spans="1:8" ht="20.100000000000001" customHeight="1"/>
    <row r="126" spans="1:8" ht="42.6" customHeight="1">
      <c r="C126" s="1091" t="str">
        <f>IF(+'EXHIBIT G'!D117='EXHIBIT C'!H10,"Equal","Not Equal")</f>
        <v>Equal</v>
      </c>
      <c r="D126" s="878" t="s">
        <v>698</v>
      </c>
      <c r="E126" s="878"/>
      <c r="F126" s="878"/>
      <c r="G126" s="878"/>
    </row>
    <row r="127" spans="1:8" ht="20.100000000000001" customHeight="1">
      <c r="C127" s="151"/>
      <c r="D127" s="84"/>
      <c r="E127" s="84"/>
      <c r="F127" s="84"/>
      <c r="G127" s="84"/>
    </row>
    <row r="128" spans="1:8" ht="20.100000000000001" customHeight="1"/>
    <row r="129" spans="1:8" ht="58.35" customHeight="1">
      <c r="C129" s="1091" t="str">
        <f>IF(+'EXHIBIT G'!D118='EXHIBIT C'!F19,"Equal","Not Equal")</f>
        <v>Equal</v>
      </c>
      <c r="D129" s="878" t="s">
        <v>699</v>
      </c>
      <c r="E129" s="878"/>
      <c r="F129" s="878"/>
      <c r="G129" s="878"/>
    </row>
    <row r="130" spans="1:8" ht="20.100000000000001" customHeight="1">
      <c r="C130" s="151"/>
      <c r="D130" s="84"/>
      <c r="E130" s="84"/>
      <c r="F130" s="84"/>
      <c r="G130" s="84"/>
    </row>
    <row r="131" spans="1:8" ht="20.100000000000001" customHeight="1">
      <c r="C131" s="151"/>
      <c r="D131" s="801"/>
      <c r="E131" s="801"/>
      <c r="F131" s="801"/>
      <c r="G131" s="801"/>
    </row>
    <row r="132" spans="1:8" ht="20.100000000000001" customHeight="1">
      <c r="C132" s="10"/>
      <c r="D132" s="801"/>
      <c r="E132" s="801"/>
      <c r="F132" s="801"/>
      <c r="G132" s="801"/>
    </row>
    <row r="133" spans="1:8" ht="62.1" customHeight="1">
      <c r="A133" s="149" t="s">
        <v>166</v>
      </c>
      <c r="B133" s="22"/>
      <c r="C133" s="870" t="s">
        <v>700</v>
      </c>
      <c r="D133" s="870"/>
      <c r="E133" s="870"/>
      <c r="F133" s="870"/>
      <c r="G133" s="870"/>
      <c r="H133" s="788"/>
    </row>
    <row r="134" spans="1:8" ht="20.100000000000001" customHeight="1"/>
    <row r="135" spans="1:8" ht="20.100000000000001" customHeight="1">
      <c r="C135" s="1091" t="str">
        <f>IF(+'EXHIBIT G'!F112='EXHIBIT G'!F128,"Equal","Not Equal")</f>
        <v>Equal</v>
      </c>
      <c r="D135" s="787" t="s">
        <v>167</v>
      </c>
      <c r="E135" s="787"/>
      <c r="F135" s="787"/>
    </row>
    <row r="136" spans="1:8" ht="20.100000000000001" customHeight="1" thickBot="1">
      <c r="C136" s="10"/>
    </row>
    <row r="137" spans="1:8" ht="24.6" customHeight="1" thickBot="1">
      <c r="C137" s="796" t="s">
        <v>705</v>
      </c>
      <c r="D137" s="797"/>
      <c r="E137" s="797"/>
      <c r="F137" s="797"/>
      <c r="G137" s="798"/>
      <c r="H137" s="22"/>
    </row>
    <row r="138" spans="1:8" ht="199.5" customHeight="1" thickBot="1">
      <c r="C138" s="1054"/>
      <c r="D138" s="1055"/>
      <c r="E138" s="1055"/>
      <c r="F138" s="1055"/>
      <c r="G138" s="1056"/>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tabSelected="1" zoomScale="80" zoomScaleNormal="80" workbookViewId="0"/>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747</v>
      </c>
      <c r="C5" s="879"/>
      <c r="D5" s="879"/>
      <c r="E5" s="879"/>
      <c r="F5" s="476"/>
      <c r="G5" s="476"/>
    </row>
    <row r="6" spans="2:7" ht="25.35" customHeight="1">
      <c r="B6" s="476"/>
      <c r="C6" s="476"/>
      <c r="D6" s="476"/>
      <c r="E6" s="476"/>
      <c r="F6" s="476"/>
      <c r="G6" s="476"/>
    </row>
    <row r="7" spans="2:7" ht="25.35" customHeight="1">
      <c r="B7" s="274"/>
      <c r="C7" s="476"/>
      <c r="D7" s="274"/>
      <c r="E7" s="274"/>
      <c r="F7" s="274"/>
      <c r="G7" s="274"/>
    </row>
    <row r="8" spans="2:7" ht="25.35" customHeight="1">
      <c r="B8" s="326" t="s">
        <v>171</v>
      </c>
      <c r="C8" s="804" t="str">
        <f>'CHECK SHEET'!D7</f>
        <v>Daytona State College</v>
      </c>
      <c r="D8" s="804"/>
      <c r="E8" s="804"/>
      <c r="F8" s="273"/>
      <c r="G8" s="273"/>
    </row>
    <row r="9" spans="2:7" ht="25.35" customHeight="1"/>
    <row r="10" spans="2:7" ht="41.45" customHeight="1">
      <c r="E10" s="555" t="s">
        <v>172</v>
      </c>
    </row>
    <row r="11" spans="2:7" ht="25.35" customHeight="1">
      <c r="B11" s="22" t="s">
        <v>748</v>
      </c>
      <c r="D11" s="22"/>
      <c r="E11" s="155"/>
    </row>
    <row r="12" spans="2:7" ht="25.35" customHeight="1">
      <c r="B12" s="22"/>
      <c r="C12" s="22"/>
      <c r="D12" s="22"/>
    </row>
    <row r="13" spans="2:7" ht="25.35" customHeight="1">
      <c r="B13" s="11" t="s">
        <v>749</v>
      </c>
      <c r="C13" s="22"/>
      <c r="D13" s="22"/>
      <c r="E13" s="1097">
        <v>25300106</v>
      </c>
    </row>
    <row r="14" spans="2:7" ht="25.35" customHeight="1">
      <c r="B14" s="11" t="s">
        <v>173</v>
      </c>
      <c r="D14" s="22"/>
      <c r="E14" s="1161">
        <v>52058318</v>
      </c>
    </row>
    <row r="15" spans="2:7" ht="25.35" customHeight="1">
      <c r="B15" s="22"/>
      <c r="D15" s="22"/>
      <c r="E15" s="156"/>
    </row>
    <row r="16" spans="2:7" ht="25.35" customHeight="1">
      <c r="B16" s="11" t="s">
        <v>750</v>
      </c>
      <c r="C16" s="22"/>
      <c r="D16" s="22"/>
      <c r="E16" s="556">
        <f>+E14+E13</f>
        <v>77358424</v>
      </c>
    </row>
    <row r="17" spans="2:7" ht="25.35" customHeight="1">
      <c r="B17" s="22"/>
      <c r="C17" s="22"/>
      <c r="D17" s="22"/>
      <c r="E17" s="157"/>
    </row>
    <row r="18" spans="2:7" ht="25.35" customHeight="1">
      <c r="B18" s="11" t="s">
        <v>174</v>
      </c>
      <c r="C18" s="22"/>
      <c r="D18" s="22"/>
      <c r="E18" s="167">
        <f>+'EXHIBIT D'!G143-SUM(+'EXHIBIT D'!G133+'EXHIBIT D'!G134)</f>
        <v>106453671.00000001</v>
      </c>
      <c r="G18" s="132"/>
    </row>
    <row r="19" spans="2:7" ht="25.35" customHeight="1">
      <c r="B19" s="11" t="s">
        <v>175</v>
      </c>
      <c r="D19" s="22"/>
      <c r="E19" s="556">
        <f>+'EXHIBIT D'!G133+'EXHIBIT D'!G134</f>
        <v>710000</v>
      </c>
    </row>
    <row r="20" spans="2:7" ht="25.35" customHeight="1">
      <c r="B20" s="22"/>
      <c r="D20" s="22"/>
      <c r="E20" s="162"/>
    </row>
    <row r="21" spans="2:7" ht="25.35" customHeight="1">
      <c r="B21" s="11" t="s">
        <v>176</v>
      </c>
      <c r="C21" s="22"/>
      <c r="D21" s="22"/>
      <c r="E21" s="557">
        <f>+E19+E18</f>
        <v>107163671.00000001</v>
      </c>
    </row>
    <row r="22" spans="2:7" ht="25.35" customHeight="1">
      <c r="B22" s="22"/>
      <c r="C22" s="22"/>
      <c r="D22" s="22"/>
      <c r="E22" s="162"/>
    </row>
    <row r="23" spans="2:7" ht="25.35" customHeight="1">
      <c r="B23" s="22" t="s">
        <v>177</v>
      </c>
      <c r="C23" s="22"/>
      <c r="D23" s="22"/>
      <c r="E23" s="557">
        <f>+E21+E16</f>
        <v>184522095</v>
      </c>
    </row>
    <row r="24" spans="2:7" ht="25.35" customHeight="1">
      <c r="B24" s="22"/>
      <c r="C24" s="22"/>
      <c r="D24" s="22"/>
      <c r="E24" s="162"/>
    </row>
    <row r="25" spans="2:7" ht="25.35" customHeight="1">
      <c r="B25" s="11" t="s">
        <v>178</v>
      </c>
      <c r="C25" s="22"/>
      <c r="D25" s="22"/>
      <c r="E25" s="168">
        <f>'EXHIBIT D'!G248-SUM(+'EXHIBIT D'!G222+'EXHIBIT D'!G223)</f>
        <v>107163671</v>
      </c>
    </row>
    <row r="26" spans="2:7" ht="25.35" customHeight="1">
      <c r="B26" s="11" t="s">
        <v>179</v>
      </c>
      <c r="D26" s="22"/>
      <c r="E26" s="556">
        <f>'EXHIBIT D'!G222+'EXHIBIT D'!G223</f>
        <v>0</v>
      </c>
    </row>
    <row r="27" spans="2:7" ht="25.35" customHeight="1">
      <c r="B27" s="22"/>
      <c r="D27" s="22"/>
      <c r="E27" s="162"/>
    </row>
    <row r="28" spans="2:7" ht="25.35" customHeight="1">
      <c r="B28" s="22" t="s">
        <v>180</v>
      </c>
      <c r="C28" s="22"/>
      <c r="D28" s="22"/>
      <c r="E28" s="558">
        <f>+E26+E25</f>
        <v>107163671</v>
      </c>
    </row>
    <row r="29" spans="2:7" ht="25.35" customHeight="1">
      <c r="B29" s="22"/>
      <c r="C29" s="22"/>
      <c r="D29" s="22"/>
      <c r="E29" s="158"/>
    </row>
    <row r="30" spans="2:7" ht="25.35" customHeight="1">
      <c r="B30" s="22" t="s">
        <v>751</v>
      </c>
      <c r="C30" s="22"/>
      <c r="D30" s="22"/>
      <c r="E30" s="158"/>
    </row>
    <row r="31" spans="2:7" ht="25.35" customHeight="1">
      <c r="B31" s="22"/>
      <c r="C31" s="22"/>
      <c r="D31" s="22"/>
      <c r="E31" s="158"/>
    </row>
    <row r="32" spans="2:7" ht="25.35" customHeight="1">
      <c r="B32" s="11" t="s">
        <v>181</v>
      </c>
      <c r="C32" s="22"/>
      <c r="D32" s="159">
        <f>+E23-E28</f>
        <v>77358424</v>
      </c>
      <c r="E32" s="158"/>
    </row>
    <row r="33" spans="2:10" ht="25.35" customHeight="1">
      <c r="B33" s="11" t="s">
        <v>182</v>
      </c>
      <c r="C33" s="22"/>
      <c r="D33" s="559">
        <f>+'EXHIBIT D'!G186</f>
        <v>0</v>
      </c>
      <c r="E33" s="158"/>
    </row>
    <row r="34" spans="2:10" ht="25.35" customHeight="1">
      <c r="B34" s="22"/>
      <c r="D34" s="22"/>
      <c r="E34" s="158"/>
      <c r="J34" s="160"/>
    </row>
    <row r="35" spans="2:10" ht="25.35" customHeight="1">
      <c r="B35" s="11" t="s">
        <v>752</v>
      </c>
      <c r="C35" s="22"/>
      <c r="D35" s="22"/>
      <c r="E35" s="161">
        <f>+D32+D33</f>
        <v>77358424</v>
      </c>
    </row>
    <row r="36" spans="2:10" ht="25.35" customHeight="1">
      <c r="B36" s="11" t="s">
        <v>753</v>
      </c>
      <c r="C36" s="22"/>
      <c r="D36" s="22"/>
      <c r="E36" s="557">
        <f>-'EXHIBIT D'!G264</f>
        <v>52058318</v>
      </c>
      <c r="J36" s="42"/>
    </row>
    <row r="37" spans="2:10" ht="25.35" customHeight="1">
      <c r="D37" s="22"/>
      <c r="E37" s="161"/>
    </row>
    <row r="38" spans="2:10" ht="25.35" customHeight="1">
      <c r="B38" s="22" t="s">
        <v>754</v>
      </c>
      <c r="D38" s="22"/>
      <c r="E38" s="556">
        <f>+E35-E36</f>
        <v>25300106</v>
      </c>
    </row>
    <row r="39" spans="2:10" ht="25.35" customHeight="1">
      <c r="B39" s="22"/>
      <c r="C39" s="22"/>
      <c r="D39" s="22"/>
      <c r="E39" s="162"/>
    </row>
    <row r="40" spans="2:10" ht="25.35" customHeight="1">
      <c r="B40" s="11" t="s">
        <v>755</v>
      </c>
      <c r="C40" s="22"/>
      <c r="D40" s="22"/>
      <c r="E40" s="558">
        <f>'EXHIBIT D'!G253+'EXHIBIT D'!G254+'EXHIBIT D'!G255+'EXHIBIT D'!G256+'EXHIBIT D'!G257+'EXHIBIT D'!G258+'EXHIBIT D'!G259+'EXHIBIT D'!G260</f>
        <v>24556695</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756</v>
      </c>
      <c r="C44" s="22"/>
      <c r="D44" s="22"/>
      <c r="E44" s="560">
        <f>+E40/E23</f>
        <v>0.13308268042371837</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1"/>
      <c r="C50" s="561"/>
      <c r="D50" s="22"/>
      <c r="E50" s="562"/>
    </row>
    <row r="51" spans="2:5" ht="25.3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zoomScale="80" zoomScaleNormal="80" workbookViewId="0"/>
  </sheetViews>
  <sheetFormatPr defaultColWidth="9.140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140625" style="172" customWidth="1"/>
    <col min="13" max="13" width="5.7109375" style="172" customWidth="1"/>
    <col min="14" max="16384" width="9.140625" style="172"/>
  </cols>
  <sheetData>
    <row r="1" spans="1:18" s="274" customFormat="1" ht="23.1" customHeight="1">
      <c r="I1" s="324" t="s">
        <v>188</v>
      </c>
      <c r="L1" s="324"/>
      <c r="M1" s="324"/>
      <c r="N1" s="324"/>
      <c r="O1" s="324"/>
      <c r="P1" s="324"/>
      <c r="Q1" s="324"/>
      <c r="R1" s="324"/>
    </row>
    <row r="2" spans="1:18" s="274" customFormat="1" ht="20.100000000000001" customHeight="1"/>
    <row r="3" spans="1:18" s="274" customFormat="1" ht="20.100000000000001" customHeight="1">
      <c r="A3" s="879" t="s">
        <v>11</v>
      </c>
      <c r="B3" s="879"/>
      <c r="C3" s="879"/>
      <c r="D3" s="879"/>
      <c r="E3" s="879"/>
      <c r="F3" s="879"/>
      <c r="G3" s="879"/>
      <c r="H3" s="879"/>
      <c r="I3" s="476"/>
      <c r="J3" s="273"/>
      <c r="K3" s="273"/>
    </row>
    <row r="4" spans="1:18" s="274" customFormat="1" ht="20.100000000000001" customHeight="1">
      <c r="A4" s="879" t="s">
        <v>169</v>
      </c>
      <c r="B4" s="879"/>
      <c r="C4" s="879"/>
      <c r="D4" s="879"/>
      <c r="E4" s="879"/>
      <c r="F4" s="879"/>
      <c r="G4" s="879"/>
      <c r="H4" s="879"/>
      <c r="I4" s="476"/>
    </row>
    <row r="5" spans="1:18" s="274" customFormat="1" ht="24" customHeight="1">
      <c r="A5" s="879" t="s">
        <v>757</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100000000000001" customHeight="1">
      <c r="A7" s="879"/>
      <c r="B7" s="879"/>
      <c r="C7" s="879"/>
      <c r="D7" s="879"/>
      <c r="E7" s="879"/>
      <c r="F7" s="879"/>
      <c r="G7" s="879"/>
      <c r="H7" s="879"/>
      <c r="I7" s="476"/>
    </row>
    <row r="8" spans="1:18" s="274" customFormat="1" ht="25.35" customHeight="1" thickBot="1">
      <c r="A8" s="879"/>
      <c r="B8" s="881"/>
      <c r="C8" s="879" t="s">
        <v>171</v>
      </c>
      <c r="D8" s="882" t="str">
        <f>'CHECK SHEET'!D7</f>
        <v>Daytona State College</v>
      </c>
      <c r="E8" s="882"/>
      <c r="F8" s="882"/>
      <c r="G8" s="882"/>
      <c r="H8" s="882"/>
    </row>
    <row r="9" spans="1:18" s="11" customFormat="1" ht="20.100000000000001" customHeight="1"/>
    <row r="10" spans="1:18" s="11" customFormat="1" ht="20.100000000000001" customHeight="1">
      <c r="B10" s="22"/>
      <c r="C10" s="22"/>
      <c r="D10" s="22"/>
      <c r="E10" s="880"/>
      <c r="F10" s="25"/>
      <c r="G10" s="25"/>
    </row>
    <row r="11" spans="1:18" s="11" customFormat="1" ht="20.100000000000001" customHeight="1">
      <c r="B11" s="805" t="s">
        <v>190</v>
      </c>
      <c r="C11" s="805"/>
      <c r="D11" s="22"/>
      <c r="E11" s="22"/>
    </row>
    <row r="12" spans="1:18" s="11" customFormat="1" ht="20.100000000000001"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100000000000001" customHeight="1">
      <c r="A14" s="22" t="s">
        <v>199</v>
      </c>
      <c r="B14" s="930">
        <v>91.79</v>
      </c>
      <c r="C14" s="930">
        <v>4.5</v>
      </c>
      <c r="D14" s="930">
        <v>9</v>
      </c>
      <c r="E14" s="930">
        <v>10.53</v>
      </c>
      <c r="F14" s="930">
        <v>4.5</v>
      </c>
      <c r="G14" s="650">
        <f>SUM(B14:F14)</f>
        <v>120.32000000000001</v>
      </c>
      <c r="H14" s="355">
        <f>G14*30</f>
        <v>3609.6000000000004</v>
      </c>
    </row>
    <row r="15" spans="1:18" s="11" customFormat="1" ht="20.100000000000001" customHeight="1">
      <c r="A15" s="22" t="s">
        <v>200</v>
      </c>
      <c r="B15" s="931">
        <v>79.22</v>
      </c>
      <c r="C15" s="931">
        <v>3.86</v>
      </c>
      <c r="D15" s="931">
        <v>7.72</v>
      </c>
      <c r="E15" s="931">
        <v>7.72</v>
      </c>
      <c r="F15" s="931">
        <v>3.86</v>
      </c>
      <c r="G15" s="650">
        <f>SUM(B15:F15)</f>
        <v>102.38</v>
      </c>
      <c r="H15" s="328">
        <f>G15*30</f>
        <v>3071.3999999999996</v>
      </c>
    </row>
    <row r="16" spans="1:18" s="11" customFormat="1" ht="20.100000000000001" customHeight="1" thickBot="1">
      <c r="A16" s="22" t="s">
        <v>75</v>
      </c>
      <c r="B16" s="932">
        <v>68.53</v>
      </c>
      <c r="C16" s="932">
        <v>6.85</v>
      </c>
      <c r="D16" s="933"/>
      <c r="E16" s="932">
        <v>3.43</v>
      </c>
      <c r="F16" s="932">
        <v>3.43</v>
      </c>
      <c r="G16" s="329">
        <f>SUM(B16:F16)</f>
        <v>82.240000000000009</v>
      </c>
      <c r="H16" s="651">
        <f>G16*30</f>
        <v>2467.2000000000003</v>
      </c>
    </row>
    <row r="17" spans="1:11" s="11" customFormat="1" ht="20.100000000000001" customHeight="1" thickBot="1">
      <c r="A17" s="283"/>
      <c r="B17" s="348"/>
      <c r="C17" s="514"/>
      <c r="D17" s="514"/>
      <c r="E17" s="514"/>
      <c r="F17" s="514"/>
      <c r="G17" s="354"/>
      <c r="H17" s="330"/>
    </row>
    <row r="18" spans="1:11" s="11" customFormat="1" ht="65.099999999999994" customHeight="1" thickBot="1">
      <c r="A18" s="338" t="s">
        <v>192</v>
      </c>
      <c r="B18" s="295" t="s">
        <v>201</v>
      </c>
      <c r="C18" s="357"/>
      <c r="D18" s="357"/>
      <c r="E18" s="357"/>
      <c r="F18" s="357"/>
      <c r="G18" s="353" t="s">
        <v>48</v>
      </c>
      <c r="H18" s="810" t="s">
        <v>202</v>
      </c>
    </row>
    <row r="19" spans="1:11" s="11" customFormat="1" ht="20.100000000000001" customHeight="1">
      <c r="A19" s="22" t="s">
        <v>203</v>
      </c>
      <c r="B19" s="649">
        <v>30</v>
      </c>
      <c r="C19" s="356"/>
      <c r="D19" s="356"/>
      <c r="E19" s="356"/>
      <c r="F19" s="356"/>
      <c r="G19" s="650">
        <f>B19</f>
        <v>30</v>
      </c>
      <c r="H19" s="578">
        <f>G19*3</f>
        <v>90</v>
      </c>
    </row>
    <row r="20" spans="1:11" s="11" customFormat="1" ht="20.100000000000001" customHeight="1" thickBot="1">
      <c r="A20" s="22" t="s">
        <v>204</v>
      </c>
      <c r="B20" s="569">
        <v>30</v>
      </c>
      <c r="C20" s="310"/>
      <c r="D20" s="310"/>
      <c r="E20" s="310"/>
      <c r="F20" s="310"/>
      <c r="G20" s="331">
        <f>B20</f>
        <v>30</v>
      </c>
      <c r="H20" s="544">
        <f>G20*3</f>
        <v>90</v>
      </c>
    </row>
    <row r="21" spans="1:11" s="11" customFormat="1" ht="20.100000000000001" customHeight="1" thickBot="1">
      <c r="A21" s="332"/>
      <c r="B21" s="348"/>
      <c r="C21" s="283"/>
      <c r="D21" s="283"/>
      <c r="E21" s="283"/>
      <c r="F21" s="283"/>
      <c r="G21" s="354"/>
      <c r="H21" s="330"/>
    </row>
    <row r="22" spans="1:11" s="11" customFormat="1" ht="20.100000000000001" customHeight="1">
      <c r="A22" s="22" t="s">
        <v>205</v>
      </c>
      <c r="B22" s="425">
        <v>0</v>
      </c>
      <c r="C22" s="515"/>
      <c r="D22" s="515"/>
      <c r="E22" s="515"/>
      <c r="F22" s="515"/>
      <c r="G22" s="333">
        <f>B22</f>
        <v>0</v>
      </c>
      <c r="H22" s="352">
        <f>G22*2</f>
        <v>0</v>
      </c>
    </row>
    <row r="23" spans="1:11" s="11" customFormat="1" ht="20.100000000000001" customHeight="1" thickBot="1">
      <c r="A23" s="22" t="s">
        <v>206</v>
      </c>
      <c r="B23" s="652">
        <v>0</v>
      </c>
      <c r="C23" s="310"/>
      <c r="D23" s="310"/>
      <c r="E23" s="310"/>
      <c r="F23" s="310"/>
      <c r="G23" s="653">
        <f>B23</f>
        <v>0</v>
      </c>
      <c r="H23" s="651">
        <f>G23*2</f>
        <v>0</v>
      </c>
      <c r="J23" s="334"/>
      <c r="K23" s="334"/>
    </row>
    <row r="24" spans="1:11" s="11" customFormat="1" ht="25.3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100000000000001" customHeight="1">
      <c r="B26" s="22" t="s">
        <v>207</v>
      </c>
      <c r="C26" s="22"/>
      <c r="D26" s="22"/>
      <c r="E26" s="22"/>
      <c r="F26" s="334"/>
      <c r="G26" s="334"/>
      <c r="H26" s="334"/>
      <c r="I26" s="334"/>
      <c r="J26" s="334"/>
      <c r="K26" s="334"/>
    </row>
    <row r="27" spans="1:11" s="11" customFormat="1" ht="20.100000000000001"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100000000000001" customHeight="1">
      <c r="A29" s="22" t="str">
        <f t="shared" ref="A29:B31" si="0">A14</f>
        <v>UPPER LEVEL - BACCALAUREATE</v>
      </c>
      <c r="B29" s="335">
        <f t="shared" si="0"/>
        <v>91.79</v>
      </c>
      <c r="C29" s="930">
        <v>458.63999999999993</v>
      </c>
      <c r="D29" s="930">
        <v>4.5</v>
      </c>
      <c r="E29" s="516">
        <f>D14</f>
        <v>9</v>
      </c>
      <c r="F29" s="930">
        <v>54.86</v>
      </c>
      <c r="G29" s="930">
        <v>4.5</v>
      </c>
      <c r="H29" s="336">
        <f>SUM(B29:G29)</f>
        <v>623.29</v>
      </c>
      <c r="I29" s="349">
        <f>H29*30</f>
        <v>18698.699999999997</v>
      </c>
    </row>
    <row r="30" spans="1:11" s="11" customFormat="1" ht="20.100000000000001" customHeight="1">
      <c r="A30" s="22" t="str">
        <f t="shared" si="0"/>
        <v>LOWER LEVEL - CREDIT (A &amp; P, PSV, DEVELOPMENTAL EDUCATION AND EPI)</v>
      </c>
      <c r="B30" s="654">
        <f t="shared" si="0"/>
        <v>79.22</v>
      </c>
      <c r="C30" s="934">
        <v>231.96</v>
      </c>
      <c r="D30" s="934">
        <v>15.46</v>
      </c>
      <c r="E30" s="655">
        <f>D15</f>
        <v>7.72</v>
      </c>
      <c r="F30" s="934">
        <v>48.83</v>
      </c>
      <c r="G30" s="934">
        <v>15.46</v>
      </c>
      <c r="H30" s="650">
        <f>SUM(B30:G30)</f>
        <v>398.65</v>
      </c>
      <c r="I30" s="328">
        <f>H30*30</f>
        <v>11959.5</v>
      </c>
    </row>
    <row r="31" spans="1:11" s="11" customFormat="1" ht="20.100000000000001" customHeight="1">
      <c r="A31" s="22" t="str">
        <f t="shared" si="0"/>
        <v>CAREER CERTIFICATE AND APPLIED TECHNOLOGY DIPLOMA</v>
      </c>
      <c r="B31" s="1109">
        <f t="shared" si="0"/>
        <v>68.53</v>
      </c>
      <c r="C31" s="931">
        <v>207.55999999999997</v>
      </c>
      <c r="D31" s="931">
        <v>27.41</v>
      </c>
      <c r="E31" s="1110"/>
      <c r="F31" s="931">
        <v>11.75</v>
      </c>
      <c r="G31" s="931">
        <v>13.71</v>
      </c>
      <c r="H31" s="1111">
        <f>SUM(B31:G31)</f>
        <v>328.96</v>
      </c>
      <c r="I31" s="1111">
        <f>H31*30</f>
        <v>9868.7999999999993</v>
      </c>
    </row>
    <row r="32" spans="1:11" s="11" customFormat="1" ht="20.100000000000001" customHeight="1" thickBot="1">
      <c r="A32" s="22" t="s">
        <v>737</v>
      </c>
      <c r="B32" s="1126">
        <v>0</v>
      </c>
      <c r="C32" s="1124">
        <v>0</v>
      </c>
      <c r="D32" s="1124">
        <v>0</v>
      </c>
      <c r="E32" s="1125"/>
      <c r="F32" s="1124">
        <v>0</v>
      </c>
      <c r="G32" s="1124">
        <v>0</v>
      </c>
      <c r="H32" s="1111">
        <f>SUM(B32:G32)</f>
        <v>0</v>
      </c>
      <c r="I32" s="1111">
        <f>H32*30</f>
        <v>0</v>
      </c>
    </row>
    <row r="33" spans="1:11" s="11" customFormat="1" ht="20.100000000000001" customHeight="1" thickBot="1">
      <c r="A33" s="332"/>
      <c r="B33" s="283"/>
      <c r="C33" s="283"/>
      <c r="D33" s="283"/>
      <c r="E33" s="283"/>
      <c r="F33" s="283"/>
      <c r="G33" s="283"/>
      <c r="H33" s="283"/>
      <c r="I33" s="337"/>
    </row>
    <row r="34" spans="1:11" s="11" customFormat="1" ht="65.099999999999994" customHeight="1" thickBot="1">
      <c r="A34" s="338" t="s">
        <v>192</v>
      </c>
      <c r="B34" s="295" t="s">
        <v>201</v>
      </c>
      <c r="C34" s="283"/>
      <c r="D34" s="283"/>
      <c r="E34" s="283"/>
      <c r="F34" s="283"/>
      <c r="G34" s="283"/>
      <c r="H34" s="295" t="s">
        <v>48</v>
      </c>
      <c r="I34" s="810" t="s">
        <v>202</v>
      </c>
    </row>
    <row r="35" spans="1:11" s="11" customFormat="1" ht="20.100000000000001" customHeight="1">
      <c r="A35" s="22" t="str">
        <f>A19</f>
        <v>VOCATIONAL PREPARATORY (PER TERM)</v>
      </c>
      <c r="B35" s="339">
        <f>B19</f>
        <v>30</v>
      </c>
      <c r="C35" s="356"/>
      <c r="D35" s="356"/>
      <c r="E35" s="356"/>
      <c r="F35" s="356"/>
      <c r="G35" s="356"/>
      <c r="H35" s="656">
        <f>B35</f>
        <v>30</v>
      </c>
      <c r="I35" s="350">
        <f>H35*3</f>
        <v>90</v>
      </c>
      <c r="J35" s="334"/>
      <c r="K35" s="334"/>
    </row>
    <row r="36" spans="1:11" s="11" customFormat="1" ht="20.100000000000001" customHeight="1" thickBot="1">
      <c r="A36" s="22" t="str">
        <f>A20</f>
        <v>ADULT GENERAL EDUCATION AND SECONDARY (PER TERM)</v>
      </c>
      <c r="B36" s="657">
        <f>B20</f>
        <v>30</v>
      </c>
      <c r="C36" s="310"/>
      <c r="D36" s="310"/>
      <c r="E36" s="310"/>
      <c r="F36" s="310"/>
      <c r="G36" s="310"/>
      <c r="H36" s="340">
        <f>B36</f>
        <v>30</v>
      </c>
      <c r="I36" s="658">
        <f>H36*3</f>
        <v>90</v>
      </c>
    </row>
    <row r="37" spans="1:11" s="11" customFormat="1" ht="20.100000000000001" customHeight="1" thickBot="1">
      <c r="A37" s="332"/>
      <c r="B37" s="426"/>
      <c r="C37" s="283"/>
      <c r="D37" s="283"/>
      <c r="E37" s="283"/>
      <c r="F37" s="283"/>
      <c r="G37" s="283"/>
      <c r="H37" s="426"/>
      <c r="I37" s="427"/>
    </row>
    <row r="38" spans="1:11" s="11" customFormat="1" ht="20.100000000000001" customHeight="1">
      <c r="A38" s="22" t="str">
        <f>A22</f>
        <v>VOCATIONAL PREPARATORY (PER HALF YEAR)</v>
      </c>
      <c r="B38" s="339">
        <f>B22</f>
        <v>0</v>
      </c>
      <c r="C38" s="515"/>
      <c r="D38" s="515"/>
      <c r="E38" s="515"/>
      <c r="F38" s="515"/>
      <c r="G38" s="515"/>
      <c r="H38" s="336">
        <f>B38</f>
        <v>0</v>
      </c>
      <c r="I38" s="349">
        <f>H38*2</f>
        <v>0</v>
      </c>
    </row>
    <row r="39" spans="1:11" s="11" customFormat="1" ht="20.100000000000001" customHeight="1" thickBot="1">
      <c r="A39" s="22" t="str">
        <f>A23</f>
        <v>ADULT GENERAL EDUCATION AND SECONDARY (PER HALF YEAR)</v>
      </c>
      <c r="B39" s="657">
        <f>B23</f>
        <v>0</v>
      </c>
      <c r="C39" s="310"/>
      <c r="D39" s="310"/>
      <c r="E39" s="310"/>
      <c r="F39" s="310"/>
      <c r="G39" s="310"/>
      <c r="H39" s="659">
        <f>B39</f>
        <v>0</v>
      </c>
      <c r="I39" s="351">
        <f>H39*2</f>
        <v>0</v>
      </c>
    </row>
    <row r="40" spans="1:11" s="11" customFormat="1" ht="20.100000000000001" customHeight="1">
      <c r="A40" s="22"/>
      <c r="B40" s="341"/>
    </row>
    <row r="41" spans="1:11" ht="26.25" customHeight="1">
      <c r="A41" s="173" t="s">
        <v>736</v>
      </c>
      <c r="B41" s="883"/>
      <c r="C41" s="883"/>
      <c r="D41" s="883"/>
      <c r="E41" s="883"/>
      <c r="F41" s="883"/>
      <c r="G41" s="883"/>
      <c r="H41" s="883"/>
      <c r="I41" s="883"/>
      <c r="J41" s="169"/>
    </row>
    <row r="42" spans="1:11" ht="20.25" customHeight="1">
      <c r="A42" s="11" t="s">
        <v>758</v>
      </c>
      <c r="B42" s="171"/>
      <c r="C42" s="171"/>
      <c r="D42" s="171"/>
      <c r="E42" s="171"/>
      <c r="F42" s="171"/>
      <c r="G42" s="171"/>
      <c r="H42" s="171"/>
      <c r="I42" s="171"/>
    </row>
    <row r="43" spans="1:11" ht="20.25" customHeight="1">
      <c r="A43" s="11" t="s">
        <v>738</v>
      </c>
      <c r="B43" s="171"/>
      <c r="C43" s="171"/>
      <c r="D43" s="171"/>
      <c r="E43" s="171"/>
      <c r="F43" s="171"/>
      <c r="G43" s="171"/>
      <c r="H43" s="171"/>
      <c r="I43" s="171"/>
    </row>
    <row r="44" spans="1:11" ht="20.25" customHeight="1">
      <c r="A44" s="11" t="s">
        <v>772</v>
      </c>
      <c r="B44" s="171"/>
      <c r="C44" s="171"/>
      <c r="D44" s="171"/>
      <c r="E44" s="171"/>
      <c r="F44" s="171"/>
      <c r="G44" s="171"/>
      <c r="H44" s="171"/>
      <c r="I44" s="171"/>
    </row>
    <row r="45" spans="1:11" ht="20.25" customHeight="1">
      <c r="A45" s="11" t="s">
        <v>739</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zoomScale="80" zoomScaleNormal="80"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1" customHeight="1">
      <c r="H1" s="170" t="s">
        <v>209</v>
      </c>
    </row>
    <row r="2" spans="1:9" ht="20.100000000000001" customHeight="1">
      <c r="A2" s="885" t="s">
        <v>11</v>
      </c>
      <c r="B2" s="885"/>
      <c r="C2" s="885"/>
      <c r="D2" s="885"/>
      <c r="E2" s="885"/>
      <c r="F2" s="885"/>
      <c r="G2" s="885"/>
      <c r="H2" s="808"/>
      <c r="I2" s="22"/>
    </row>
    <row r="3" spans="1:9" ht="20.100000000000001" customHeight="1">
      <c r="A3" s="885" t="s">
        <v>759</v>
      </c>
      <c r="B3" s="885"/>
      <c r="C3" s="885"/>
      <c r="D3" s="885"/>
      <c r="E3" s="885"/>
      <c r="F3" s="885"/>
      <c r="G3" s="885"/>
      <c r="H3" s="808"/>
    </row>
    <row r="4" spans="1:9" ht="20.100000000000001" customHeight="1">
      <c r="A4" s="320"/>
      <c r="B4" s="320"/>
      <c r="C4" s="320"/>
      <c r="D4" s="320"/>
      <c r="E4" s="320"/>
      <c r="F4" s="320"/>
      <c r="G4" s="320"/>
      <c r="H4" s="275"/>
    </row>
    <row r="5" spans="1:9" ht="27.6" customHeight="1" thickBot="1">
      <c r="A5" s="885" t="s">
        <v>210</v>
      </c>
      <c r="B5" s="886" t="str">
        <f>'CHECK SHEET'!D7</f>
        <v>Daytona State College</v>
      </c>
      <c r="C5" s="886"/>
      <c r="D5" s="886"/>
      <c r="E5" s="886"/>
      <c r="F5" s="886"/>
      <c r="G5" s="320"/>
      <c r="H5" s="884"/>
    </row>
    <row r="6" spans="1:9" ht="20.100000000000001" customHeight="1">
      <c r="A6" s="320"/>
      <c r="B6" s="320"/>
      <c r="C6" s="320"/>
      <c r="D6" s="320"/>
      <c r="E6" s="320"/>
      <c r="F6" s="320"/>
      <c r="G6" s="320"/>
      <c r="H6" s="884"/>
    </row>
    <row r="7" spans="1:9" ht="20.100000000000001" customHeight="1">
      <c r="A7" s="805" t="s">
        <v>211</v>
      </c>
      <c r="B7" s="805"/>
      <c r="C7" s="805"/>
      <c r="D7" s="805"/>
      <c r="E7" s="805"/>
      <c r="F7" s="805"/>
      <c r="G7" s="805"/>
      <c r="H7" s="805"/>
    </row>
    <row r="8" spans="1:9" ht="20.100000000000001"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100000000000001" customHeight="1">
      <c r="A10" s="517" t="s">
        <v>193</v>
      </c>
      <c r="B10" s="517" t="s">
        <v>219</v>
      </c>
      <c r="C10" s="518">
        <v>40101</v>
      </c>
      <c r="D10" s="660">
        <v>30681</v>
      </c>
      <c r="E10" s="519">
        <v>31</v>
      </c>
      <c r="F10" s="520">
        <f t="shared" ref="F10:F15" si="0">+D10-E10</f>
        <v>30650</v>
      </c>
      <c r="G10" s="520">
        <f>'EXHIBIT B'!B14</f>
        <v>91.79</v>
      </c>
      <c r="H10" s="1160">
        <f>ROUND(+F10*G10,0)</f>
        <v>2813364</v>
      </c>
    </row>
    <row r="11" spans="1:9" ht="20.100000000000001" customHeight="1">
      <c r="A11" s="661" t="s">
        <v>193</v>
      </c>
      <c r="B11" s="661" t="s">
        <v>125</v>
      </c>
      <c r="C11" s="662" t="s">
        <v>220</v>
      </c>
      <c r="D11" s="660">
        <v>166274</v>
      </c>
      <c r="E11" s="660">
        <v>21156</v>
      </c>
      <c r="F11" s="663">
        <f t="shared" si="0"/>
        <v>145118</v>
      </c>
      <c r="G11" s="663">
        <f>+'EXHIBIT B'!B15</f>
        <v>79.22</v>
      </c>
      <c r="H11" s="664">
        <f t="shared" ref="H11:H15" si="1">ROUND(+F11*G11,0)</f>
        <v>11496248</v>
      </c>
    </row>
    <row r="12" spans="1:9" ht="20.100000000000001" customHeight="1">
      <c r="A12" s="661" t="s">
        <v>193</v>
      </c>
      <c r="B12" s="661" t="s">
        <v>126</v>
      </c>
      <c r="C12" s="662" t="s">
        <v>221</v>
      </c>
      <c r="D12" s="660">
        <v>69963</v>
      </c>
      <c r="E12" s="660">
        <v>811</v>
      </c>
      <c r="F12" s="663">
        <f t="shared" si="0"/>
        <v>69152</v>
      </c>
      <c r="G12" s="663">
        <f>+'EXHIBIT B'!B15</f>
        <v>79.22</v>
      </c>
      <c r="H12" s="664">
        <f t="shared" si="1"/>
        <v>5478221</v>
      </c>
    </row>
    <row r="13" spans="1:9" ht="20.100000000000001" customHeight="1">
      <c r="A13" s="661" t="s">
        <v>193</v>
      </c>
      <c r="B13" s="661" t="s">
        <v>75</v>
      </c>
      <c r="C13" s="662" t="s">
        <v>222</v>
      </c>
      <c r="D13" s="665">
        <v>22729</v>
      </c>
      <c r="E13" s="665">
        <v>271</v>
      </c>
      <c r="F13" s="663">
        <f t="shared" si="0"/>
        <v>22458</v>
      </c>
      <c r="G13" s="663">
        <f>+'EXHIBIT B'!B16</f>
        <v>68.53</v>
      </c>
      <c r="H13" s="664">
        <f t="shared" si="1"/>
        <v>1539047</v>
      </c>
    </row>
    <row r="14" spans="1:9" ht="20.100000000000001" customHeight="1">
      <c r="A14" s="661" t="s">
        <v>193</v>
      </c>
      <c r="B14" s="661" t="s">
        <v>127</v>
      </c>
      <c r="C14" s="662" t="s">
        <v>223</v>
      </c>
      <c r="D14" s="660">
        <v>5760</v>
      </c>
      <c r="E14" s="660">
        <v>0</v>
      </c>
      <c r="F14" s="663">
        <f t="shared" si="0"/>
        <v>5760</v>
      </c>
      <c r="G14" s="663">
        <f>+'EXHIBIT B'!B15</f>
        <v>79.22</v>
      </c>
      <c r="H14" s="664">
        <f t="shared" si="1"/>
        <v>456307</v>
      </c>
    </row>
    <row r="15" spans="1:9" ht="20.100000000000001" customHeight="1" thickBot="1">
      <c r="A15" s="666" t="s">
        <v>193</v>
      </c>
      <c r="B15" s="666" t="s">
        <v>128</v>
      </c>
      <c r="C15" s="667">
        <v>40160</v>
      </c>
      <c r="D15" s="668">
        <v>0</v>
      </c>
      <c r="E15" s="668">
        <v>0</v>
      </c>
      <c r="F15" s="669">
        <f t="shared" si="0"/>
        <v>0</v>
      </c>
      <c r="G15" s="669">
        <f>+'EXHIBIT B'!B15</f>
        <v>79.22</v>
      </c>
      <c r="H15" s="670">
        <f t="shared" si="1"/>
        <v>0</v>
      </c>
    </row>
    <row r="16" spans="1:9" ht="24.95" customHeight="1" thickBot="1">
      <c r="A16" s="286"/>
      <c r="B16" s="286"/>
      <c r="C16" s="286"/>
      <c r="D16" s="287"/>
      <c r="E16" s="287"/>
      <c r="F16" s="288"/>
      <c r="G16" s="288"/>
      <c r="H16" s="289"/>
    </row>
    <row r="17" spans="1:9" ht="24.95" customHeight="1" thickBot="1">
      <c r="A17" s="290"/>
      <c r="B17" s="291" t="s">
        <v>224</v>
      </c>
      <c r="C17" s="291"/>
      <c r="D17" s="292">
        <f>SUM(D10:D15)</f>
        <v>295407</v>
      </c>
      <c r="E17" s="292">
        <f>SUM(E10:E15)</f>
        <v>22269</v>
      </c>
      <c r="F17" s="293">
        <f>SUM(F10:F15)</f>
        <v>273138</v>
      </c>
      <c r="G17" s="293"/>
      <c r="H17" s="294">
        <f>SUM(H10:H15)</f>
        <v>21783187</v>
      </c>
    </row>
    <row r="18" spans="1:9" ht="88.35" customHeight="1" thickBot="1">
      <c r="A18" s="295" t="s">
        <v>225</v>
      </c>
      <c r="B18" s="276" t="s">
        <v>213</v>
      </c>
      <c r="C18" s="284" t="s">
        <v>214</v>
      </c>
      <c r="D18" s="295" t="s">
        <v>226</v>
      </c>
      <c r="E18" s="284" t="s">
        <v>217</v>
      </c>
      <c r="F18" s="285" t="s">
        <v>218</v>
      </c>
    </row>
    <row r="19" spans="1:9" ht="24.95" customHeight="1">
      <c r="A19" s="606" t="s">
        <v>208</v>
      </c>
      <c r="B19" s="606" t="s">
        <v>219</v>
      </c>
      <c r="C19" s="671">
        <v>40301</v>
      </c>
      <c r="D19" s="935">
        <v>390</v>
      </c>
      <c r="E19" s="672">
        <f>'EXHIBIT B'!C29</f>
        <v>458.63999999999993</v>
      </c>
      <c r="F19" s="1159">
        <f t="shared" ref="F19:F25" si="2">ROUND(+D19*E19,0)</f>
        <v>178870</v>
      </c>
      <c r="G19" s="296"/>
      <c r="H19" s="296"/>
    </row>
    <row r="20" spans="1:9" ht="20.100000000000001" customHeight="1">
      <c r="A20" s="612" t="s">
        <v>208</v>
      </c>
      <c r="B20" s="612" t="s">
        <v>125</v>
      </c>
      <c r="C20" s="673" t="s">
        <v>227</v>
      </c>
      <c r="D20" s="680">
        <v>6559</v>
      </c>
      <c r="E20" s="674">
        <f>+'EXHIBIT B'!C30</f>
        <v>231.96</v>
      </c>
      <c r="F20" s="675">
        <f t="shared" si="2"/>
        <v>1521426</v>
      </c>
      <c r="G20" s="42"/>
      <c r="H20" s="42"/>
    </row>
    <row r="21" spans="1:9" ht="20.100000000000001" customHeight="1">
      <c r="A21" s="612" t="s">
        <v>208</v>
      </c>
      <c r="B21" s="612" t="s">
        <v>126</v>
      </c>
      <c r="C21" s="673" t="s">
        <v>228</v>
      </c>
      <c r="D21" s="680">
        <v>2496</v>
      </c>
      <c r="E21" s="674">
        <f>+'EXHIBIT B'!C30</f>
        <v>231.96</v>
      </c>
      <c r="F21" s="675">
        <f t="shared" si="2"/>
        <v>578972</v>
      </c>
      <c r="G21" s="42"/>
      <c r="H21" s="42"/>
    </row>
    <row r="22" spans="1:9" ht="20.100000000000001" customHeight="1">
      <c r="A22" s="612" t="s">
        <v>208</v>
      </c>
      <c r="B22" s="612" t="s">
        <v>75</v>
      </c>
      <c r="C22" s="673" t="s">
        <v>229</v>
      </c>
      <c r="D22" s="680">
        <v>587</v>
      </c>
      <c r="E22" s="674">
        <f>+'EXHIBIT B'!C31</f>
        <v>207.55999999999997</v>
      </c>
      <c r="F22" s="675">
        <f t="shared" si="2"/>
        <v>121838</v>
      </c>
      <c r="G22" s="42"/>
      <c r="H22" s="42"/>
    </row>
    <row r="23" spans="1:9" ht="20.100000000000001" customHeight="1">
      <c r="A23" s="612" t="s">
        <v>208</v>
      </c>
      <c r="B23" s="612" t="s">
        <v>127</v>
      </c>
      <c r="C23" s="673" t="s">
        <v>230</v>
      </c>
      <c r="D23" s="680">
        <v>525</v>
      </c>
      <c r="E23" s="674">
        <f>+'EXHIBIT B'!C30</f>
        <v>231.96</v>
      </c>
      <c r="F23" s="675">
        <f t="shared" si="2"/>
        <v>121779</v>
      </c>
      <c r="G23" s="42"/>
      <c r="H23" s="42"/>
    </row>
    <row r="24" spans="1:9" ht="20.100000000000001" customHeight="1">
      <c r="A24" s="1020" t="s">
        <v>208</v>
      </c>
      <c r="B24" s="1020" t="s">
        <v>128</v>
      </c>
      <c r="C24" s="1114">
        <v>40360</v>
      </c>
      <c r="D24" s="1115">
        <v>0</v>
      </c>
      <c r="E24" s="1116">
        <f>+'EXHIBIT B'!C30</f>
        <v>231.96</v>
      </c>
      <c r="F24" s="1117">
        <f t="shared" si="2"/>
        <v>0</v>
      </c>
      <c r="G24" s="42"/>
      <c r="H24" s="42"/>
    </row>
    <row r="25" spans="1:9" ht="20.100000000000001" customHeight="1" thickBot="1">
      <c r="A25" s="373" t="s">
        <v>208</v>
      </c>
      <c r="B25" s="373" t="s">
        <v>734</v>
      </c>
      <c r="C25" s="1112" t="s">
        <v>735</v>
      </c>
      <c r="D25" s="1113">
        <v>0</v>
      </c>
      <c r="E25" s="1116">
        <f>+'EXHIBIT B'!H32</f>
        <v>0</v>
      </c>
      <c r="F25" s="1117">
        <f t="shared" si="2"/>
        <v>0</v>
      </c>
      <c r="G25" s="42"/>
      <c r="H25" s="42"/>
    </row>
    <row r="26" spans="1:9" ht="20.100000000000001" customHeight="1" thickBot="1">
      <c r="A26" s="297"/>
      <c r="B26" s="297"/>
      <c r="C26" s="297"/>
      <c r="D26" s="297"/>
      <c r="E26" s="298"/>
      <c r="F26" s="299"/>
      <c r="G26" s="42"/>
      <c r="H26" s="42"/>
    </row>
    <row r="27" spans="1:9" ht="20.100000000000001" customHeight="1" thickBot="1">
      <c r="A27" s="676"/>
      <c r="B27" s="676" t="s">
        <v>224</v>
      </c>
      <c r="C27" s="676"/>
      <c r="D27" s="677">
        <f>SUM(D19:D25)</f>
        <v>10557</v>
      </c>
      <c r="E27" s="678"/>
      <c r="F27" s="679">
        <f>SUM(F19:F25)</f>
        <v>2522885</v>
      </c>
      <c r="G27" s="300"/>
      <c r="H27" s="300"/>
    </row>
    <row r="28" spans="1:9" ht="20.100000000000001" customHeight="1" thickBot="1">
      <c r="A28" s="301" t="s">
        <v>231</v>
      </c>
      <c r="B28" s="301"/>
      <c r="C28" s="301"/>
      <c r="D28" s="301"/>
      <c r="E28" s="301"/>
      <c r="F28" s="302"/>
      <c r="G28" s="521"/>
      <c r="H28" s="303">
        <f>H17+F27</f>
        <v>24306072</v>
      </c>
    </row>
    <row r="29" spans="1:9" ht="24.95" customHeight="1">
      <c r="I29" s="164"/>
    </row>
    <row r="30" spans="1:9" ht="24.95" customHeight="1">
      <c r="A30" s="805" t="s">
        <v>232</v>
      </c>
      <c r="B30" s="805"/>
      <c r="C30" s="805"/>
      <c r="D30" s="805"/>
      <c r="E30" s="805"/>
      <c r="F30" s="805"/>
      <c r="G30" s="805"/>
      <c r="H30" s="805"/>
      <c r="I30" s="164"/>
    </row>
    <row r="31" spans="1:9" ht="24.95" customHeight="1" thickBot="1">
      <c r="I31" s="164"/>
    </row>
    <row r="32" spans="1:9" ht="88.35" customHeight="1" thickBot="1">
      <c r="A32" s="295" t="s">
        <v>233</v>
      </c>
      <c r="B32" s="304" t="s">
        <v>213</v>
      </c>
      <c r="C32" s="295" t="s">
        <v>214</v>
      </c>
      <c r="D32" s="295" t="s">
        <v>234</v>
      </c>
      <c r="E32" s="295" t="s">
        <v>235</v>
      </c>
      <c r="F32" s="295" t="s">
        <v>65</v>
      </c>
      <c r="G32" s="295" t="s">
        <v>236</v>
      </c>
      <c r="H32" s="810" t="s">
        <v>218</v>
      </c>
      <c r="I32" s="164"/>
    </row>
    <row r="33" spans="1:8" ht="20.100000000000001" customHeight="1">
      <c r="A33" s="522" t="s">
        <v>237</v>
      </c>
      <c r="B33" s="522" t="s">
        <v>238</v>
      </c>
      <c r="C33" s="523" t="s">
        <v>239</v>
      </c>
      <c r="D33" s="524">
        <v>0</v>
      </c>
      <c r="E33" s="524">
        <v>0</v>
      </c>
      <c r="F33" s="525">
        <f>D33-E33</f>
        <v>0</v>
      </c>
      <c r="G33" s="525">
        <f>'EXHIBIT B'!B19</f>
        <v>30</v>
      </c>
      <c r="H33" s="526">
        <f>ROUND(+F33*G33,0)</f>
        <v>0</v>
      </c>
    </row>
    <row r="34" spans="1:8" ht="20.100000000000001" customHeight="1">
      <c r="A34" s="612" t="s">
        <v>237</v>
      </c>
      <c r="B34" s="612" t="s">
        <v>240</v>
      </c>
      <c r="C34" s="673" t="s">
        <v>241</v>
      </c>
      <c r="D34" s="680">
        <v>2288</v>
      </c>
      <c r="E34" s="680">
        <v>0</v>
      </c>
      <c r="F34" s="674">
        <f>D34-E34</f>
        <v>2288</v>
      </c>
      <c r="G34" s="674">
        <f>'EXHIBIT B'!B20</f>
        <v>30</v>
      </c>
      <c r="H34" s="675">
        <f>ROUND(+F34*G34,0)</f>
        <v>68640</v>
      </c>
    </row>
    <row r="35" spans="1:8" ht="20.100000000000001" customHeight="1">
      <c r="A35" s="612" t="s">
        <v>242</v>
      </c>
      <c r="B35" s="612" t="s">
        <v>238</v>
      </c>
      <c r="C35" s="673">
        <v>40180</v>
      </c>
      <c r="D35" s="680">
        <v>0</v>
      </c>
      <c r="E35" s="680">
        <v>0</v>
      </c>
      <c r="F35" s="674">
        <f>D35-E35</f>
        <v>0</v>
      </c>
      <c r="G35" s="674">
        <f>'EXHIBIT B'!B22</f>
        <v>0</v>
      </c>
      <c r="H35" s="675">
        <f>ROUND(+F35*G35,0)</f>
        <v>0</v>
      </c>
    </row>
    <row r="36" spans="1:8" ht="20.100000000000001" customHeight="1" thickBot="1">
      <c r="A36" s="613" t="s">
        <v>242</v>
      </c>
      <c r="B36" s="613" t="s">
        <v>240</v>
      </c>
      <c r="C36" s="681">
        <v>40190</v>
      </c>
      <c r="D36" s="682">
        <v>0</v>
      </c>
      <c r="E36" s="682">
        <v>0</v>
      </c>
      <c r="F36" s="683">
        <f>D36-E36</f>
        <v>0</v>
      </c>
      <c r="G36" s="683">
        <f>'EXHIBIT B'!B23</f>
        <v>0</v>
      </c>
      <c r="H36" s="684">
        <f>ROUND(+F36*G36,0)</f>
        <v>0</v>
      </c>
    </row>
    <row r="37" spans="1:8" ht="20.100000000000001" customHeight="1" thickBot="1">
      <c r="A37" s="305"/>
      <c r="B37" s="280" t="s">
        <v>243</v>
      </c>
      <c r="C37" s="280"/>
      <c r="D37" s="306">
        <f>SUM(D33:D36)</f>
        <v>2288</v>
      </c>
      <c r="E37" s="306">
        <f>SUM(E33:E36)</f>
        <v>0</v>
      </c>
      <c r="F37" s="307">
        <f>D37-E37</f>
        <v>2288</v>
      </c>
      <c r="G37" s="307"/>
      <c r="H37" s="308">
        <f>SUM(H33:H36)</f>
        <v>68640</v>
      </c>
    </row>
    <row r="38" spans="1:8" ht="24.95" customHeight="1" thickBot="1">
      <c r="A38" s="309"/>
      <c r="B38" s="310"/>
      <c r="C38" s="310"/>
      <c r="D38" s="310"/>
      <c r="E38" s="310"/>
      <c r="F38" s="310"/>
    </row>
    <row r="39" spans="1:8" ht="88.35" customHeight="1" thickBot="1">
      <c r="A39" s="311" t="s">
        <v>244</v>
      </c>
      <c r="B39" s="312" t="s">
        <v>213</v>
      </c>
      <c r="C39" s="295" t="s">
        <v>214</v>
      </c>
      <c r="D39" s="313" t="s">
        <v>234</v>
      </c>
      <c r="E39" s="313" t="s">
        <v>236</v>
      </c>
      <c r="F39" s="295" t="s">
        <v>218</v>
      </c>
      <c r="G39" s="13"/>
      <c r="H39" s="13"/>
    </row>
    <row r="40" spans="1:8" ht="20.100000000000001" customHeight="1">
      <c r="A40" s="522" t="s">
        <v>237</v>
      </c>
      <c r="B40" s="522" t="s">
        <v>238</v>
      </c>
      <c r="C40" s="523">
        <v>40380</v>
      </c>
      <c r="D40" s="524">
        <v>0</v>
      </c>
      <c r="E40" s="525">
        <f>'EXHIBIT B'!B35</f>
        <v>30</v>
      </c>
      <c r="F40" s="1157">
        <f>D40*E40</f>
        <v>0</v>
      </c>
    </row>
    <row r="41" spans="1:8" ht="20.100000000000001" customHeight="1">
      <c r="A41" s="612" t="s">
        <v>237</v>
      </c>
      <c r="B41" s="612" t="s">
        <v>240</v>
      </c>
      <c r="C41" s="673">
        <v>40390</v>
      </c>
      <c r="D41" s="680">
        <v>0</v>
      </c>
      <c r="E41" s="674">
        <f>'EXHIBIT B'!B36</f>
        <v>30</v>
      </c>
      <c r="F41" s="675">
        <f>D41*E41</f>
        <v>0</v>
      </c>
    </row>
    <row r="42" spans="1:8" ht="20.100000000000001" customHeight="1">
      <c r="A42" s="612" t="s">
        <v>242</v>
      </c>
      <c r="B42" s="612" t="s">
        <v>238</v>
      </c>
      <c r="C42" s="673" t="s">
        <v>245</v>
      </c>
      <c r="D42" s="680">
        <v>0</v>
      </c>
      <c r="E42" s="674">
        <f>'EXHIBIT B'!B38</f>
        <v>0</v>
      </c>
      <c r="F42" s="675">
        <f>D42*E42</f>
        <v>0</v>
      </c>
    </row>
    <row r="43" spans="1:8" ht="20.100000000000001" customHeight="1" thickBot="1">
      <c r="A43" s="613" t="s">
        <v>242</v>
      </c>
      <c r="B43" s="613" t="s">
        <v>240</v>
      </c>
      <c r="C43" s="681" t="s">
        <v>246</v>
      </c>
      <c r="D43" s="682">
        <v>0</v>
      </c>
      <c r="E43" s="683">
        <f>'EXHIBIT B'!B39</f>
        <v>0</v>
      </c>
      <c r="F43" s="684">
        <f>D43*E43</f>
        <v>0</v>
      </c>
    </row>
    <row r="44" spans="1:8" ht="20.100000000000001" customHeight="1" thickBot="1">
      <c r="A44" s="314"/>
      <c r="B44" s="301" t="s">
        <v>224</v>
      </c>
      <c r="C44" s="301"/>
      <c r="D44" s="316">
        <f>SUM(D40:D43)</f>
        <v>0</v>
      </c>
      <c r="E44" s="315"/>
      <c r="F44" s="316">
        <f>SUM(F40:F43)</f>
        <v>0</v>
      </c>
    </row>
    <row r="45" spans="1:8" ht="20.100000000000001" customHeight="1" thickBot="1">
      <c r="A45" s="317" t="s">
        <v>247</v>
      </c>
      <c r="B45" s="301"/>
      <c r="C45" s="301"/>
      <c r="D45" s="301"/>
      <c r="E45" s="301"/>
      <c r="F45" s="301"/>
      <c r="G45" s="280"/>
      <c r="H45" s="527">
        <f>H37+F44</f>
        <v>68640</v>
      </c>
    </row>
    <row r="46" spans="1:8" ht="20.100000000000001" customHeight="1" thickBot="1">
      <c r="A46" s="297"/>
      <c r="B46" s="297"/>
      <c r="C46" s="297"/>
      <c r="D46" s="297"/>
      <c r="E46" s="297"/>
      <c r="F46" s="297"/>
      <c r="G46" s="297"/>
      <c r="H46" s="298"/>
    </row>
    <row r="47" spans="1:8" ht="20.100000000000001" customHeight="1" thickBot="1">
      <c r="A47" s="301" t="s">
        <v>248</v>
      </c>
      <c r="B47" s="301"/>
      <c r="C47" s="301"/>
      <c r="D47" s="301"/>
      <c r="E47" s="301"/>
      <c r="F47" s="301"/>
      <c r="G47" s="318"/>
      <c r="H47" s="303">
        <f>H28+H45</f>
        <v>24374712</v>
      </c>
    </row>
    <row r="48" spans="1:8" ht="24.75" customHeight="1">
      <c r="A48" s="811"/>
      <c r="B48" s="811"/>
      <c r="C48" s="811"/>
      <c r="D48" s="811"/>
      <c r="E48" s="811"/>
      <c r="F48" s="811"/>
      <c r="G48" s="319"/>
      <c r="H48" s="319"/>
    </row>
    <row r="49" spans="1:10" ht="24.95" customHeight="1">
      <c r="A49" s="22" t="s">
        <v>249</v>
      </c>
      <c r="H49" s="13"/>
    </row>
    <row r="50" spans="1:10" ht="24.95" customHeight="1">
      <c r="A50" s="22"/>
    </row>
    <row r="51" spans="1:10" ht="43.35" customHeight="1" thickBot="1">
      <c r="A51" s="1066" t="s">
        <v>707</v>
      </c>
      <c r="B51" s="1066"/>
      <c r="C51" s="1067"/>
      <c r="D51" s="1067"/>
      <c r="E51" s="1067"/>
      <c r="F51" s="1067"/>
    </row>
    <row r="52" spans="1:10" ht="44.45" customHeight="1" thickBot="1">
      <c r="A52" s="276" t="s">
        <v>250</v>
      </c>
      <c r="B52" s="276" t="s">
        <v>251</v>
      </c>
      <c r="C52" s="887" t="s">
        <v>252</v>
      </c>
      <c r="D52" s="888"/>
      <c r="E52" s="887" t="s">
        <v>253</v>
      </c>
      <c r="F52" s="888"/>
    </row>
    <row r="53" spans="1:10" ht="24.95" customHeight="1" thickBot="1">
      <c r="A53" s="277"/>
      <c r="B53" s="278"/>
      <c r="C53" s="528"/>
      <c r="D53" s="529"/>
      <c r="E53" s="528"/>
      <c r="F53" s="529"/>
    </row>
    <row r="54" spans="1:10" ht="24.95" customHeight="1" thickBot="1">
      <c r="A54" s="283" t="s">
        <v>140</v>
      </c>
      <c r="B54" s="279"/>
      <c r="C54" s="530"/>
      <c r="D54" s="531"/>
      <c r="E54" s="530"/>
      <c r="F54" s="531"/>
    </row>
    <row r="55" spans="1:10" ht="24.95" customHeight="1">
      <c r="A55" s="685" t="s">
        <v>679</v>
      </c>
      <c r="B55" s="680">
        <v>0</v>
      </c>
      <c r="C55" s="1095"/>
      <c r="D55" s="1096"/>
      <c r="E55" s="936"/>
      <c r="F55" s="937"/>
    </row>
    <row r="56" spans="1:10" ht="24.95" customHeight="1">
      <c r="A56" s="686"/>
      <c r="B56" s="680">
        <v>0</v>
      </c>
      <c r="C56" s="938"/>
      <c r="D56" s="939"/>
      <c r="E56" s="938"/>
      <c r="F56" s="939"/>
      <c r="J56" s="86"/>
    </row>
    <row r="57" spans="1:10" ht="24.95" customHeight="1">
      <c r="A57" s="686"/>
      <c r="B57" s="680">
        <v>0</v>
      </c>
      <c r="C57" s="938"/>
      <c r="D57" s="939"/>
      <c r="E57" s="938"/>
      <c r="F57" s="939"/>
    </row>
    <row r="58" spans="1:10" ht="24.95" customHeight="1">
      <c r="A58" s="686"/>
      <c r="B58" s="680">
        <v>0</v>
      </c>
      <c r="C58" s="938"/>
      <c r="D58" s="939"/>
      <c r="E58" s="938"/>
      <c r="F58" s="939"/>
    </row>
    <row r="59" spans="1:10" ht="24.95" customHeight="1">
      <c r="A59" s="686"/>
      <c r="B59" s="680">
        <v>0</v>
      </c>
      <c r="C59" s="938"/>
      <c r="D59" s="939"/>
      <c r="E59" s="938"/>
      <c r="F59" s="939"/>
    </row>
    <row r="60" spans="1:10" ht="24.95" customHeight="1" thickBot="1">
      <c r="A60" s="570"/>
      <c r="B60" s="571">
        <v>0</v>
      </c>
      <c r="C60" s="940"/>
      <c r="D60" s="941"/>
      <c r="E60" s="942"/>
      <c r="F60" s="943"/>
    </row>
    <row r="61" spans="1:10" ht="24.95" customHeight="1" thickBot="1">
      <c r="A61" s="280" t="s">
        <v>254</v>
      </c>
      <c r="B61" s="281">
        <f>SUM(B55:B60)</f>
        <v>0</v>
      </c>
      <c r="C61" s="944"/>
      <c r="D61" s="945"/>
      <c r="E61" s="944"/>
      <c r="F61" s="945"/>
    </row>
    <row r="62" spans="1:10" ht="24.95" customHeight="1" thickBot="1">
      <c r="A62" s="282"/>
      <c r="B62" s="282"/>
      <c r="C62" s="532"/>
      <c r="D62" s="533"/>
      <c r="E62" s="532"/>
      <c r="F62" s="533"/>
    </row>
    <row r="63" spans="1:10" ht="24.95" customHeight="1" thickBot="1">
      <c r="A63" s="283" t="s">
        <v>137</v>
      </c>
      <c r="B63" s="279"/>
      <c r="C63" s="530"/>
      <c r="D63" s="531"/>
      <c r="E63" s="530"/>
      <c r="F63" s="531"/>
    </row>
    <row r="64" spans="1:10" ht="24.95" customHeight="1">
      <c r="A64" s="685" t="s">
        <v>783</v>
      </c>
      <c r="B64" s="1158">
        <v>710000</v>
      </c>
      <c r="C64" s="936">
        <v>3</v>
      </c>
      <c r="D64" s="937"/>
      <c r="E64" s="936"/>
      <c r="F64" s="937">
        <v>1</v>
      </c>
    </row>
    <row r="65" spans="1:6" ht="24.95" customHeight="1">
      <c r="A65" s="686"/>
      <c r="B65" s="680">
        <v>0</v>
      </c>
      <c r="C65" s="938"/>
      <c r="D65" s="939"/>
      <c r="E65" s="938"/>
      <c r="F65" s="939"/>
    </row>
    <row r="66" spans="1:6" ht="24.95" customHeight="1">
      <c r="A66" s="686"/>
      <c r="B66" s="680">
        <v>0</v>
      </c>
      <c r="C66" s="938"/>
      <c r="D66" s="939"/>
      <c r="E66" s="938"/>
      <c r="F66" s="939"/>
    </row>
    <row r="67" spans="1:6" ht="24.95" customHeight="1">
      <c r="A67" s="686"/>
      <c r="B67" s="680">
        <v>0</v>
      </c>
      <c r="C67" s="938"/>
      <c r="D67" s="939"/>
      <c r="E67" s="938"/>
      <c r="F67" s="939"/>
    </row>
    <row r="68" spans="1:6" ht="24.95" customHeight="1">
      <c r="A68" s="686"/>
      <c r="B68" s="680">
        <v>0</v>
      </c>
      <c r="C68" s="938"/>
      <c r="D68" s="939"/>
      <c r="E68" s="938"/>
      <c r="F68" s="939"/>
    </row>
    <row r="69" spans="1:6" ht="24.95" customHeight="1" thickBot="1">
      <c r="A69" s="570"/>
      <c r="B69" s="571">
        <v>0</v>
      </c>
      <c r="C69" s="942"/>
      <c r="D69" s="943"/>
      <c r="E69" s="942"/>
      <c r="F69" s="943"/>
    </row>
    <row r="70" spans="1:6" ht="24.95" customHeight="1" thickBot="1">
      <c r="A70" s="280" t="s">
        <v>255</v>
      </c>
      <c r="B70" s="281">
        <f>SUM(B64:B69)</f>
        <v>710000</v>
      </c>
      <c r="C70" s="946"/>
      <c r="D70" s="947"/>
      <c r="E70" s="946"/>
      <c r="F70" s="947"/>
    </row>
    <row r="71" spans="1:6" ht="24.95" customHeight="1" thickBot="1">
      <c r="A71" s="280" t="s">
        <v>256</v>
      </c>
      <c r="B71" s="281">
        <f>+B70+B61</f>
        <v>710000</v>
      </c>
      <c r="C71" s="946"/>
      <c r="D71" s="947"/>
      <c r="E71" s="948"/>
      <c r="F71" s="949"/>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zoomScale="80" zoomScaleNormal="80" workbookViewId="0"/>
  </sheetViews>
  <sheetFormatPr defaultColWidth="9.140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85546875" style="172" customWidth="1"/>
    <col min="7" max="7" width="9.140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140625" style="172" customWidth="1"/>
    <col min="35" max="35" width="6" style="172" customWidth="1"/>
    <col min="36" max="36" width="14.42578125" style="172" customWidth="1"/>
    <col min="37" max="37" width="13.7109375" style="172" customWidth="1"/>
    <col min="38" max="38" width="2.140625" style="172" customWidth="1"/>
    <col min="39" max="40" width="9.140625" style="172"/>
    <col min="41" max="41" width="11.28515625" style="172" customWidth="1"/>
    <col min="42" max="42" width="11.42578125" style="172" customWidth="1"/>
    <col min="43" max="43" width="11" style="172" customWidth="1"/>
    <col min="44" max="44" width="11.140625" style="172" customWidth="1"/>
    <col min="45" max="16384" width="9.140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45" customHeight="1">
      <c r="A4" s="879" t="s">
        <v>258</v>
      </c>
      <c r="B4" s="879"/>
      <c r="C4" s="879"/>
      <c r="D4" s="879"/>
      <c r="E4" s="879"/>
      <c r="F4" s="274"/>
    </row>
    <row r="5" spans="1:47" s="11" customFormat="1" ht="23.1" customHeight="1">
      <c r="A5" s="879"/>
      <c r="B5" s="879"/>
      <c r="C5" s="879"/>
      <c r="D5" s="879"/>
      <c r="E5" s="879"/>
      <c r="F5" s="274"/>
    </row>
    <row r="6" spans="1:47" s="11" customFormat="1" ht="24.95" customHeight="1">
      <c r="A6" s="881"/>
      <c r="B6" s="881"/>
      <c r="C6" s="881"/>
      <c r="D6" s="881"/>
      <c r="E6" s="881"/>
      <c r="F6" s="274"/>
    </row>
    <row r="7" spans="1:47" s="11" customFormat="1" ht="24.95" customHeight="1" thickBot="1">
      <c r="A7" s="879" t="s">
        <v>210</v>
      </c>
      <c r="B7" s="882" t="str">
        <f>'CHECK SHEET'!D7</f>
        <v>Daytona State College</v>
      </c>
      <c r="C7" s="882"/>
      <c r="D7" s="882"/>
      <c r="E7" s="882"/>
      <c r="F7" s="807"/>
    </row>
    <row r="8" spans="1:47" s="11" customFormat="1" ht="24.95" customHeight="1">
      <c r="A8" s="889"/>
      <c r="B8" s="889"/>
      <c r="C8" s="889"/>
      <c r="D8" s="889"/>
      <c r="E8" s="889"/>
    </row>
    <row r="9" spans="1:47" s="11" customFormat="1" ht="24.95" customHeight="1">
      <c r="A9" s="890"/>
      <c r="B9" s="890"/>
      <c r="C9" s="890"/>
      <c r="D9" s="890"/>
      <c r="E9" s="890"/>
    </row>
    <row r="10" spans="1:47" s="11" customFormat="1" ht="42.6" customHeight="1">
      <c r="A10" s="891" t="s">
        <v>259</v>
      </c>
      <c r="B10" s="891"/>
      <c r="C10" s="891"/>
      <c r="D10" s="891"/>
      <c r="E10" s="891"/>
    </row>
    <row r="11" spans="1:47" ht="24.9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4.95" customHeight="1">
      <c r="A14" s="687" t="s">
        <v>193</v>
      </c>
      <c r="B14" s="687" t="s">
        <v>125</v>
      </c>
      <c r="C14" s="688" t="s">
        <v>220</v>
      </c>
      <c r="D14" s="428">
        <v>0</v>
      </c>
      <c r="E14" s="428">
        <v>0</v>
      </c>
    </row>
    <row r="15" spans="1:47" ht="24.95" customHeight="1">
      <c r="A15" s="687" t="s">
        <v>193</v>
      </c>
      <c r="B15" s="687" t="s">
        <v>126</v>
      </c>
      <c r="C15" s="688" t="s">
        <v>221</v>
      </c>
      <c r="D15" s="428">
        <v>0</v>
      </c>
      <c r="E15" s="428">
        <v>0</v>
      </c>
    </row>
    <row r="16" spans="1:47" ht="24.95" customHeight="1">
      <c r="A16" s="687" t="s">
        <v>193</v>
      </c>
      <c r="B16" s="687" t="s">
        <v>75</v>
      </c>
      <c r="C16" s="688" t="s">
        <v>222</v>
      </c>
      <c r="D16" s="428">
        <v>0</v>
      </c>
      <c r="E16" s="428">
        <v>0</v>
      </c>
    </row>
    <row r="17" spans="1:5" ht="24.95" customHeight="1">
      <c r="A17" s="687" t="s">
        <v>193</v>
      </c>
      <c r="B17" s="687" t="s">
        <v>127</v>
      </c>
      <c r="C17" s="688" t="s">
        <v>223</v>
      </c>
      <c r="D17" s="429">
        <v>0</v>
      </c>
      <c r="E17" s="429">
        <v>0</v>
      </c>
    </row>
    <row r="18" spans="1:5" ht="24.95" customHeight="1" thickBot="1">
      <c r="A18" s="687" t="s">
        <v>193</v>
      </c>
      <c r="B18" s="687" t="s">
        <v>128</v>
      </c>
      <c r="C18" s="688">
        <v>40160</v>
      </c>
      <c r="D18" s="430">
        <v>0</v>
      </c>
      <c r="E18" s="430">
        <v>0</v>
      </c>
    </row>
    <row r="19" spans="1:5" ht="24.95" customHeight="1" thickBot="1">
      <c r="A19" s="409"/>
      <c r="B19" s="467"/>
      <c r="C19" s="468"/>
      <c r="D19" s="950"/>
      <c r="E19" s="951"/>
    </row>
    <row r="20" spans="1:5" ht="24.9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4.95" customHeight="1">
      <c r="A22" s="534" t="s">
        <v>208</v>
      </c>
      <c r="B22" s="169" t="s">
        <v>219</v>
      </c>
      <c r="C22" s="469">
        <v>40301</v>
      </c>
      <c r="D22" s="438">
        <v>0</v>
      </c>
      <c r="E22" s="438">
        <v>0</v>
      </c>
    </row>
    <row r="23" spans="1:5" s="169" customFormat="1" ht="24.95" customHeight="1">
      <c r="A23" s="687" t="s">
        <v>208</v>
      </c>
      <c r="B23" s="572" t="s">
        <v>125</v>
      </c>
      <c r="C23" s="591" t="s">
        <v>227</v>
      </c>
      <c r="D23" s="691">
        <v>0</v>
      </c>
      <c r="E23" s="691">
        <v>0</v>
      </c>
    </row>
    <row r="24" spans="1:5" s="169" customFormat="1" ht="24.95" customHeight="1">
      <c r="A24" s="687" t="s">
        <v>208</v>
      </c>
      <c r="B24" s="572" t="s">
        <v>126</v>
      </c>
      <c r="C24" s="591" t="s">
        <v>228</v>
      </c>
      <c r="D24" s="691">
        <v>0</v>
      </c>
      <c r="E24" s="691">
        <v>0</v>
      </c>
    </row>
    <row r="25" spans="1:5" s="169" customFormat="1" ht="24.95" customHeight="1">
      <c r="A25" s="687" t="s">
        <v>208</v>
      </c>
      <c r="B25" s="572" t="s">
        <v>75</v>
      </c>
      <c r="C25" s="591" t="s">
        <v>229</v>
      </c>
      <c r="D25" s="691">
        <v>0</v>
      </c>
      <c r="E25" s="691">
        <v>0</v>
      </c>
    </row>
    <row r="26" spans="1:5" s="169" customFormat="1" ht="24.95" customHeight="1">
      <c r="A26" s="687" t="s">
        <v>208</v>
      </c>
      <c r="B26" s="572" t="s">
        <v>127</v>
      </c>
      <c r="C26" s="591" t="s">
        <v>230</v>
      </c>
      <c r="D26" s="691">
        <v>0</v>
      </c>
      <c r="E26" s="691">
        <v>0</v>
      </c>
    </row>
    <row r="27" spans="1:5" s="169" customFormat="1" ht="24.95" customHeight="1">
      <c r="A27" s="1120" t="s">
        <v>208</v>
      </c>
      <c r="B27" s="572" t="s">
        <v>128</v>
      </c>
      <c r="C27" s="1121">
        <v>40360</v>
      </c>
      <c r="D27" s="1122">
        <v>0</v>
      </c>
      <c r="E27" s="1122">
        <v>0</v>
      </c>
    </row>
    <row r="28" spans="1:5" s="169" customFormat="1" ht="24.95" customHeight="1" thickBot="1">
      <c r="A28" s="1118" t="s">
        <v>208</v>
      </c>
      <c r="B28" s="1123" t="s">
        <v>734</v>
      </c>
      <c r="C28" s="410" t="s">
        <v>735</v>
      </c>
      <c r="D28" s="430">
        <v>0</v>
      </c>
      <c r="E28" s="1119">
        <v>0</v>
      </c>
    </row>
    <row r="29" spans="1:5" ht="24.95" customHeight="1" thickBot="1">
      <c r="A29" s="470"/>
      <c r="B29" s="471"/>
      <c r="C29" s="470"/>
      <c r="D29" s="411"/>
      <c r="E29" s="472"/>
    </row>
    <row r="30" spans="1:5" ht="24.95" customHeight="1" thickBot="1">
      <c r="A30" s="535"/>
      <c r="B30" s="473" t="s">
        <v>224</v>
      </c>
      <c r="C30" s="412"/>
      <c r="D30" s="412"/>
      <c r="E30" s="474">
        <f>SUM(E22:E28)</f>
        <v>0</v>
      </c>
    </row>
    <row r="31" spans="1:5" ht="24.95" customHeight="1" thickBot="1">
      <c r="A31" s="412" t="s">
        <v>265</v>
      </c>
      <c r="B31" s="413"/>
      <c r="C31" s="414"/>
      <c r="D31" s="414"/>
      <c r="E31" s="415">
        <f>E20+E30</f>
        <v>0</v>
      </c>
    </row>
    <row r="32" spans="1:5" ht="24.95" customHeight="1">
      <c r="A32" s="171"/>
      <c r="B32" s="171"/>
      <c r="C32" s="171"/>
      <c r="D32" s="171"/>
      <c r="E32" s="171"/>
    </row>
    <row r="33" spans="1:5" ht="24.95" customHeight="1" thickBot="1">
      <c r="A33" s="10" t="s">
        <v>266</v>
      </c>
      <c r="B33" s="171"/>
      <c r="C33" s="171"/>
      <c r="D33" s="171"/>
      <c r="E33" s="171"/>
    </row>
    <row r="34" spans="1:5" ht="24.95" customHeight="1">
      <c r="A34" s="812"/>
      <c r="B34" s="813"/>
      <c r="C34" s="813"/>
      <c r="D34" s="813"/>
      <c r="E34" s="814"/>
    </row>
    <row r="35" spans="1:5" ht="24.95" customHeight="1">
      <c r="A35" s="815"/>
      <c r="B35" s="816"/>
      <c r="C35" s="816"/>
      <c r="D35" s="816"/>
      <c r="E35" s="817"/>
    </row>
    <row r="36" spans="1:5" ht="24.95" customHeight="1">
      <c r="A36" s="815"/>
      <c r="B36" s="816"/>
      <c r="C36" s="816"/>
      <c r="D36" s="816"/>
      <c r="E36" s="817"/>
    </row>
    <row r="37" spans="1:5" ht="24.95" customHeight="1">
      <c r="A37" s="815"/>
      <c r="B37" s="816"/>
      <c r="C37" s="816"/>
      <c r="D37" s="816"/>
      <c r="E37" s="817"/>
    </row>
    <row r="38" spans="1:5" ht="24.9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zoomScale="80" zoomScaleNormal="80" workbookViewId="0">
      <pane xSplit="5" ySplit="10" topLeftCell="F11" activePane="bottomRight" state="frozen"/>
      <selection pane="topRight" activeCell="F1" sqref="F1"/>
      <selection pane="bottomLeft" activeCell="A11" sqref="A11"/>
      <selection pane="bottomRight"/>
    </sheetView>
  </sheetViews>
  <sheetFormatPr defaultColWidth="9.140625" defaultRowHeight="18.75"/>
  <cols>
    <col min="1" max="1" width="57" style="169" customWidth="1"/>
    <col min="2" max="2" width="1.42578125" style="169" customWidth="1"/>
    <col min="3" max="3" width="21.28515625" style="169" customWidth="1"/>
    <col min="4" max="4" width="9.140625" style="169"/>
    <col min="5" max="5" width="49.42578125" style="169" customWidth="1"/>
    <col min="6" max="6" width="17" style="169" customWidth="1"/>
    <col min="7" max="7" width="25.42578125" style="169" customWidth="1"/>
    <col min="8" max="8" width="1.85546875" style="169" customWidth="1"/>
    <col min="9" max="9" width="11.7109375" style="169" bestFit="1" customWidth="1"/>
    <col min="10" max="10" width="15.42578125" style="169" bestFit="1" customWidth="1"/>
    <col min="11" max="16384" width="9.140625" style="169"/>
  </cols>
  <sheetData>
    <row r="1" spans="1:8" ht="26.25">
      <c r="A1" s="892"/>
      <c r="B1" s="892"/>
      <c r="C1" s="892"/>
      <c r="D1" s="892"/>
      <c r="E1" s="892"/>
      <c r="F1" s="892"/>
      <c r="G1" s="893"/>
    </row>
    <row r="2" spans="1:8" ht="30" customHeight="1" thickBot="1">
      <c r="A2" s="893" t="s">
        <v>171</v>
      </c>
      <c r="B2" s="882" t="str">
        <f>'CHECK SHEET'!D7</f>
        <v>Daytona State College</v>
      </c>
      <c r="C2" s="882"/>
      <c r="D2" s="882"/>
      <c r="E2" s="882"/>
      <c r="F2" s="882"/>
      <c r="G2" s="894"/>
    </row>
    <row r="3" spans="1:8" ht="23.1" customHeight="1">
      <c r="A3" s="879" t="s">
        <v>267</v>
      </c>
      <c r="B3" s="879"/>
      <c r="C3" s="879"/>
      <c r="D3" s="879"/>
      <c r="E3" s="879"/>
      <c r="F3" s="879"/>
      <c r="G3" s="879"/>
    </row>
    <row r="4" spans="1:8" ht="23.45" customHeight="1">
      <c r="A4" s="879" t="s">
        <v>268</v>
      </c>
      <c r="B4" s="879"/>
      <c r="C4" s="879"/>
      <c r="D4" s="879"/>
      <c r="E4" s="879"/>
      <c r="F4" s="879"/>
      <c r="G4" s="879"/>
    </row>
    <row r="5" spans="1:8" ht="23.45" customHeight="1">
      <c r="A5" s="879" t="s">
        <v>760</v>
      </c>
      <c r="B5" s="879"/>
      <c r="C5" s="879"/>
      <c r="D5" s="879"/>
      <c r="E5" s="879"/>
      <c r="F5" s="879"/>
      <c r="G5" s="879"/>
    </row>
    <row r="6" spans="1:8" ht="20.100000000000001" customHeight="1">
      <c r="A6" s="895"/>
      <c r="B6" s="895"/>
      <c r="C6" s="895"/>
      <c r="D6" s="895"/>
      <c r="E6" s="895"/>
      <c r="F6" s="895"/>
      <c r="G6" s="895"/>
    </row>
    <row r="7" spans="1:8" ht="38.450000000000003" customHeight="1">
      <c r="A7" s="896" t="s">
        <v>269</v>
      </c>
      <c r="B7" s="896"/>
      <c r="C7" s="896"/>
      <c r="D7" s="896"/>
      <c r="E7" s="896"/>
      <c r="F7" s="896"/>
      <c r="G7" s="896"/>
      <c r="H7" s="175"/>
    </row>
    <row r="8" spans="1:8" ht="20.100000000000001" customHeight="1">
      <c r="A8" s="174"/>
      <c r="B8" s="174"/>
      <c r="C8" s="174"/>
      <c r="D8" s="174"/>
      <c r="E8" s="174"/>
      <c r="F8" s="174"/>
      <c r="G8" s="174"/>
      <c r="H8" s="175"/>
    </row>
    <row r="9" spans="1:8" ht="76.349999999999994" customHeight="1">
      <c r="A9" s="495" t="s">
        <v>270</v>
      </c>
      <c r="B9" s="496" t="s">
        <v>271</v>
      </c>
      <c r="C9" s="496"/>
      <c r="D9" s="496"/>
      <c r="E9" s="496"/>
      <c r="F9" s="497" t="s">
        <v>261</v>
      </c>
      <c r="G9" s="498" t="s">
        <v>272</v>
      </c>
    </row>
    <row r="10" spans="1:8" ht="20.100000000000001" customHeight="1">
      <c r="A10" s="508" t="s">
        <v>212</v>
      </c>
      <c r="B10" s="509"/>
      <c r="C10" s="509"/>
      <c r="D10" s="509"/>
      <c r="E10" s="509"/>
      <c r="F10" s="510"/>
      <c r="G10" s="511"/>
    </row>
    <row r="11" spans="1:8" ht="20.100000000000001" customHeight="1">
      <c r="A11" s="478"/>
      <c r="B11" s="176"/>
      <c r="C11" s="176"/>
      <c r="D11" s="176"/>
      <c r="E11" s="176"/>
      <c r="F11" s="177"/>
      <c r="G11" s="178"/>
    </row>
    <row r="12" spans="1:8" ht="20.100000000000001" customHeight="1">
      <c r="A12" s="478" t="s">
        <v>193</v>
      </c>
      <c r="B12" s="176"/>
      <c r="C12" s="176" t="s">
        <v>219</v>
      </c>
      <c r="D12" s="176"/>
      <c r="E12" s="176"/>
      <c r="F12" s="179">
        <v>40101</v>
      </c>
      <c r="G12" s="1149">
        <f>+'EXHIBIT C'!H10+'EXHIBIT C(2)'!E13</f>
        <v>2813364</v>
      </c>
    </row>
    <row r="13" spans="1:8" ht="20.100000000000001" customHeight="1">
      <c r="A13" s="478" t="s">
        <v>193</v>
      </c>
      <c r="B13" s="176"/>
      <c r="C13" s="169" t="s">
        <v>125</v>
      </c>
      <c r="D13" s="176"/>
      <c r="E13" s="176"/>
      <c r="F13" s="180" t="s">
        <v>220</v>
      </c>
      <c r="G13" s="1149">
        <f>+'EXHIBIT C'!H11+'EXHIBIT C(2)'!E14</f>
        <v>11496248</v>
      </c>
    </row>
    <row r="14" spans="1:8" ht="20.100000000000001" customHeight="1">
      <c r="A14" s="478" t="s">
        <v>193</v>
      </c>
      <c r="B14" s="176"/>
      <c r="C14" s="176" t="s">
        <v>126</v>
      </c>
      <c r="D14" s="176"/>
      <c r="E14" s="176"/>
      <c r="F14" s="180" t="s">
        <v>221</v>
      </c>
      <c r="G14" s="1150">
        <f>+'EXHIBIT C'!H12+'EXHIBIT C(2)'!E15</f>
        <v>5478221</v>
      </c>
    </row>
    <row r="15" spans="1:8" ht="20.100000000000001" customHeight="1">
      <c r="A15" s="478" t="s">
        <v>193</v>
      </c>
      <c r="B15" s="176"/>
      <c r="C15" s="181" t="s">
        <v>273</v>
      </c>
      <c r="D15" s="176"/>
      <c r="E15" s="176"/>
      <c r="F15" s="180" t="s">
        <v>222</v>
      </c>
      <c r="G15" s="1150">
        <f>+'EXHIBIT C'!H13+'EXHIBIT C(2)'!E16</f>
        <v>1539047</v>
      </c>
    </row>
    <row r="16" spans="1:8" ht="20.100000000000001" customHeight="1">
      <c r="A16" s="478" t="s">
        <v>193</v>
      </c>
      <c r="B16" s="176"/>
      <c r="C16" s="181" t="s">
        <v>274</v>
      </c>
      <c r="D16" s="176"/>
      <c r="E16" s="176"/>
      <c r="F16" s="180" t="s">
        <v>223</v>
      </c>
      <c r="G16" s="182">
        <f>+'EXHIBIT C'!H14+'EXHIBIT C(2)'!E17</f>
        <v>456307</v>
      </c>
    </row>
    <row r="17" spans="1:7" ht="20.100000000000001" customHeight="1">
      <c r="A17" s="478" t="s">
        <v>193</v>
      </c>
      <c r="B17" s="176"/>
      <c r="C17" s="169" t="s">
        <v>128</v>
      </c>
      <c r="D17" s="176"/>
      <c r="E17" s="176"/>
      <c r="F17" s="179">
        <v>40160</v>
      </c>
      <c r="G17" s="182">
        <f>+'EXHIBIT C'!H15+'EXHIBIT C(2)'!E18</f>
        <v>0</v>
      </c>
    </row>
    <row r="18" spans="1:7" ht="20.100000000000001" customHeight="1">
      <c r="A18" s="478"/>
      <c r="B18" s="176"/>
      <c r="C18" s="176"/>
      <c r="D18" s="176"/>
      <c r="E18" s="176"/>
      <c r="F18" s="180"/>
      <c r="G18" s="182"/>
    </row>
    <row r="19" spans="1:7" ht="20.100000000000001" customHeight="1">
      <c r="A19" s="479" t="s">
        <v>275</v>
      </c>
      <c r="B19" s="176"/>
      <c r="C19" s="176"/>
      <c r="D19" s="176"/>
      <c r="E19" s="176"/>
      <c r="F19" s="180"/>
      <c r="G19" s="692">
        <f>SUM(G12:G17)</f>
        <v>21783187</v>
      </c>
    </row>
    <row r="20" spans="1:7" ht="20.100000000000001" customHeight="1">
      <c r="A20" s="478"/>
      <c r="B20" s="176"/>
      <c r="C20" s="176"/>
      <c r="D20" s="176"/>
      <c r="E20" s="176"/>
      <c r="F20" s="180"/>
      <c r="G20" s="183"/>
    </row>
    <row r="21" spans="1:7" ht="20.100000000000001" customHeight="1">
      <c r="A21" s="478" t="s">
        <v>208</v>
      </c>
      <c r="B21" s="176"/>
      <c r="C21" s="176" t="s">
        <v>219</v>
      </c>
      <c r="D21" s="176"/>
      <c r="E21" s="176"/>
      <c r="F21" s="179">
        <v>40301</v>
      </c>
      <c r="G21" s="1151">
        <f>+'EXHIBIT C'!F19+'EXHIBIT C(2)'!E22</f>
        <v>178870</v>
      </c>
    </row>
    <row r="22" spans="1:7" ht="20.100000000000001" customHeight="1">
      <c r="A22" s="478" t="s">
        <v>208</v>
      </c>
      <c r="B22" s="176"/>
      <c r="C22" s="169" t="s">
        <v>125</v>
      </c>
      <c r="D22" s="176"/>
      <c r="E22" s="176"/>
      <c r="F22" s="180" t="s">
        <v>227</v>
      </c>
      <c r="G22" s="1151">
        <f>+'EXHIBIT C'!F20+'EXHIBIT C(2)'!E23</f>
        <v>1521426</v>
      </c>
    </row>
    <row r="23" spans="1:7" ht="20.100000000000001" customHeight="1">
      <c r="A23" s="478" t="s">
        <v>208</v>
      </c>
      <c r="B23" s="176"/>
      <c r="C23" s="176" t="s">
        <v>126</v>
      </c>
      <c r="D23" s="176"/>
      <c r="E23" s="176"/>
      <c r="F23" s="180" t="s">
        <v>228</v>
      </c>
      <c r="G23" s="1152">
        <f>+'EXHIBIT C'!F21+'EXHIBIT C(2)'!E24</f>
        <v>578972</v>
      </c>
    </row>
    <row r="24" spans="1:7" ht="20.100000000000001" customHeight="1">
      <c r="A24" s="478" t="s">
        <v>208</v>
      </c>
      <c r="B24" s="176"/>
      <c r="C24" s="181" t="s">
        <v>273</v>
      </c>
      <c r="D24" s="176"/>
      <c r="E24" s="176"/>
      <c r="F24" s="180" t="s">
        <v>229</v>
      </c>
      <c r="G24" s="1152">
        <f>+'EXHIBIT C'!F22+'EXHIBIT C(2)'!E25</f>
        <v>121838</v>
      </c>
    </row>
    <row r="25" spans="1:7" ht="20.100000000000001" customHeight="1">
      <c r="A25" s="478" t="s">
        <v>208</v>
      </c>
      <c r="B25" s="176"/>
      <c r="C25" s="181" t="s">
        <v>274</v>
      </c>
      <c r="D25" s="176"/>
      <c r="E25" s="176"/>
      <c r="F25" s="180" t="s">
        <v>230</v>
      </c>
      <c r="G25" s="1152">
        <f>+'EXHIBIT C'!F23+'EXHIBIT C(2)'!E26</f>
        <v>121779</v>
      </c>
    </row>
    <row r="26" spans="1:7" ht="20.100000000000001" customHeight="1">
      <c r="A26" s="478" t="s">
        <v>208</v>
      </c>
      <c r="B26" s="176"/>
      <c r="C26" s="169" t="s">
        <v>128</v>
      </c>
      <c r="D26" s="176"/>
      <c r="E26" s="176"/>
      <c r="F26" s="179">
        <v>40360</v>
      </c>
      <c r="G26" s="1152">
        <f>+'EXHIBIT C'!F24+'EXHIBIT C(2)'!E27</f>
        <v>0</v>
      </c>
    </row>
    <row r="27" spans="1:7" ht="20.100000000000001" customHeight="1">
      <c r="A27" s="478" t="s">
        <v>208</v>
      </c>
      <c r="B27" s="176"/>
      <c r="C27" s="169" t="s">
        <v>734</v>
      </c>
      <c r="D27" s="176"/>
      <c r="E27" s="176"/>
      <c r="F27" s="179" t="s">
        <v>735</v>
      </c>
      <c r="G27" s="1152">
        <f>+'EXHIBIT C'!F25+'EXHIBIT C(2)'!E28</f>
        <v>0</v>
      </c>
    </row>
    <row r="28" spans="1:7" ht="20.100000000000001" customHeight="1">
      <c r="A28" s="478"/>
      <c r="B28" s="176"/>
      <c r="C28" s="176"/>
      <c r="D28" s="176"/>
      <c r="E28" s="176"/>
      <c r="F28" s="180"/>
      <c r="G28" s="184"/>
    </row>
    <row r="29" spans="1:7" ht="20.100000000000001" customHeight="1">
      <c r="A29" s="479" t="s">
        <v>276</v>
      </c>
      <c r="B29" s="176"/>
      <c r="C29" s="176"/>
      <c r="D29" s="176"/>
      <c r="E29" s="176"/>
      <c r="F29" s="180"/>
      <c r="G29" s="693">
        <f>SUM(G21:G27)</f>
        <v>2522885</v>
      </c>
    </row>
    <row r="30" spans="1:7" ht="20.100000000000001" customHeight="1">
      <c r="A30" s="478"/>
      <c r="B30" s="176"/>
      <c r="C30" s="176"/>
      <c r="D30" s="176"/>
      <c r="E30" s="176"/>
      <c r="F30" s="180"/>
      <c r="G30" s="185"/>
    </row>
    <row r="31" spans="1:7" ht="20.100000000000001" customHeight="1">
      <c r="A31" s="478" t="s">
        <v>277</v>
      </c>
      <c r="B31" s="176"/>
      <c r="C31" s="821" t="s">
        <v>238</v>
      </c>
      <c r="D31" s="821"/>
      <c r="E31" s="821"/>
      <c r="F31" s="180" t="s">
        <v>239</v>
      </c>
      <c r="G31" s="182">
        <f>'EXHIBIT C'!H33</f>
        <v>0</v>
      </c>
    </row>
    <row r="32" spans="1:7" ht="20.100000000000001" customHeight="1">
      <c r="A32" s="478" t="s">
        <v>277</v>
      </c>
      <c r="B32" s="176"/>
      <c r="C32" s="169" t="s">
        <v>240</v>
      </c>
      <c r="D32" s="176"/>
      <c r="E32" s="176"/>
      <c r="F32" s="180" t="s">
        <v>241</v>
      </c>
      <c r="G32" s="182">
        <f>'EXHIBIT C'!H34</f>
        <v>68640</v>
      </c>
    </row>
    <row r="33" spans="1:7" ht="20.100000000000001" customHeight="1">
      <c r="A33" s="478" t="s">
        <v>278</v>
      </c>
      <c r="B33" s="176"/>
      <c r="C33" s="176" t="s">
        <v>238</v>
      </c>
      <c r="D33" s="176"/>
      <c r="E33" s="176"/>
      <c r="F33" s="180" t="s">
        <v>239</v>
      </c>
      <c r="G33" s="182">
        <f>'EXHIBIT C'!H35</f>
        <v>0</v>
      </c>
    </row>
    <row r="34" spans="1:7" ht="20.100000000000001" customHeight="1">
      <c r="A34" s="478" t="s">
        <v>278</v>
      </c>
      <c r="B34" s="176"/>
      <c r="C34" s="169" t="s">
        <v>240</v>
      </c>
      <c r="D34" s="176"/>
      <c r="E34" s="176"/>
      <c r="F34" s="180" t="s">
        <v>241</v>
      </c>
      <c r="G34" s="182">
        <f>'EXHIBIT C'!H36</f>
        <v>0</v>
      </c>
    </row>
    <row r="35" spans="1:7" ht="20.100000000000001" customHeight="1">
      <c r="A35" s="478"/>
      <c r="B35" s="176"/>
      <c r="C35" s="176"/>
      <c r="D35" s="176"/>
      <c r="E35" s="176"/>
      <c r="F35" s="180"/>
      <c r="G35" s="186"/>
    </row>
    <row r="36" spans="1:7" ht="20.100000000000001" customHeight="1">
      <c r="A36" s="479" t="s">
        <v>279</v>
      </c>
      <c r="B36" s="176"/>
      <c r="C36" s="176"/>
      <c r="D36" s="176"/>
      <c r="E36" s="176"/>
      <c r="F36" s="180"/>
      <c r="G36" s="693">
        <f>SUM(G31:G34)</f>
        <v>68640</v>
      </c>
    </row>
    <row r="37" spans="1:7" ht="20.100000000000001" customHeight="1">
      <c r="A37" s="478"/>
      <c r="B37" s="176"/>
      <c r="C37" s="176"/>
      <c r="D37" s="176"/>
      <c r="E37" s="176"/>
      <c r="F37" s="180"/>
      <c r="G37" s="184"/>
    </row>
    <row r="38" spans="1:7" ht="20.100000000000001" customHeight="1">
      <c r="A38" s="478" t="s">
        <v>280</v>
      </c>
      <c r="B38" s="176"/>
      <c r="C38" s="176" t="s">
        <v>238</v>
      </c>
      <c r="D38" s="176"/>
      <c r="E38" s="176"/>
      <c r="F38" s="180" t="s">
        <v>245</v>
      </c>
      <c r="G38" s="1152">
        <f>'EXHIBIT C'!F40</f>
        <v>0</v>
      </c>
    </row>
    <row r="39" spans="1:7" ht="20.100000000000001" customHeight="1">
      <c r="A39" s="478" t="s">
        <v>280</v>
      </c>
      <c r="B39" s="176"/>
      <c r="C39" s="822" t="s">
        <v>240</v>
      </c>
      <c r="D39" s="822"/>
      <c r="E39" s="822"/>
      <c r="F39" s="180" t="s">
        <v>246</v>
      </c>
      <c r="G39" s="1152">
        <f>'EXHIBIT C'!F41</f>
        <v>0</v>
      </c>
    </row>
    <row r="40" spans="1:7" ht="20.100000000000001" customHeight="1">
      <c r="A40" s="478" t="s">
        <v>281</v>
      </c>
      <c r="B40" s="176"/>
      <c r="C40" s="176" t="s">
        <v>238</v>
      </c>
      <c r="D40" s="176"/>
      <c r="E40" s="176"/>
      <c r="F40" s="180" t="s">
        <v>245</v>
      </c>
      <c r="G40" s="1152">
        <f>'EXHIBIT C'!F42</f>
        <v>0</v>
      </c>
    </row>
    <row r="41" spans="1:7" ht="20.100000000000001" customHeight="1">
      <c r="A41" s="478" t="s">
        <v>281</v>
      </c>
      <c r="B41" s="176"/>
      <c r="C41" s="822" t="s">
        <v>240</v>
      </c>
      <c r="D41" s="822"/>
      <c r="E41" s="822"/>
      <c r="F41" s="180" t="s">
        <v>246</v>
      </c>
      <c r="G41" s="1152">
        <f>'EXHIBIT C'!F43</f>
        <v>0</v>
      </c>
    </row>
    <row r="42" spans="1:7" ht="20.100000000000001" customHeight="1">
      <c r="A42" s="478"/>
      <c r="B42" s="176"/>
      <c r="C42" s="176"/>
      <c r="D42" s="176"/>
      <c r="E42" s="176"/>
      <c r="F42" s="180"/>
      <c r="G42" s="184"/>
    </row>
    <row r="43" spans="1:7" ht="20.100000000000001" customHeight="1">
      <c r="A43" s="479" t="s">
        <v>282</v>
      </c>
      <c r="B43" s="176"/>
      <c r="C43" s="176"/>
      <c r="D43" s="176"/>
      <c r="E43" s="176"/>
      <c r="F43" s="180"/>
      <c r="G43" s="693">
        <f>SUM(G38:G42)</f>
        <v>0</v>
      </c>
    </row>
    <row r="44" spans="1:7" ht="20.100000000000001" customHeight="1">
      <c r="A44" s="478"/>
      <c r="B44" s="176"/>
      <c r="C44" s="176"/>
      <c r="D44" s="176"/>
      <c r="E44" s="176"/>
      <c r="F44" s="180"/>
      <c r="G44" s="185"/>
    </row>
    <row r="45" spans="1:7" ht="20.100000000000001" customHeight="1">
      <c r="A45" s="479" t="s">
        <v>283</v>
      </c>
      <c r="B45" s="176"/>
      <c r="C45" s="176"/>
      <c r="D45" s="176"/>
      <c r="E45" s="176"/>
      <c r="F45" s="180"/>
      <c r="G45" s="694">
        <f>G19+G29+G36+G43</f>
        <v>24374712</v>
      </c>
    </row>
    <row r="46" spans="1:7" ht="20.100000000000001" customHeight="1">
      <c r="A46" s="478"/>
      <c r="B46" s="176"/>
      <c r="C46" s="176"/>
      <c r="D46" s="176"/>
      <c r="E46" s="176"/>
      <c r="F46" s="180"/>
      <c r="G46" s="184"/>
    </row>
    <row r="47" spans="1:7" ht="20.100000000000001" customHeight="1">
      <c r="A47" s="478" t="s">
        <v>284</v>
      </c>
      <c r="B47" s="176"/>
      <c r="C47" s="176"/>
      <c r="D47" s="176"/>
      <c r="E47" s="176"/>
      <c r="F47" s="180" t="s">
        <v>285</v>
      </c>
      <c r="G47" s="1153"/>
    </row>
    <row r="48" spans="1:7" ht="20.100000000000001" customHeight="1">
      <c r="A48" s="478" t="s">
        <v>286</v>
      </c>
      <c r="B48" s="187"/>
      <c r="C48" s="187"/>
      <c r="D48" s="187"/>
      <c r="E48" s="187"/>
      <c r="F48" s="188" t="s">
        <v>287</v>
      </c>
      <c r="G48" s="1153">
        <v>170706</v>
      </c>
    </row>
    <row r="49" spans="1:7" ht="20.100000000000001" customHeight="1">
      <c r="A49" s="478" t="s">
        <v>288</v>
      </c>
      <c r="C49" s="187"/>
      <c r="D49" s="187"/>
      <c r="E49" s="187"/>
      <c r="F49" s="188" t="s">
        <v>289</v>
      </c>
      <c r="G49" s="1153">
        <v>515009</v>
      </c>
    </row>
    <row r="50" spans="1:7" ht="20.100000000000001" customHeight="1">
      <c r="A50" s="478" t="s">
        <v>290</v>
      </c>
      <c r="B50" s="176"/>
      <c r="C50" s="176"/>
      <c r="D50" s="176"/>
      <c r="E50" s="176"/>
      <c r="F50" s="180" t="s">
        <v>291</v>
      </c>
      <c r="G50" s="1153"/>
    </row>
    <row r="51" spans="1:7" ht="20.100000000000001" customHeight="1">
      <c r="A51" s="478" t="s">
        <v>773</v>
      </c>
      <c r="B51" s="176"/>
      <c r="C51" s="176"/>
      <c r="D51" s="176"/>
      <c r="E51" s="176"/>
      <c r="F51" s="195">
        <v>40280</v>
      </c>
      <c r="G51" s="1153"/>
    </row>
    <row r="52" spans="1:7" ht="20.100000000000001" customHeight="1">
      <c r="A52" s="478" t="s">
        <v>292</v>
      </c>
      <c r="B52" s="176"/>
      <c r="C52" s="176"/>
      <c r="D52" s="176"/>
      <c r="E52" s="176"/>
      <c r="F52" s="180" t="s">
        <v>293</v>
      </c>
      <c r="G52" s="1153">
        <v>2430754</v>
      </c>
    </row>
    <row r="53" spans="1:7" ht="20.100000000000001" customHeight="1">
      <c r="A53" s="478" t="s">
        <v>294</v>
      </c>
      <c r="B53" s="176"/>
      <c r="C53" s="176"/>
      <c r="D53" s="176"/>
      <c r="E53" s="176"/>
      <c r="F53" s="179">
        <v>40450</v>
      </c>
      <c r="G53" s="1153">
        <v>2125396</v>
      </c>
    </row>
    <row r="54" spans="1:7" ht="20.100000000000001" customHeight="1">
      <c r="A54" s="478" t="s">
        <v>295</v>
      </c>
      <c r="B54" s="176"/>
      <c r="C54" s="176"/>
      <c r="D54" s="176"/>
      <c r="E54" s="176"/>
      <c r="F54" s="180" t="s">
        <v>296</v>
      </c>
      <c r="G54" s="1153">
        <v>205680</v>
      </c>
    </row>
    <row r="55" spans="1:7" ht="20.100000000000001" customHeight="1">
      <c r="A55" s="478" t="s">
        <v>297</v>
      </c>
      <c r="B55" s="176"/>
      <c r="C55" s="176"/>
      <c r="D55" s="176"/>
      <c r="E55" s="176"/>
      <c r="F55" s="188" t="s">
        <v>298</v>
      </c>
      <c r="G55" s="1153"/>
    </row>
    <row r="56" spans="1:7" ht="20.100000000000001" customHeight="1">
      <c r="A56" s="478" t="s">
        <v>299</v>
      </c>
      <c r="B56" s="176"/>
      <c r="C56" s="176"/>
      <c r="D56" s="176"/>
      <c r="E56" s="176"/>
      <c r="F56" s="180" t="s">
        <v>300</v>
      </c>
      <c r="G56" s="1153">
        <v>86168</v>
      </c>
    </row>
    <row r="57" spans="1:7" ht="20.100000000000001" customHeight="1">
      <c r="A57" s="478" t="s">
        <v>301</v>
      </c>
      <c r="B57" s="176"/>
      <c r="C57" s="176"/>
      <c r="D57" s="176"/>
      <c r="E57" s="176"/>
      <c r="F57" s="188" t="s">
        <v>302</v>
      </c>
      <c r="G57" s="1153"/>
    </row>
    <row r="58" spans="1:7" ht="20.100000000000001" customHeight="1">
      <c r="A58" s="478" t="s">
        <v>303</v>
      </c>
      <c r="B58" s="176"/>
      <c r="C58" s="176"/>
      <c r="D58" s="176"/>
      <c r="E58" s="176"/>
      <c r="F58" s="180" t="s">
        <v>304</v>
      </c>
      <c r="G58" s="1153">
        <v>14510</v>
      </c>
    </row>
    <row r="59" spans="1:7" ht="20.100000000000001" customHeight="1">
      <c r="A59" s="478" t="s">
        <v>305</v>
      </c>
      <c r="B59" s="176"/>
      <c r="C59" s="176"/>
      <c r="D59" s="176"/>
      <c r="E59" s="176"/>
      <c r="F59" s="180" t="s">
        <v>306</v>
      </c>
      <c r="G59" s="1153"/>
    </row>
    <row r="60" spans="1:7" ht="20.100000000000001" customHeight="1">
      <c r="A60" s="478" t="s">
        <v>307</v>
      </c>
      <c r="B60" s="176"/>
      <c r="C60" s="176"/>
      <c r="D60" s="176"/>
      <c r="E60" s="176"/>
      <c r="F60" s="189" t="s">
        <v>308</v>
      </c>
      <c r="G60" s="1153">
        <v>1181436</v>
      </c>
    </row>
    <row r="61" spans="1:7" ht="20.100000000000001" customHeight="1">
      <c r="A61" s="478" t="s">
        <v>309</v>
      </c>
      <c r="B61" s="176"/>
      <c r="C61" s="176"/>
      <c r="D61" s="176"/>
      <c r="E61" s="176"/>
      <c r="F61" s="180" t="s">
        <v>310</v>
      </c>
      <c r="G61" s="1153">
        <v>775381</v>
      </c>
    </row>
    <row r="62" spans="1:7" ht="20.100000000000001" customHeight="1">
      <c r="A62" s="478" t="s">
        <v>311</v>
      </c>
      <c r="B62" s="176"/>
      <c r="C62" s="176"/>
      <c r="D62" s="176"/>
      <c r="E62" s="176"/>
      <c r="F62" s="188" t="s">
        <v>312</v>
      </c>
      <c r="G62" s="1153"/>
    </row>
    <row r="63" spans="1:7" ht="20.100000000000001" customHeight="1">
      <c r="A63" s="478" t="s">
        <v>313</v>
      </c>
      <c r="B63" s="176"/>
      <c r="C63" s="176"/>
      <c r="D63" s="176"/>
      <c r="E63" s="176"/>
      <c r="F63" s="188" t="s">
        <v>314</v>
      </c>
      <c r="G63" s="1153"/>
    </row>
    <row r="64" spans="1:7" ht="20.100000000000001" customHeight="1">
      <c r="A64" s="478"/>
      <c r="B64" s="176"/>
      <c r="C64" s="176"/>
      <c r="D64" s="176"/>
      <c r="E64" s="176"/>
      <c r="F64" s="180"/>
      <c r="G64" s="695"/>
    </row>
    <row r="65" spans="1:7" ht="20.100000000000001" customHeight="1">
      <c r="A65" s="479" t="s">
        <v>315</v>
      </c>
      <c r="B65" s="176"/>
      <c r="C65" s="176"/>
      <c r="D65" s="176"/>
      <c r="E65" s="176"/>
      <c r="F65" s="180"/>
      <c r="G65" s="696">
        <f>SUM(G45:G63)</f>
        <v>31879752</v>
      </c>
    </row>
    <row r="66" spans="1:7" ht="20.100000000000001" customHeight="1">
      <c r="A66" s="478"/>
      <c r="B66" s="176"/>
      <c r="C66" s="176"/>
      <c r="D66" s="176"/>
      <c r="E66" s="176"/>
      <c r="F66" s="180"/>
      <c r="G66" s="184"/>
    </row>
    <row r="67" spans="1:7" ht="20.100000000000001" customHeight="1">
      <c r="A67" s="823" t="s">
        <v>316</v>
      </c>
      <c r="B67" s="824"/>
      <c r="C67" s="824"/>
      <c r="D67" s="824"/>
      <c r="E67" s="824"/>
      <c r="F67" s="825"/>
      <c r="G67" s="697"/>
    </row>
    <row r="68" spans="1:7" ht="20.100000000000001" customHeight="1">
      <c r="A68" s="478"/>
      <c r="B68" s="176"/>
      <c r="C68" s="176"/>
      <c r="D68" s="176"/>
      <c r="E68" s="176"/>
      <c r="F68" s="180"/>
      <c r="G68" s="184"/>
    </row>
    <row r="69" spans="1:7" ht="20.100000000000001" customHeight="1">
      <c r="A69" s="478" t="s">
        <v>317</v>
      </c>
      <c r="B69" s="176"/>
      <c r="C69" s="176"/>
      <c r="D69" s="176"/>
      <c r="E69" s="176"/>
      <c r="F69" s="180" t="s">
        <v>318</v>
      </c>
      <c r="G69" s="1153">
        <v>0</v>
      </c>
    </row>
    <row r="70" spans="1:7" ht="20.100000000000001" customHeight="1">
      <c r="A70" s="478" t="s">
        <v>319</v>
      </c>
      <c r="B70" s="176"/>
      <c r="C70" s="176"/>
      <c r="D70" s="176"/>
      <c r="E70" s="176"/>
      <c r="F70" s="180" t="s">
        <v>320</v>
      </c>
      <c r="G70" s="1153">
        <v>2200000</v>
      </c>
    </row>
    <row r="71" spans="1:7" ht="20.100000000000001" customHeight="1">
      <c r="A71" s="478" t="s">
        <v>321</v>
      </c>
      <c r="B71" s="176"/>
      <c r="C71" s="176"/>
      <c r="D71" s="176"/>
      <c r="E71" s="176"/>
      <c r="F71" s="180" t="s">
        <v>322</v>
      </c>
      <c r="G71" s="1153">
        <v>0</v>
      </c>
    </row>
    <row r="72" spans="1:7" ht="20.100000000000001" customHeight="1">
      <c r="A72" s="478"/>
      <c r="B72" s="176"/>
      <c r="C72" s="176"/>
      <c r="D72" s="176"/>
      <c r="E72" s="176"/>
      <c r="F72" s="180"/>
      <c r="G72" s="695"/>
    </row>
    <row r="73" spans="1:7" ht="20.100000000000001" customHeight="1">
      <c r="A73" s="479" t="s">
        <v>323</v>
      </c>
      <c r="B73" s="176"/>
      <c r="C73" s="176"/>
      <c r="D73" s="176"/>
      <c r="E73" s="176"/>
      <c r="F73" s="180"/>
      <c r="G73" s="210">
        <f>SUM(G69:G71)</f>
        <v>2200000</v>
      </c>
    </row>
    <row r="74" spans="1:7" ht="20.100000000000001" customHeight="1">
      <c r="A74" s="698"/>
      <c r="B74" s="545"/>
      <c r="C74" s="545"/>
      <c r="D74" s="545"/>
      <c r="E74" s="545"/>
      <c r="F74" s="546"/>
      <c r="G74" s="699"/>
    </row>
    <row r="75" spans="1:7" ht="20.100000000000001" customHeight="1">
      <c r="A75" s="823" t="s">
        <v>324</v>
      </c>
      <c r="B75" s="824"/>
      <c r="C75" s="824"/>
      <c r="D75" s="824"/>
      <c r="E75" s="824"/>
      <c r="F75" s="825"/>
      <c r="G75" s="592"/>
    </row>
    <row r="76" spans="1:7" ht="20.100000000000001" customHeight="1">
      <c r="A76" s="478"/>
      <c r="B76" s="176"/>
      <c r="C76" s="176"/>
      <c r="D76" s="176"/>
      <c r="E76" s="176"/>
      <c r="F76" s="180"/>
      <c r="G76" s="190"/>
    </row>
    <row r="77" spans="1:7" ht="20.100000000000001" customHeight="1">
      <c r="A77" s="478" t="s">
        <v>325</v>
      </c>
      <c r="B77" s="176"/>
      <c r="C77" s="176"/>
      <c r="D77" s="176"/>
      <c r="E77" s="176"/>
      <c r="F77" s="180" t="s">
        <v>326</v>
      </c>
      <c r="G77" s="1154">
        <f>'CHECK SHEET'!D84</f>
        <v>49300674.267480299</v>
      </c>
    </row>
    <row r="78" spans="1:7" ht="20.100000000000001" customHeight="1">
      <c r="A78" s="478" t="s">
        <v>688</v>
      </c>
      <c r="B78" s="176"/>
      <c r="C78" s="176"/>
      <c r="D78" s="176"/>
      <c r="E78" s="176"/>
      <c r="F78" s="179">
        <v>42130</v>
      </c>
      <c r="G78" s="1155">
        <v>2291042</v>
      </c>
    </row>
    <row r="79" spans="1:7" ht="20.100000000000001" customHeight="1">
      <c r="A79" s="480" t="s">
        <v>327</v>
      </c>
      <c r="B79" s="481"/>
      <c r="C79" s="481"/>
      <c r="D79" s="481"/>
      <c r="E79" s="481"/>
      <c r="F79" s="191" t="s">
        <v>328</v>
      </c>
      <c r="G79" s="1153">
        <v>806367</v>
      </c>
    </row>
    <row r="80" spans="1:7" ht="20.100000000000001" customHeight="1">
      <c r="A80" s="478" t="s">
        <v>329</v>
      </c>
      <c r="B80" s="176"/>
      <c r="C80" s="176"/>
      <c r="D80" s="176"/>
      <c r="E80" s="176"/>
      <c r="F80" s="180" t="s">
        <v>330</v>
      </c>
      <c r="G80" s="1155">
        <v>8800</v>
      </c>
    </row>
    <row r="81" spans="1:10" ht="20.100000000000001" customHeight="1">
      <c r="A81" s="478" t="s">
        <v>706</v>
      </c>
      <c r="B81" s="176"/>
      <c r="C81" s="176"/>
      <c r="D81" s="176"/>
      <c r="E81" s="176"/>
      <c r="F81" s="180" t="s">
        <v>331</v>
      </c>
      <c r="G81" s="1155">
        <v>0</v>
      </c>
    </row>
    <row r="82" spans="1:10" ht="20.100000000000001" customHeight="1">
      <c r="A82" s="478" t="s">
        <v>332</v>
      </c>
      <c r="B82" s="176"/>
      <c r="C82" s="176"/>
      <c r="D82" s="176"/>
      <c r="E82" s="176"/>
      <c r="F82" s="180" t="s">
        <v>333</v>
      </c>
      <c r="G82" s="1154">
        <f>'CHECK SHEET'!D86</f>
        <v>11651335.732519712</v>
      </c>
    </row>
    <row r="83" spans="1:10" ht="20.100000000000001" customHeight="1">
      <c r="A83" s="482" t="s">
        <v>334</v>
      </c>
      <c r="B83" s="483"/>
      <c r="C83" s="483"/>
      <c r="D83" s="483"/>
      <c r="E83" s="483"/>
      <c r="F83" s="190" t="s">
        <v>335</v>
      </c>
      <c r="G83" s="1155">
        <v>0</v>
      </c>
    </row>
    <row r="84" spans="1:10" ht="20.100000000000001" customHeight="1">
      <c r="A84" s="478" t="s">
        <v>336</v>
      </c>
      <c r="B84" s="176"/>
      <c r="C84" s="176"/>
      <c r="D84" s="176"/>
      <c r="E84" s="176"/>
      <c r="F84" s="180" t="s">
        <v>337</v>
      </c>
      <c r="G84" s="1155">
        <v>0</v>
      </c>
    </row>
    <row r="85" spans="1:10" ht="20.100000000000001" customHeight="1">
      <c r="A85" s="478"/>
      <c r="B85" s="176"/>
      <c r="C85" s="176"/>
      <c r="D85" s="176"/>
      <c r="E85" s="176"/>
      <c r="F85" s="180"/>
      <c r="G85" s="700"/>
    </row>
    <row r="86" spans="1:10" ht="20.100000000000001" customHeight="1">
      <c r="A86" s="479" t="s">
        <v>338</v>
      </c>
      <c r="B86" s="176"/>
      <c r="C86" s="176"/>
      <c r="D86" s="176"/>
      <c r="E86" s="176"/>
      <c r="F86" s="180"/>
      <c r="G86" s="211">
        <f>SUM(G77:G84)</f>
        <v>64058219.000000015</v>
      </c>
    </row>
    <row r="87" spans="1:10" ht="20.100000000000001" customHeight="1">
      <c r="A87" s="698"/>
      <c r="B87" s="545"/>
      <c r="C87" s="545"/>
      <c r="D87" s="545"/>
      <c r="E87" s="545"/>
      <c r="F87" s="546"/>
      <c r="G87" s="699"/>
    </row>
    <row r="88" spans="1:10" ht="20.100000000000001" customHeight="1">
      <c r="A88" s="826" t="s">
        <v>339</v>
      </c>
      <c r="B88" s="827"/>
      <c r="C88" s="827"/>
      <c r="D88" s="827"/>
      <c r="E88" s="827"/>
      <c r="F88" s="828"/>
      <c r="G88" s="592"/>
    </row>
    <row r="89" spans="1:10" ht="20.100000000000001" customHeight="1">
      <c r="A89" s="478"/>
      <c r="B89" s="176"/>
      <c r="C89" s="176"/>
      <c r="D89" s="176"/>
      <c r="E89" s="176"/>
      <c r="F89" s="180"/>
      <c r="G89" s="190"/>
    </row>
    <row r="90" spans="1:10" ht="20.100000000000001" customHeight="1">
      <c r="A90" s="478" t="s">
        <v>340</v>
      </c>
      <c r="B90" s="176"/>
      <c r="C90" s="176"/>
      <c r="D90" s="176"/>
      <c r="E90" s="176"/>
      <c r="F90" s="180" t="s">
        <v>341</v>
      </c>
      <c r="G90" s="432">
        <v>0</v>
      </c>
    </row>
    <row r="91" spans="1:10" ht="20.100000000000001" customHeight="1">
      <c r="A91" s="478" t="s">
        <v>342</v>
      </c>
      <c r="B91" s="176"/>
      <c r="C91" s="176"/>
      <c r="D91" s="176"/>
      <c r="E91" s="176"/>
      <c r="F91" s="972">
        <v>43518</v>
      </c>
      <c r="G91" s="433">
        <v>0</v>
      </c>
      <c r="J91" s="192"/>
    </row>
    <row r="92" spans="1:10" ht="20.100000000000001" customHeight="1">
      <c r="A92" s="478" t="s">
        <v>343</v>
      </c>
      <c r="B92" s="176"/>
      <c r="C92" s="176"/>
      <c r="D92" s="176"/>
      <c r="E92" s="176"/>
      <c r="F92" s="972">
        <v>43519</v>
      </c>
      <c r="G92" s="433">
        <v>0</v>
      </c>
    </row>
    <row r="93" spans="1:10" ht="20.100000000000001" customHeight="1">
      <c r="A93" s="478" t="s">
        <v>7</v>
      </c>
      <c r="B93" s="176"/>
      <c r="C93" s="176"/>
      <c r="D93" s="176"/>
      <c r="E93" s="176"/>
      <c r="F93" s="195">
        <v>43521</v>
      </c>
      <c r="G93" s="433">
        <v>0</v>
      </c>
    </row>
    <row r="94" spans="1:10" ht="20.100000000000001" customHeight="1">
      <c r="A94" s="478" t="s">
        <v>8</v>
      </c>
      <c r="B94" s="176"/>
      <c r="C94" s="176"/>
      <c r="D94" s="176"/>
      <c r="E94" s="176"/>
      <c r="F94" s="195">
        <v>43526</v>
      </c>
      <c r="G94" s="433">
        <v>0</v>
      </c>
    </row>
    <row r="95" spans="1:10" ht="20.100000000000001" customHeight="1">
      <c r="A95" s="478" t="s">
        <v>344</v>
      </c>
      <c r="B95" s="176"/>
      <c r="C95" s="176"/>
      <c r="D95" s="176"/>
      <c r="E95" s="176"/>
      <c r="F95" s="180" t="s">
        <v>345</v>
      </c>
      <c r="G95" s="1145">
        <v>243000</v>
      </c>
    </row>
    <row r="96" spans="1:10" ht="20.100000000000001" customHeight="1">
      <c r="A96" s="573"/>
      <c r="B96" s="547"/>
      <c r="C96" s="547"/>
      <c r="D96" s="547"/>
      <c r="E96" s="547"/>
      <c r="F96" s="563"/>
      <c r="G96" s="700"/>
    </row>
    <row r="97" spans="1:7" ht="20.100000000000001" customHeight="1">
      <c r="A97" s="479" t="s">
        <v>346</v>
      </c>
      <c r="B97" s="176"/>
      <c r="C97" s="176"/>
      <c r="D97" s="176"/>
      <c r="E97" s="176"/>
      <c r="F97" s="193"/>
      <c r="G97" s="701">
        <f>SUM(G90:G95)</f>
        <v>243000</v>
      </c>
    </row>
    <row r="98" spans="1:7" ht="20.100000000000001" customHeight="1">
      <c r="A98" s="478"/>
      <c r="B98" s="176"/>
      <c r="C98" s="176"/>
      <c r="D98" s="176"/>
      <c r="E98" s="176"/>
      <c r="F98" s="180"/>
      <c r="G98" s="194"/>
    </row>
    <row r="99" spans="1:7" ht="20.100000000000001" customHeight="1">
      <c r="A99" s="829" t="s">
        <v>347</v>
      </c>
      <c r="B99" s="830"/>
      <c r="C99" s="830"/>
      <c r="D99" s="830"/>
      <c r="E99" s="830"/>
      <c r="F99" s="831"/>
      <c r="G99" s="702"/>
    </row>
    <row r="100" spans="1:7" ht="20.100000000000001" customHeight="1">
      <c r="A100" s="478"/>
      <c r="B100" s="176"/>
      <c r="C100" s="176"/>
      <c r="D100" s="176"/>
      <c r="E100" s="176"/>
      <c r="F100" s="180"/>
      <c r="G100" s="194"/>
    </row>
    <row r="101" spans="1:7" ht="20.100000000000001" customHeight="1">
      <c r="A101" s="478" t="s">
        <v>348</v>
      </c>
      <c r="B101" s="176"/>
      <c r="C101" s="176"/>
      <c r="D101" s="176"/>
      <c r="E101" s="176"/>
      <c r="F101" s="180" t="s">
        <v>349</v>
      </c>
      <c r="G101" s="432">
        <v>0</v>
      </c>
    </row>
    <row r="102" spans="1:7" ht="20.100000000000001" customHeight="1">
      <c r="A102" s="478" t="s">
        <v>350</v>
      </c>
      <c r="B102" s="176"/>
      <c r="C102" s="176"/>
      <c r="D102" s="176"/>
      <c r="E102" s="176"/>
      <c r="F102" s="180" t="s">
        <v>351</v>
      </c>
      <c r="G102" s="432">
        <v>0</v>
      </c>
    </row>
    <row r="103" spans="1:7" ht="20.100000000000001" customHeight="1">
      <c r="A103" s="478" t="s">
        <v>352</v>
      </c>
      <c r="B103" s="176"/>
      <c r="C103" s="176"/>
      <c r="D103" s="176"/>
      <c r="E103" s="176"/>
      <c r="F103" s="195">
        <v>44400</v>
      </c>
      <c r="G103" s="433">
        <v>0</v>
      </c>
    </row>
    <row r="104" spans="1:7" ht="20.100000000000001" customHeight="1">
      <c r="A104" s="478" t="s">
        <v>353</v>
      </c>
      <c r="B104" s="176"/>
      <c r="C104" s="176"/>
      <c r="D104" s="176"/>
      <c r="E104" s="176"/>
      <c r="F104" s="180" t="s">
        <v>354</v>
      </c>
      <c r="G104" s="432">
        <v>0</v>
      </c>
    </row>
    <row r="105" spans="1:7" ht="20.100000000000001" customHeight="1">
      <c r="A105" s="478"/>
      <c r="B105" s="176"/>
      <c r="C105" s="176"/>
      <c r="D105" s="176"/>
      <c r="E105" s="176"/>
      <c r="F105" s="180"/>
      <c r="G105" s="703"/>
    </row>
    <row r="106" spans="1:7" ht="20.100000000000001" customHeight="1">
      <c r="A106" s="479" t="s">
        <v>355</v>
      </c>
      <c r="B106" s="176"/>
      <c r="C106" s="176"/>
      <c r="D106" s="176"/>
      <c r="E106" s="176"/>
      <c r="F106" s="180"/>
      <c r="G106" s="701">
        <f>SUM(G101:G104)</f>
        <v>0</v>
      </c>
    </row>
    <row r="107" spans="1:7" ht="20.100000000000001" customHeight="1">
      <c r="A107" s="478"/>
      <c r="B107" s="176"/>
      <c r="C107" s="176"/>
      <c r="D107" s="176"/>
      <c r="E107" s="176"/>
      <c r="F107" s="180"/>
      <c r="G107" s="194"/>
    </row>
    <row r="108" spans="1:7" ht="20.100000000000001" customHeight="1">
      <c r="A108" s="823" t="s">
        <v>356</v>
      </c>
      <c r="B108" s="824"/>
      <c r="C108" s="824"/>
      <c r="D108" s="824"/>
      <c r="E108" s="824"/>
      <c r="F108" s="825"/>
      <c r="G108" s="704"/>
    </row>
    <row r="109" spans="1:7" ht="20.100000000000001" customHeight="1">
      <c r="A109" s="478"/>
      <c r="B109" s="176"/>
      <c r="C109" s="176"/>
      <c r="D109" s="176"/>
      <c r="E109" s="176"/>
      <c r="F109" s="180"/>
      <c r="G109" s="194"/>
    </row>
    <row r="110" spans="1:7" ht="20.100000000000001" customHeight="1">
      <c r="A110" s="478" t="s">
        <v>357</v>
      </c>
      <c r="B110" s="176"/>
      <c r="C110" s="176"/>
      <c r="D110" s="176"/>
      <c r="E110" s="176"/>
      <c r="F110" s="180" t="s">
        <v>358</v>
      </c>
      <c r="G110" s="432">
        <v>56000</v>
      </c>
    </row>
    <row r="111" spans="1:7" ht="20.100000000000001" customHeight="1">
      <c r="A111" s="478" t="s">
        <v>359</v>
      </c>
      <c r="B111" s="176"/>
      <c r="C111" s="176"/>
      <c r="D111" s="176"/>
      <c r="E111" s="176"/>
      <c r="F111" s="180" t="s">
        <v>360</v>
      </c>
      <c r="G111" s="432">
        <v>1330000</v>
      </c>
    </row>
    <row r="112" spans="1:7" ht="20.100000000000001" customHeight="1">
      <c r="A112" s="478" t="s">
        <v>361</v>
      </c>
      <c r="B112" s="176"/>
      <c r="C112" s="176"/>
      <c r="D112" s="176"/>
      <c r="E112" s="176"/>
      <c r="F112" s="180" t="s">
        <v>362</v>
      </c>
      <c r="G112" s="432">
        <v>143000</v>
      </c>
    </row>
    <row r="113" spans="1:7" ht="20.100000000000001" customHeight="1">
      <c r="A113" s="478" t="s">
        <v>363</v>
      </c>
      <c r="B113" s="176"/>
      <c r="C113" s="176"/>
      <c r="D113" s="176"/>
      <c r="E113" s="176"/>
      <c r="F113" s="180" t="s">
        <v>364</v>
      </c>
      <c r="G113" s="432">
        <v>0</v>
      </c>
    </row>
    <row r="114" spans="1:7" ht="20.100000000000001" customHeight="1">
      <c r="A114" s="478" t="s">
        <v>365</v>
      </c>
      <c r="B114" s="176"/>
      <c r="C114" s="176"/>
      <c r="D114" s="176"/>
      <c r="E114" s="176"/>
      <c r="F114" s="180" t="s">
        <v>366</v>
      </c>
      <c r="G114" s="1040">
        <v>0</v>
      </c>
    </row>
    <row r="115" spans="1:7" ht="20.100000000000001" customHeight="1">
      <c r="A115" s="478"/>
      <c r="B115" s="176"/>
      <c r="C115" s="176"/>
      <c r="D115" s="176"/>
      <c r="E115" s="176"/>
      <c r="F115" s="180"/>
      <c r="G115" s="703"/>
    </row>
    <row r="116" spans="1:7" ht="20.100000000000001" customHeight="1">
      <c r="A116" s="705" t="s">
        <v>367</v>
      </c>
      <c r="B116" s="706"/>
      <c r="C116" s="706"/>
      <c r="D116" s="706"/>
      <c r="E116" s="706"/>
      <c r="F116" s="707"/>
      <c r="G116" s="701">
        <f>SUM(G110:G114)</f>
        <v>1529000</v>
      </c>
    </row>
    <row r="117" spans="1:7" ht="20.100000000000001" customHeight="1">
      <c r="A117" s="478"/>
      <c r="B117" s="176"/>
      <c r="C117" s="176"/>
      <c r="D117" s="176"/>
      <c r="E117" s="176"/>
      <c r="F117" s="484"/>
      <c r="G117" s="485"/>
    </row>
    <row r="118" spans="1:7" ht="20.100000000000001" customHeight="1">
      <c r="A118" s="708" t="s">
        <v>368</v>
      </c>
      <c r="B118" s="548"/>
      <c r="C118" s="548"/>
      <c r="D118" s="548"/>
      <c r="E118" s="548"/>
      <c r="F118" s="549" t="s">
        <v>369</v>
      </c>
      <c r="G118" s="1146">
        <v>0</v>
      </c>
    </row>
    <row r="119" spans="1:7" ht="20.100000000000001" customHeight="1">
      <c r="A119" s="486"/>
      <c r="F119" s="195"/>
      <c r="G119" s="196"/>
    </row>
    <row r="120" spans="1:7" ht="20.100000000000001" customHeight="1">
      <c r="A120" s="479" t="s">
        <v>370</v>
      </c>
      <c r="C120" s="176"/>
      <c r="D120" s="176"/>
      <c r="F120" s="195"/>
      <c r="G120" s="701">
        <f>G118</f>
        <v>0</v>
      </c>
    </row>
    <row r="121" spans="1:7" ht="20.100000000000001" customHeight="1">
      <c r="A121" s="486"/>
      <c r="F121" s="195"/>
      <c r="G121" s="194"/>
    </row>
    <row r="122" spans="1:7" ht="20.100000000000001" customHeight="1">
      <c r="A122" s="829" t="s">
        <v>371</v>
      </c>
      <c r="B122" s="830"/>
      <c r="C122" s="830"/>
      <c r="D122" s="830"/>
      <c r="E122" s="830"/>
      <c r="F122" s="831"/>
      <c r="G122" s="702"/>
    </row>
    <row r="123" spans="1:7" ht="20.100000000000001" customHeight="1">
      <c r="A123" s="478"/>
      <c r="B123" s="176"/>
      <c r="C123" s="176"/>
      <c r="D123" s="176"/>
      <c r="E123" s="176"/>
      <c r="F123" s="180"/>
      <c r="G123" s="194"/>
    </row>
    <row r="124" spans="1:7" ht="20.100000000000001" customHeight="1">
      <c r="A124" s="478" t="s">
        <v>372</v>
      </c>
      <c r="B124" s="176"/>
      <c r="C124" s="176"/>
      <c r="D124" s="176"/>
      <c r="E124" s="176"/>
      <c r="F124" s="180" t="s">
        <v>373</v>
      </c>
      <c r="G124" s="432">
        <v>2000000</v>
      </c>
    </row>
    <row r="125" spans="1:7" ht="20.100000000000001" customHeight="1">
      <c r="A125" s="478" t="s">
        <v>374</v>
      </c>
      <c r="B125" s="176"/>
      <c r="C125" s="176"/>
      <c r="D125" s="176"/>
      <c r="E125" s="176"/>
      <c r="F125" s="180" t="s">
        <v>375</v>
      </c>
      <c r="G125" s="432">
        <v>0</v>
      </c>
    </row>
    <row r="126" spans="1:7" ht="20.100000000000001" customHeight="1">
      <c r="A126" s="478" t="s">
        <v>376</v>
      </c>
      <c r="B126" s="176"/>
      <c r="C126" s="176"/>
      <c r="D126" s="176"/>
      <c r="E126" s="176"/>
      <c r="F126" s="180" t="s">
        <v>377</v>
      </c>
      <c r="G126" s="432">
        <v>450</v>
      </c>
    </row>
    <row r="127" spans="1:7" ht="20.100000000000001" customHeight="1">
      <c r="A127" s="478" t="s">
        <v>378</v>
      </c>
      <c r="B127" s="176"/>
      <c r="C127" s="176"/>
      <c r="D127" s="176"/>
      <c r="E127" s="176"/>
      <c r="F127" s="180" t="s">
        <v>379</v>
      </c>
      <c r="G127" s="432">
        <v>4543250</v>
      </c>
    </row>
    <row r="128" spans="1:7" ht="20.100000000000001" customHeight="1">
      <c r="A128" s="478"/>
      <c r="B128" s="176"/>
      <c r="C128" s="176"/>
      <c r="D128" s="176"/>
      <c r="E128" s="176"/>
      <c r="F128" s="180"/>
      <c r="G128" s="703"/>
    </row>
    <row r="129" spans="1:7" ht="20.100000000000001" customHeight="1">
      <c r="A129" s="479" t="s">
        <v>380</v>
      </c>
      <c r="B129" s="176"/>
      <c r="C129" s="176"/>
      <c r="D129" s="176"/>
      <c r="E129" s="176"/>
      <c r="F129" s="180"/>
      <c r="G129" s="701">
        <f>SUM(G124:G127)</f>
        <v>6543700</v>
      </c>
    </row>
    <row r="130" spans="1:7" ht="20.100000000000001" customHeight="1">
      <c r="A130" s="478"/>
      <c r="B130" s="176"/>
      <c r="C130" s="176"/>
      <c r="D130" s="176"/>
      <c r="E130" s="176"/>
      <c r="F130" s="180"/>
      <c r="G130" s="194"/>
    </row>
    <row r="131" spans="1:7" ht="20.100000000000001" customHeight="1">
      <c r="A131" s="823" t="s">
        <v>381</v>
      </c>
      <c r="B131" s="824"/>
      <c r="C131" s="824"/>
      <c r="D131" s="824"/>
      <c r="E131" s="824"/>
      <c r="F131" s="825"/>
      <c r="G131" s="704"/>
    </row>
    <row r="132" spans="1:7" ht="20.100000000000001" customHeight="1">
      <c r="A132" s="478"/>
      <c r="B132" s="176"/>
      <c r="C132" s="176"/>
      <c r="D132" s="176"/>
      <c r="E132" s="176"/>
      <c r="F132" s="180"/>
      <c r="G132" s="194"/>
    </row>
    <row r="133" spans="1:7" ht="20.100000000000001" customHeight="1">
      <c r="A133" s="478" t="s">
        <v>382</v>
      </c>
      <c r="B133" s="176"/>
      <c r="C133" s="176"/>
      <c r="D133" s="487"/>
      <c r="E133" s="187"/>
      <c r="F133" s="1057" t="s">
        <v>383</v>
      </c>
      <c r="G133" s="432">
        <v>0</v>
      </c>
    </row>
    <row r="134" spans="1:7" ht="20.100000000000001" customHeight="1">
      <c r="A134" s="478" t="s">
        <v>690</v>
      </c>
      <c r="B134" s="176"/>
      <c r="C134" s="176"/>
      <c r="D134" s="487"/>
      <c r="E134" s="187"/>
      <c r="F134" s="1127">
        <v>49200</v>
      </c>
      <c r="G134" s="432">
        <v>710000</v>
      </c>
    </row>
    <row r="135" spans="1:7" ht="20.100000000000001" customHeight="1">
      <c r="A135" s="478" t="s">
        <v>384</v>
      </c>
      <c r="B135" s="176"/>
      <c r="C135" s="176"/>
      <c r="D135" s="176"/>
      <c r="E135" s="176"/>
      <c r="F135" s="1015" t="s">
        <v>385</v>
      </c>
      <c r="G135" s="432">
        <v>0</v>
      </c>
    </row>
    <row r="136" spans="1:7" ht="20.100000000000001" customHeight="1">
      <c r="A136" s="478" t="s">
        <v>386</v>
      </c>
      <c r="B136" s="176"/>
      <c r="C136" s="176"/>
      <c r="D136" s="176"/>
      <c r="E136" s="176"/>
      <c r="F136" s="179">
        <v>49520</v>
      </c>
      <c r="G136" s="432">
        <v>0</v>
      </c>
    </row>
    <row r="137" spans="1:7" ht="20.100000000000001" customHeight="1">
      <c r="A137" s="987" t="s">
        <v>683</v>
      </c>
      <c r="B137" s="176"/>
      <c r="C137" s="176"/>
      <c r="D137" s="176"/>
      <c r="E137" s="176"/>
      <c r="F137" s="195">
        <v>49521</v>
      </c>
      <c r="G137" s="432">
        <v>0</v>
      </c>
    </row>
    <row r="138" spans="1:7" ht="20.100000000000001" customHeight="1">
      <c r="A138" s="478" t="s">
        <v>387</v>
      </c>
      <c r="B138" s="176"/>
      <c r="C138" s="176"/>
      <c r="D138" s="176"/>
      <c r="E138" s="176"/>
      <c r="F138" s="180" t="s">
        <v>388</v>
      </c>
      <c r="G138" s="432">
        <v>0</v>
      </c>
    </row>
    <row r="139" spans="1:7" ht="20.100000000000001" customHeight="1">
      <c r="A139" s="478" t="s">
        <v>389</v>
      </c>
      <c r="B139" s="176"/>
      <c r="C139" s="176"/>
      <c r="D139" s="176"/>
      <c r="E139" s="176"/>
      <c r="F139" s="180" t="s">
        <v>390</v>
      </c>
      <c r="G139" s="432">
        <v>0</v>
      </c>
    </row>
    <row r="140" spans="1:7" ht="20.100000000000001" customHeight="1">
      <c r="A140" s="478"/>
      <c r="B140" s="176"/>
      <c r="C140" s="176"/>
      <c r="D140" s="176"/>
      <c r="E140" s="176"/>
      <c r="F140" s="180"/>
      <c r="G140" s="703"/>
    </row>
    <row r="141" spans="1:7" ht="20.100000000000001" customHeight="1">
      <c r="A141" s="479" t="s">
        <v>391</v>
      </c>
      <c r="B141" s="176"/>
      <c r="C141" s="176"/>
      <c r="D141" s="176"/>
      <c r="E141" s="176"/>
      <c r="F141" s="180"/>
      <c r="G141" s="701">
        <f>SUM(G133:G139)</f>
        <v>710000</v>
      </c>
    </row>
    <row r="142" spans="1:7" ht="20.100000000000001" customHeight="1">
      <c r="A142" s="478"/>
      <c r="B142" s="176"/>
      <c r="C142" s="176"/>
      <c r="D142" s="176"/>
      <c r="E142" s="176"/>
      <c r="F142" s="180"/>
      <c r="G142" s="194"/>
    </row>
    <row r="143" spans="1:7" ht="20.100000000000001" customHeight="1" thickBot="1">
      <c r="A143" s="501" t="s">
        <v>392</v>
      </c>
      <c r="B143" s="502"/>
      <c r="C143" s="502"/>
      <c r="D143" s="502"/>
      <c r="E143" s="502"/>
      <c r="F143" s="503"/>
      <c r="G143" s="505">
        <f>G65+G73+G86+G97+G106+G116+G120+G129+G141</f>
        <v>107163671.00000001</v>
      </c>
    </row>
    <row r="144" spans="1:7" ht="20.100000000000001" customHeight="1" thickTop="1">
      <c r="A144" s="698"/>
      <c r="B144" s="545"/>
      <c r="C144" s="545"/>
      <c r="D144" s="545"/>
      <c r="E144" s="545"/>
      <c r="F144" s="593"/>
      <c r="G144" s="594"/>
    </row>
    <row r="145" spans="1:7" ht="20.100000000000001" customHeight="1">
      <c r="A145" s="823" t="s">
        <v>393</v>
      </c>
      <c r="B145" s="824"/>
      <c r="C145" s="824"/>
      <c r="D145" s="824"/>
      <c r="E145" s="824"/>
      <c r="F145" s="825"/>
      <c r="G145" s="709"/>
    </row>
    <row r="146" spans="1:7" ht="20.100000000000001" customHeight="1">
      <c r="A146" s="478"/>
      <c r="B146" s="176"/>
      <c r="C146" s="176"/>
      <c r="D146" s="176"/>
      <c r="E146" s="176"/>
      <c r="F146" s="180"/>
      <c r="G146" s="197"/>
    </row>
    <row r="147" spans="1:7" ht="20.100000000000001" customHeight="1">
      <c r="A147" s="478" t="s">
        <v>394</v>
      </c>
      <c r="B147" s="176"/>
      <c r="C147" s="176"/>
      <c r="D147" s="176"/>
      <c r="E147" s="176"/>
      <c r="F147" s="180" t="s">
        <v>395</v>
      </c>
      <c r="G147" s="434">
        <v>1044365</v>
      </c>
    </row>
    <row r="148" spans="1:7" ht="20.100000000000001" customHeight="1">
      <c r="A148" s="478" t="s">
        <v>396</v>
      </c>
      <c r="F148" s="180" t="s">
        <v>397</v>
      </c>
      <c r="G148" s="434">
        <v>961461</v>
      </c>
    </row>
    <row r="149" spans="1:7" ht="20.100000000000001" customHeight="1">
      <c r="A149" s="478" t="s">
        <v>398</v>
      </c>
      <c r="F149" s="180" t="s">
        <v>399</v>
      </c>
      <c r="G149" s="434">
        <v>4898519</v>
      </c>
    </row>
    <row r="150" spans="1:7" ht="20.100000000000001" customHeight="1">
      <c r="A150" s="478" t="s">
        <v>400</v>
      </c>
      <c r="F150" s="180" t="s">
        <v>401</v>
      </c>
      <c r="G150" s="434">
        <v>0</v>
      </c>
    </row>
    <row r="151" spans="1:7" ht="20.100000000000001" customHeight="1">
      <c r="A151" s="478" t="s">
        <v>402</v>
      </c>
      <c r="F151" s="180" t="s">
        <v>403</v>
      </c>
      <c r="G151" s="434">
        <v>0</v>
      </c>
    </row>
    <row r="152" spans="1:7" ht="20.100000000000001" customHeight="1">
      <c r="A152" s="478" t="s">
        <v>404</v>
      </c>
      <c r="B152" s="176"/>
      <c r="C152" s="176"/>
      <c r="D152" s="176"/>
      <c r="E152" s="176"/>
      <c r="F152" s="180" t="s">
        <v>405</v>
      </c>
      <c r="G152" s="434">
        <v>20307540</v>
      </c>
    </row>
    <row r="153" spans="1:7" ht="20.100000000000001" customHeight="1">
      <c r="A153" s="478" t="s">
        <v>406</v>
      </c>
      <c r="B153" s="176"/>
      <c r="C153" s="176"/>
      <c r="D153" s="176"/>
      <c r="E153" s="176"/>
      <c r="F153" s="180" t="s">
        <v>407</v>
      </c>
      <c r="G153" s="434">
        <v>3624261</v>
      </c>
    </row>
    <row r="154" spans="1:7" ht="20.100000000000001" customHeight="1">
      <c r="A154" s="478" t="s">
        <v>408</v>
      </c>
      <c r="B154" s="176"/>
      <c r="C154" s="176"/>
      <c r="D154" s="176"/>
      <c r="E154" s="176"/>
      <c r="F154" s="180" t="s">
        <v>409</v>
      </c>
      <c r="G154" s="434">
        <v>26012</v>
      </c>
    </row>
    <row r="155" spans="1:7" ht="20.100000000000001" customHeight="1">
      <c r="A155" s="478" t="s">
        <v>410</v>
      </c>
      <c r="B155" s="176"/>
      <c r="C155" s="176"/>
      <c r="D155" s="176"/>
      <c r="E155" s="176"/>
      <c r="F155" s="180" t="s">
        <v>411</v>
      </c>
      <c r="G155" s="434">
        <v>0</v>
      </c>
    </row>
    <row r="156" spans="1:7" ht="20.100000000000001" customHeight="1">
      <c r="A156" s="478" t="s">
        <v>412</v>
      </c>
      <c r="B156" s="176"/>
      <c r="C156" s="176"/>
      <c r="D156" s="176"/>
      <c r="E156" s="176"/>
      <c r="F156" s="180" t="s">
        <v>413</v>
      </c>
      <c r="G156" s="434">
        <v>0</v>
      </c>
    </row>
    <row r="157" spans="1:7" ht="20.100000000000001" customHeight="1">
      <c r="A157" s="478" t="s">
        <v>414</v>
      </c>
      <c r="B157" s="176"/>
      <c r="C157" s="176"/>
      <c r="D157" s="176"/>
      <c r="E157" s="176"/>
      <c r="F157" s="179">
        <v>52500</v>
      </c>
      <c r="G157" s="434">
        <v>0</v>
      </c>
    </row>
    <row r="158" spans="1:7" ht="20.100000000000001" customHeight="1">
      <c r="A158" s="478" t="s">
        <v>415</v>
      </c>
      <c r="B158" s="176"/>
      <c r="C158" s="176"/>
      <c r="D158" s="176"/>
      <c r="E158" s="176"/>
      <c r="F158" s="180" t="s">
        <v>416</v>
      </c>
      <c r="G158" s="434">
        <v>0</v>
      </c>
    </row>
    <row r="159" spans="1:7" ht="20.100000000000001" customHeight="1">
      <c r="A159" s="478" t="s">
        <v>417</v>
      </c>
      <c r="B159" s="176"/>
      <c r="C159" s="176"/>
      <c r="D159" s="176"/>
      <c r="E159" s="176"/>
      <c r="F159" s="180" t="s">
        <v>418</v>
      </c>
      <c r="G159" s="434">
        <v>0</v>
      </c>
    </row>
    <row r="160" spans="1:7" ht="20.100000000000001" customHeight="1">
      <c r="A160" s="478" t="s">
        <v>419</v>
      </c>
      <c r="B160" s="176"/>
      <c r="C160" s="176"/>
      <c r="D160" s="176"/>
      <c r="E160" s="176"/>
      <c r="F160" s="180" t="s">
        <v>420</v>
      </c>
      <c r="G160" s="434">
        <v>0</v>
      </c>
    </row>
    <row r="161" spans="1:7" ht="20.100000000000001" customHeight="1">
      <c r="A161" s="478" t="s">
        <v>421</v>
      </c>
      <c r="B161" s="176"/>
      <c r="C161" s="176"/>
      <c r="D161" s="176"/>
      <c r="E161" s="176"/>
      <c r="F161" s="180" t="s">
        <v>422</v>
      </c>
      <c r="G161" s="434">
        <v>0</v>
      </c>
    </row>
    <row r="162" spans="1:7" ht="20.100000000000001" customHeight="1">
      <c r="A162" s="478" t="s">
        <v>423</v>
      </c>
      <c r="B162" s="176"/>
      <c r="C162" s="176"/>
      <c r="D162" s="176"/>
      <c r="E162" s="176"/>
      <c r="F162" s="180" t="s">
        <v>424</v>
      </c>
      <c r="G162" s="434">
        <v>12190647</v>
      </c>
    </row>
    <row r="163" spans="1:7" ht="20.100000000000001" customHeight="1">
      <c r="A163" s="478" t="s">
        <v>425</v>
      </c>
      <c r="B163" s="176"/>
      <c r="C163" s="176"/>
      <c r="D163" s="176"/>
      <c r="E163" s="176"/>
      <c r="F163" s="180" t="s">
        <v>426</v>
      </c>
      <c r="G163" s="434">
        <v>0</v>
      </c>
    </row>
    <row r="164" spans="1:7" ht="20.100000000000001" customHeight="1">
      <c r="A164" s="478" t="s">
        <v>427</v>
      </c>
      <c r="B164" s="176"/>
      <c r="C164" s="176"/>
      <c r="D164" s="176"/>
      <c r="E164" s="176"/>
      <c r="F164" s="180" t="s">
        <v>428</v>
      </c>
      <c r="G164" s="434">
        <v>0</v>
      </c>
    </row>
    <row r="165" spans="1:7" ht="20.100000000000001" customHeight="1">
      <c r="A165" s="478" t="s">
        <v>429</v>
      </c>
      <c r="B165" s="176"/>
      <c r="C165" s="176"/>
      <c r="D165" s="176"/>
      <c r="E165" s="176"/>
      <c r="F165" s="180" t="s">
        <v>430</v>
      </c>
      <c r="G165" s="434">
        <v>0</v>
      </c>
    </row>
    <row r="166" spans="1:7" ht="20.100000000000001" customHeight="1">
      <c r="A166" s="478" t="s">
        <v>431</v>
      </c>
      <c r="B166" s="176"/>
      <c r="C166" s="176"/>
      <c r="D166" s="176"/>
      <c r="E166" s="176"/>
      <c r="F166" s="180" t="s">
        <v>432</v>
      </c>
      <c r="G166" s="434">
        <v>27551</v>
      </c>
    </row>
    <row r="167" spans="1:7" ht="20.100000000000001" customHeight="1">
      <c r="A167" s="478" t="s">
        <v>433</v>
      </c>
      <c r="B167" s="176"/>
      <c r="C167" s="176"/>
      <c r="D167" s="176"/>
      <c r="E167" s="176"/>
      <c r="F167" s="180" t="s">
        <v>434</v>
      </c>
      <c r="G167" s="434">
        <v>11070034</v>
      </c>
    </row>
    <row r="168" spans="1:7" ht="20.100000000000001" customHeight="1">
      <c r="A168" s="478" t="s">
        <v>435</v>
      </c>
      <c r="B168" s="176"/>
      <c r="C168" s="176"/>
      <c r="D168" s="176"/>
      <c r="E168" s="176"/>
      <c r="F168" s="180" t="s">
        <v>436</v>
      </c>
      <c r="G168" s="434">
        <v>68996</v>
      </c>
    </row>
    <row r="169" spans="1:7" ht="20.100000000000001" customHeight="1">
      <c r="A169" s="478" t="s">
        <v>437</v>
      </c>
      <c r="B169" s="176"/>
      <c r="C169" s="176"/>
      <c r="D169" s="176"/>
      <c r="E169" s="176"/>
      <c r="F169" s="180" t="s">
        <v>438</v>
      </c>
      <c r="G169" s="434">
        <v>85250</v>
      </c>
    </row>
    <row r="170" spans="1:7" ht="20.100000000000001" customHeight="1">
      <c r="A170" s="478" t="s">
        <v>439</v>
      </c>
      <c r="B170" s="176"/>
      <c r="C170" s="176"/>
      <c r="D170" s="176"/>
      <c r="E170" s="176"/>
      <c r="F170" s="180" t="s">
        <v>440</v>
      </c>
      <c r="G170" s="434">
        <v>0</v>
      </c>
    </row>
    <row r="171" spans="1:7" ht="20.100000000000001" customHeight="1">
      <c r="A171" s="478" t="s">
        <v>441</v>
      </c>
      <c r="B171" s="176"/>
      <c r="C171" s="176"/>
      <c r="D171" s="176"/>
      <c r="E171" s="176"/>
      <c r="F171" s="180" t="s">
        <v>442</v>
      </c>
      <c r="G171" s="434">
        <v>0</v>
      </c>
    </row>
    <row r="172" spans="1:7" ht="20.100000000000001" customHeight="1">
      <c r="A172" s="478" t="s">
        <v>443</v>
      </c>
      <c r="B172" s="176"/>
      <c r="C172" s="176"/>
      <c r="D172" s="176"/>
      <c r="E172" s="176"/>
      <c r="F172" s="179">
        <v>56001</v>
      </c>
      <c r="G172" s="434">
        <v>4627599</v>
      </c>
    </row>
    <row r="173" spans="1:7" ht="20.100000000000001" customHeight="1">
      <c r="A173" s="478" t="s">
        <v>444</v>
      </c>
      <c r="B173" s="176"/>
      <c r="C173" s="176"/>
      <c r="D173" s="176"/>
      <c r="E173" s="176"/>
      <c r="F173" s="179">
        <v>56002</v>
      </c>
      <c r="G173" s="434">
        <v>0</v>
      </c>
    </row>
    <row r="174" spans="1:7" ht="20.100000000000001" customHeight="1">
      <c r="A174" s="478" t="s">
        <v>445</v>
      </c>
      <c r="B174" s="176"/>
      <c r="C174" s="176"/>
      <c r="D174" s="176"/>
      <c r="E174" s="176"/>
      <c r="F174" s="179">
        <v>56003</v>
      </c>
      <c r="G174" s="434">
        <v>0</v>
      </c>
    </row>
    <row r="175" spans="1:7" ht="20.100000000000001" customHeight="1">
      <c r="A175" s="478" t="s">
        <v>446</v>
      </c>
      <c r="B175" s="176"/>
      <c r="C175" s="176"/>
      <c r="D175" s="176"/>
      <c r="E175" s="176"/>
      <c r="F175" s="198" t="s">
        <v>447</v>
      </c>
      <c r="G175" s="434">
        <v>0</v>
      </c>
    </row>
    <row r="176" spans="1:7" ht="20.100000000000001" customHeight="1">
      <c r="A176" s="478" t="s">
        <v>448</v>
      </c>
      <c r="B176" s="176"/>
      <c r="C176" s="176"/>
      <c r="D176" s="176"/>
      <c r="E176" s="176"/>
      <c r="F176" s="180" t="s">
        <v>449</v>
      </c>
      <c r="G176" s="434">
        <v>91738</v>
      </c>
    </row>
    <row r="177" spans="1:7" ht="20.100000000000001" customHeight="1">
      <c r="A177" s="486" t="s">
        <v>450</v>
      </c>
      <c r="F177" s="195" t="s">
        <v>451</v>
      </c>
      <c r="G177" s="434">
        <v>0</v>
      </c>
    </row>
    <row r="178" spans="1:7" ht="20.100000000000001" customHeight="1">
      <c r="A178" s="478" t="s">
        <v>452</v>
      </c>
      <c r="B178" s="176"/>
      <c r="C178" s="176"/>
      <c r="D178" s="176"/>
      <c r="E178" s="176"/>
      <c r="F178" s="180" t="s">
        <v>453</v>
      </c>
      <c r="G178" s="434">
        <v>0</v>
      </c>
    </row>
    <row r="179" spans="1:7" ht="20.100000000000001" customHeight="1">
      <c r="A179" s="478" t="s">
        <v>454</v>
      </c>
      <c r="B179" s="176"/>
      <c r="C179" s="176"/>
      <c r="D179" s="176"/>
      <c r="E179" s="176"/>
      <c r="F179" s="180" t="s">
        <v>455</v>
      </c>
      <c r="G179" s="434">
        <v>528091</v>
      </c>
    </row>
    <row r="180" spans="1:7" ht="20.100000000000001" customHeight="1">
      <c r="A180" s="478" t="s">
        <v>456</v>
      </c>
      <c r="B180" s="176"/>
      <c r="C180" s="176"/>
      <c r="D180" s="176"/>
      <c r="E180" s="176"/>
      <c r="F180" s="180" t="s">
        <v>457</v>
      </c>
      <c r="G180" s="434">
        <v>0</v>
      </c>
    </row>
    <row r="181" spans="1:7" ht="20.100000000000001" customHeight="1">
      <c r="A181" s="478" t="s">
        <v>458</v>
      </c>
      <c r="B181" s="176"/>
      <c r="C181" s="176"/>
      <c r="D181" s="176"/>
      <c r="E181" s="176"/>
      <c r="F181" s="180" t="s">
        <v>459</v>
      </c>
      <c r="G181" s="434">
        <v>0</v>
      </c>
    </row>
    <row r="182" spans="1:7" ht="20.100000000000001" customHeight="1">
      <c r="A182" s="478" t="s">
        <v>460</v>
      </c>
      <c r="B182" s="176"/>
      <c r="C182" s="176"/>
      <c r="D182" s="176"/>
      <c r="E182" s="176"/>
      <c r="F182" s="180" t="s">
        <v>461</v>
      </c>
      <c r="G182" s="434">
        <v>0</v>
      </c>
    </row>
    <row r="183" spans="1:7" ht="20.100000000000001" customHeight="1">
      <c r="A183" s="478" t="s">
        <v>462</v>
      </c>
      <c r="B183" s="176"/>
      <c r="C183" s="176"/>
      <c r="D183" s="176"/>
      <c r="E183" s="176"/>
      <c r="F183" s="180" t="s">
        <v>463</v>
      </c>
      <c r="G183" s="434">
        <v>0</v>
      </c>
    </row>
    <row r="184" spans="1:7" ht="20.100000000000001" customHeight="1">
      <c r="A184" s="478" t="s">
        <v>464</v>
      </c>
      <c r="B184" s="176"/>
      <c r="C184" s="176"/>
      <c r="D184" s="176"/>
      <c r="E184" s="176"/>
      <c r="F184" s="180" t="s">
        <v>465</v>
      </c>
      <c r="G184" s="434">
        <v>3601337</v>
      </c>
    </row>
    <row r="185" spans="1:7" ht="20.100000000000001" customHeight="1">
      <c r="A185" s="478" t="s">
        <v>466</v>
      </c>
      <c r="B185" s="176"/>
      <c r="C185" s="176"/>
      <c r="D185" s="176"/>
      <c r="E185" s="176"/>
      <c r="F185" s="180" t="s">
        <v>467</v>
      </c>
      <c r="G185" s="434">
        <v>6958517</v>
      </c>
    </row>
    <row r="186" spans="1:7" ht="20.100000000000001" customHeight="1">
      <c r="A186" s="478" t="s">
        <v>468</v>
      </c>
      <c r="B186" s="176"/>
      <c r="C186" s="176"/>
      <c r="D186" s="176"/>
      <c r="E186" s="176"/>
      <c r="F186" s="180" t="s">
        <v>469</v>
      </c>
      <c r="G186" s="434">
        <v>0</v>
      </c>
    </row>
    <row r="187" spans="1:7" ht="20.100000000000001" customHeight="1">
      <c r="A187" s="478" t="s">
        <v>470</v>
      </c>
      <c r="B187" s="176"/>
      <c r="C187" s="176"/>
      <c r="D187" s="176"/>
      <c r="E187" s="176"/>
      <c r="F187" s="180" t="s">
        <v>471</v>
      </c>
      <c r="G187" s="434">
        <v>0</v>
      </c>
    </row>
    <row r="188" spans="1:7" ht="20.100000000000001" customHeight="1">
      <c r="A188" s="478" t="s">
        <v>472</v>
      </c>
      <c r="B188" s="176"/>
      <c r="C188" s="176"/>
      <c r="D188" s="176"/>
      <c r="E188" s="176"/>
      <c r="F188" s="180" t="s">
        <v>473</v>
      </c>
      <c r="G188" s="434">
        <v>0</v>
      </c>
    </row>
    <row r="189" spans="1:7" ht="20.100000000000001" customHeight="1">
      <c r="A189" s="478" t="s">
        <v>474</v>
      </c>
      <c r="B189" s="176"/>
      <c r="C189" s="176"/>
      <c r="D189" s="176"/>
      <c r="E189" s="176"/>
      <c r="F189" s="195">
        <v>59600</v>
      </c>
      <c r="G189" s="434">
        <v>0</v>
      </c>
    </row>
    <row r="190" spans="1:7" ht="20.100000000000001" customHeight="1">
      <c r="A190" s="478" t="s">
        <v>475</v>
      </c>
      <c r="B190" s="176"/>
      <c r="C190" s="176"/>
      <c r="D190" s="176"/>
      <c r="E190" s="176"/>
      <c r="F190" s="180" t="s">
        <v>476</v>
      </c>
      <c r="G190" s="434">
        <v>11378880</v>
      </c>
    </row>
    <row r="191" spans="1:7" ht="20.100000000000001" customHeight="1">
      <c r="A191" s="478" t="s">
        <v>477</v>
      </c>
      <c r="B191" s="176"/>
      <c r="C191" s="176"/>
      <c r="D191" s="176"/>
      <c r="E191" s="176"/>
      <c r="F191" s="180" t="s">
        <v>478</v>
      </c>
      <c r="G191" s="434">
        <v>234097</v>
      </c>
    </row>
    <row r="192" spans="1:7" ht="20.100000000000001" customHeight="1">
      <c r="A192" s="478" t="s">
        <v>479</v>
      </c>
      <c r="B192" s="176"/>
      <c r="C192" s="176"/>
      <c r="D192" s="176"/>
      <c r="E192" s="176"/>
      <c r="F192" s="180" t="s">
        <v>480</v>
      </c>
      <c r="G192" s="434">
        <v>522804</v>
      </c>
    </row>
    <row r="193" spans="1:7" ht="20.100000000000001" customHeight="1">
      <c r="A193" s="478"/>
      <c r="B193" s="176"/>
      <c r="C193" s="176"/>
      <c r="D193" s="176"/>
      <c r="E193" s="176"/>
      <c r="F193" s="180"/>
      <c r="G193" s="710"/>
    </row>
    <row r="194" spans="1:7" ht="20.100000000000001" customHeight="1">
      <c r="A194" s="491" t="s">
        <v>481</v>
      </c>
      <c r="B194" s="492"/>
      <c r="C194" s="492"/>
      <c r="D194" s="492"/>
      <c r="E194" s="492"/>
      <c r="F194" s="499"/>
      <c r="G194" s="500">
        <f>SUM(G147:G192)</f>
        <v>82247699</v>
      </c>
    </row>
    <row r="195" spans="1:7" ht="20.100000000000001" customHeight="1">
      <c r="A195" s="488"/>
      <c r="B195" s="199"/>
      <c r="C195" s="199"/>
      <c r="D195" s="199"/>
      <c r="E195" s="199"/>
      <c r="F195" s="212"/>
      <c r="G195" s="200"/>
    </row>
    <row r="196" spans="1:7" ht="20.100000000000001" customHeight="1">
      <c r="A196" s="711" t="s">
        <v>482</v>
      </c>
      <c r="B196" s="574"/>
      <c r="C196" s="574"/>
      <c r="D196" s="574"/>
      <c r="E196" s="574"/>
      <c r="F196" s="697"/>
      <c r="G196" s="712"/>
    </row>
    <row r="197" spans="1:7" ht="20.100000000000001" customHeight="1">
      <c r="A197" s="478"/>
      <c r="B197" s="176"/>
      <c r="C197" s="176"/>
      <c r="D197" s="176"/>
      <c r="E197" s="176"/>
      <c r="F197" s="180"/>
      <c r="G197" s="197"/>
    </row>
    <row r="198" spans="1:7" ht="20.100000000000001" customHeight="1">
      <c r="A198" s="478" t="s">
        <v>483</v>
      </c>
      <c r="B198" s="176"/>
      <c r="C198" s="176"/>
      <c r="D198" s="176"/>
      <c r="E198" s="176"/>
      <c r="F198" s="180" t="s">
        <v>484</v>
      </c>
      <c r="G198" s="434">
        <v>524424</v>
      </c>
    </row>
    <row r="199" spans="1:7" ht="20.100000000000001" customHeight="1">
      <c r="A199" s="478" t="s">
        <v>485</v>
      </c>
      <c r="B199" s="176"/>
      <c r="C199" s="176"/>
      <c r="D199" s="176"/>
      <c r="E199" s="176"/>
      <c r="F199" s="180" t="s">
        <v>486</v>
      </c>
      <c r="G199" s="434">
        <v>140043</v>
      </c>
    </row>
    <row r="200" spans="1:7" ht="20.100000000000001" customHeight="1">
      <c r="A200" s="478" t="s">
        <v>487</v>
      </c>
      <c r="B200" s="176"/>
      <c r="C200" s="176"/>
      <c r="D200" s="176"/>
      <c r="E200" s="176"/>
      <c r="F200" s="180" t="s">
        <v>488</v>
      </c>
      <c r="G200" s="434">
        <v>681580</v>
      </c>
    </row>
    <row r="201" spans="1:7" ht="20.100000000000001" customHeight="1">
      <c r="A201" s="478" t="s">
        <v>489</v>
      </c>
      <c r="B201" s="176"/>
      <c r="C201" s="176"/>
      <c r="D201" s="176"/>
      <c r="E201" s="176"/>
      <c r="F201" s="180" t="s">
        <v>490</v>
      </c>
      <c r="G201" s="434">
        <v>250165</v>
      </c>
    </row>
    <row r="202" spans="1:7" ht="20.100000000000001" customHeight="1">
      <c r="A202" s="478" t="s">
        <v>491</v>
      </c>
      <c r="B202" s="176"/>
      <c r="C202" s="176"/>
      <c r="D202" s="176"/>
      <c r="E202" s="176"/>
      <c r="F202" s="180" t="s">
        <v>492</v>
      </c>
      <c r="G202" s="434">
        <v>1038407</v>
      </c>
    </row>
    <row r="203" spans="1:7" ht="20.100000000000001" customHeight="1">
      <c r="A203" s="478" t="s">
        <v>493</v>
      </c>
      <c r="B203" s="176"/>
      <c r="C203" s="176"/>
      <c r="D203" s="176"/>
      <c r="E203" s="176"/>
      <c r="F203" s="180" t="s">
        <v>494</v>
      </c>
      <c r="G203" s="434">
        <v>118200</v>
      </c>
    </row>
    <row r="204" spans="1:7" ht="20.100000000000001" customHeight="1">
      <c r="A204" s="478" t="s">
        <v>682</v>
      </c>
      <c r="B204" s="176"/>
      <c r="C204" s="176"/>
      <c r="D204" s="176"/>
      <c r="E204" s="176"/>
      <c r="F204" s="972">
        <v>63100</v>
      </c>
      <c r="G204" s="434">
        <v>0</v>
      </c>
    </row>
    <row r="205" spans="1:7" ht="20.100000000000001" customHeight="1">
      <c r="A205" s="478" t="s">
        <v>495</v>
      </c>
      <c r="B205" s="176"/>
      <c r="C205" s="176"/>
      <c r="D205" s="176"/>
      <c r="E205" s="176"/>
      <c r="F205" s="180" t="s">
        <v>496</v>
      </c>
      <c r="G205" s="434">
        <v>2475248</v>
      </c>
    </row>
    <row r="206" spans="1:7" ht="20.100000000000001" customHeight="1">
      <c r="A206" s="478" t="s">
        <v>497</v>
      </c>
      <c r="B206" s="176"/>
      <c r="C206" s="176"/>
      <c r="D206" s="176"/>
      <c r="E206" s="176"/>
      <c r="F206" s="180" t="s">
        <v>498</v>
      </c>
      <c r="G206" s="434">
        <v>4087920</v>
      </c>
    </row>
    <row r="207" spans="1:7" ht="20.100000000000001" customHeight="1">
      <c r="A207" s="478" t="s">
        <v>499</v>
      </c>
      <c r="B207" s="176"/>
      <c r="C207" s="176"/>
      <c r="D207" s="176"/>
      <c r="E207" s="176"/>
      <c r="F207" s="180" t="s">
        <v>500</v>
      </c>
      <c r="G207" s="434">
        <v>3729766</v>
      </c>
    </row>
    <row r="208" spans="1:7" ht="20.100000000000001" customHeight="1">
      <c r="A208" s="478" t="s">
        <v>678</v>
      </c>
      <c r="B208" s="176"/>
      <c r="C208" s="176"/>
      <c r="D208" s="176"/>
      <c r="E208" s="176"/>
      <c r="F208" s="180" t="s">
        <v>501</v>
      </c>
      <c r="G208" s="434">
        <v>0</v>
      </c>
    </row>
    <row r="209" spans="1:9" ht="20.100000000000001" customHeight="1">
      <c r="A209" s="478" t="s">
        <v>502</v>
      </c>
      <c r="B209" s="176"/>
      <c r="C209" s="176"/>
      <c r="D209" s="176"/>
      <c r="E209" s="176"/>
      <c r="F209" s="180" t="s">
        <v>503</v>
      </c>
      <c r="G209" s="434">
        <v>0</v>
      </c>
    </row>
    <row r="210" spans="1:9" ht="20.100000000000001" customHeight="1">
      <c r="A210" s="478" t="s">
        <v>504</v>
      </c>
      <c r="B210" s="176"/>
      <c r="C210" s="176"/>
      <c r="D210" s="176"/>
      <c r="E210" s="176"/>
      <c r="F210" s="180" t="s">
        <v>505</v>
      </c>
      <c r="G210" s="434">
        <v>797312</v>
      </c>
    </row>
    <row r="211" spans="1:9" ht="20.100000000000001" customHeight="1">
      <c r="A211" s="478" t="s">
        <v>506</v>
      </c>
      <c r="B211" s="176"/>
      <c r="C211" s="176"/>
      <c r="D211" s="176"/>
      <c r="E211" s="176"/>
      <c r="F211" s="180" t="s">
        <v>507</v>
      </c>
      <c r="G211" s="434">
        <v>1668868</v>
      </c>
    </row>
    <row r="212" spans="1:9" ht="20.100000000000001" customHeight="1">
      <c r="A212" s="478" t="s">
        <v>508</v>
      </c>
      <c r="F212" s="195" t="s">
        <v>509</v>
      </c>
      <c r="G212" s="434">
        <v>2780935</v>
      </c>
    </row>
    <row r="213" spans="1:9" ht="20.100000000000001" customHeight="1">
      <c r="A213" s="478" t="s">
        <v>510</v>
      </c>
      <c r="B213" s="176"/>
      <c r="C213" s="176"/>
      <c r="D213" s="176"/>
      <c r="E213" s="176"/>
      <c r="F213" s="180" t="s">
        <v>511</v>
      </c>
      <c r="G213" s="434">
        <v>488866</v>
      </c>
    </row>
    <row r="214" spans="1:9" ht="20.100000000000001" customHeight="1">
      <c r="A214" s="478" t="s">
        <v>512</v>
      </c>
      <c r="B214" s="176"/>
      <c r="C214" s="176"/>
      <c r="D214" s="176"/>
      <c r="E214" s="176"/>
      <c r="F214" s="180" t="s">
        <v>513</v>
      </c>
      <c r="G214" s="434">
        <v>527050</v>
      </c>
    </row>
    <row r="215" spans="1:9" ht="20.100000000000001" customHeight="1">
      <c r="A215" s="478" t="s">
        <v>514</v>
      </c>
      <c r="B215" s="176"/>
      <c r="C215" s="176"/>
      <c r="D215" s="176"/>
      <c r="E215" s="176"/>
      <c r="F215" s="180" t="s">
        <v>515</v>
      </c>
      <c r="G215" s="434">
        <v>156989</v>
      </c>
    </row>
    <row r="216" spans="1:9" ht="20.100000000000001" customHeight="1">
      <c r="A216" s="478" t="s">
        <v>516</v>
      </c>
      <c r="B216" s="176"/>
      <c r="C216" s="176"/>
      <c r="D216" s="176"/>
      <c r="E216" s="176"/>
      <c r="F216" s="193" t="s">
        <v>517</v>
      </c>
      <c r="G216" s="434">
        <v>57316</v>
      </c>
    </row>
    <row r="217" spans="1:9" ht="20.100000000000001" customHeight="1">
      <c r="A217" s="478" t="s">
        <v>518</v>
      </c>
      <c r="B217" s="176"/>
      <c r="C217" s="176"/>
      <c r="D217" s="176"/>
      <c r="E217" s="176"/>
      <c r="F217" s="180" t="s">
        <v>519</v>
      </c>
      <c r="G217" s="434">
        <v>0</v>
      </c>
    </row>
    <row r="218" spans="1:9" ht="20.100000000000001" customHeight="1">
      <c r="A218" s="478" t="s">
        <v>520</v>
      </c>
      <c r="B218" s="176"/>
      <c r="C218" s="176"/>
      <c r="D218" s="176"/>
      <c r="E218" s="176"/>
      <c r="F218" s="180" t="s">
        <v>521</v>
      </c>
      <c r="G218" s="434">
        <v>0</v>
      </c>
    </row>
    <row r="219" spans="1:9" ht="20.100000000000001" customHeight="1">
      <c r="A219" s="478" t="s">
        <v>522</v>
      </c>
      <c r="B219" s="176"/>
      <c r="C219" s="176"/>
      <c r="D219" s="176"/>
      <c r="E219" s="176"/>
      <c r="F219" s="180" t="s">
        <v>523</v>
      </c>
      <c r="G219" s="434">
        <v>814500</v>
      </c>
    </row>
    <row r="220" spans="1:9" ht="20.100000000000001" customHeight="1">
      <c r="A220" s="478" t="s">
        <v>524</v>
      </c>
      <c r="B220" s="176"/>
      <c r="C220" s="176"/>
      <c r="D220" s="176"/>
      <c r="E220" s="176"/>
      <c r="F220" s="180" t="s">
        <v>525</v>
      </c>
      <c r="G220" s="434">
        <v>20800</v>
      </c>
    </row>
    <row r="221" spans="1:9" ht="20.100000000000001" customHeight="1">
      <c r="A221" s="478" t="s">
        <v>526</v>
      </c>
      <c r="B221" s="176"/>
      <c r="C221" s="176"/>
      <c r="D221" s="176"/>
      <c r="E221" s="176"/>
      <c r="F221" s="180" t="s">
        <v>527</v>
      </c>
      <c r="G221" s="434">
        <v>0</v>
      </c>
    </row>
    <row r="222" spans="1:9" ht="20.100000000000001" customHeight="1">
      <c r="A222" s="489" t="s">
        <v>691</v>
      </c>
      <c r="B222" s="176"/>
      <c r="C222" s="176"/>
      <c r="D222" s="201"/>
      <c r="E222" s="176"/>
      <c r="F222" s="1059">
        <v>69100</v>
      </c>
      <c r="G222" s="434">
        <v>0</v>
      </c>
    </row>
    <row r="223" spans="1:9" ht="20.100000000000001" customHeight="1">
      <c r="A223" s="489" t="s">
        <v>692</v>
      </c>
      <c r="B223" s="202"/>
      <c r="C223" s="202"/>
      <c r="D223" s="203"/>
      <c r="E223" s="202"/>
      <c r="F223" s="1058">
        <v>69200</v>
      </c>
      <c r="G223" s="434">
        <v>0</v>
      </c>
    </row>
    <row r="224" spans="1:9" ht="20.100000000000001" customHeight="1">
      <c r="A224" s="478" t="s">
        <v>528</v>
      </c>
      <c r="B224" s="176"/>
      <c r="C224" s="176"/>
      <c r="D224" s="176"/>
      <c r="E224" s="176"/>
      <c r="F224" s="180" t="s">
        <v>529</v>
      </c>
      <c r="G224" s="434">
        <v>563902</v>
      </c>
      <c r="I224" s="204"/>
    </row>
    <row r="225" spans="1:7" ht="20.100000000000001" customHeight="1">
      <c r="A225" s="478" t="s">
        <v>530</v>
      </c>
      <c r="B225" s="176"/>
      <c r="C225" s="176"/>
      <c r="D225" s="176"/>
      <c r="E225" s="176"/>
      <c r="F225" s="180" t="s">
        <v>531</v>
      </c>
      <c r="G225" s="434">
        <v>0</v>
      </c>
    </row>
    <row r="226" spans="1:7" ht="20.100000000000001" customHeight="1">
      <c r="A226" s="478" t="s">
        <v>532</v>
      </c>
      <c r="B226" s="176"/>
      <c r="C226" s="176"/>
      <c r="D226" s="176"/>
      <c r="E226" s="176"/>
      <c r="F226" s="180" t="s">
        <v>533</v>
      </c>
      <c r="G226" s="1041">
        <v>2638450</v>
      </c>
    </row>
    <row r="227" spans="1:7" ht="20.100000000000001" customHeight="1">
      <c r="A227" s="478"/>
      <c r="B227" s="176"/>
      <c r="C227" s="176"/>
      <c r="D227" s="176"/>
      <c r="E227" s="176"/>
      <c r="F227" s="180"/>
      <c r="G227" s="205"/>
    </row>
    <row r="228" spans="1:7" ht="20.100000000000001" customHeight="1">
      <c r="A228" s="708" t="s">
        <v>534</v>
      </c>
      <c r="B228" s="545"/>
      <c r="C228" s="545"/>
      <c r="D228" s="545"/>
      <c r="E228" s="545"/>
      <c r="F228" s="546"/>
      <c r="G228" s="595">
        <f>SUM(G198:G226)</f>
        <v>23560741</v>
      </c>
    </row>
    <row r="229" spans="1:7" ht="20.100000000000001" customHeight="1">
      <c r="A229" s="488"/>
      <c r="B229" s="199"/>
      <c r="C229" s="199"/>
      <c r="D229" s="199"/>
      <c r="E229" s="199"/>
      <c r="F229" s="550"/>
      <c r="G229" s="551"/>
    </row>
    <row r="230" spans="1:7" ht="20.100000000000001" customHeight="1">
      <c r="A230" s="823" t="s">
        <v>156</v>
      </c>
      <c r="B230" s="824"/>
      <c r="C230" s="824"/>
      <c r="D230" s="824"/>
      <c r="E230" s="824"/>
      <c r="F230" s="825"/>
      <c r="G230" s="713"/>
    </row>
    <row r="231" spans="1:7" ht="20.100000000000001" customHeight="1">
      <c r="A231" s="478"/>
      <c r="B231" s="176"/>
      <c r="C231" s="176"/>
      <c r="D231" s="176"/>
      <c r="E231" s="176"/>
      <c r="F231" s="180"/>
      <c r="G231" s="205"/>
    </row>
    <row r="232" spans="1:7" ht="20.100000000000001" customHeight="1">
      <c r="A232" s="478" t="s">
        <v>535</v>
      </c>
      <c r="B232" s="176"/>
      <c r="C232" s="176"/>
      <c r="D232" s="176"/>
      <c r="E232" s="176"/>
      <c r="F232" s="180" t="s">
        <v>536</v>
      </c>
      <c r="G232" s="434">
        <v>1181436</v>
      </c>
    </row>
    <row r="233" spans="1:7" ht="20.100000000000001" customHeight="1">
      <c r="A233" s="478" t="s">
        <v>537</v>
      </c>
      <c r="B233" s="176"/>
      <c r="C233" s="176"/>
      <c r="D233" s="176"/>
      <c r="E233" s="176"/>
      <c r="F233" s="180" t="s">
        <v>538</v>
      </c>
      <c r="G233" s="434">
        <v>0</v>
      </c>
    </row>
    <row r="234" spans="1:7" ht="20.100000000000001" customHeight="1">
      <c r="A234" s="478" t="s">
        <v>539</v>
      </c>
      <c r="B234" s="176"/>
      <c r="C234" s="176"/>
      <c r="D234" s="176"/>
      <c r="E234" s="176"/>
      <c r="F234" s="180" t="s">
        <v>540</v>
      </c>
      <c r="G234" s="434">
        <v>0</v>
      </c>
    </row>
    <row r="235" spans="1:7" ht="20.100000000000001" customHeight="1">
      <c r="A235" s="478" t="s">
        <v>541</v>
      </c>
      <c r="B235" s="176"/>
      <c r="C235" s="176"/>
      <c r="D235" s="176"/>
      <c r="E235" s="176"/>
      <c r="F235" s="1015" t="s">
        <v>542</v>
      </c>
      <c r="G235" s="434">
        <v>0</v>
      </c>
    </row>
    <row r="236" spans="1:7" ht="20.100000000000001" customHeight="1">
      <c r="A236" s="478" t="s">
        <v>770</v>
      </c>
      <c r="B236" s="176"/>
      <c r="C236" s="176"/>
      <c r="D236" s="176"/>
      <c r="E236" s="176"/>
      <c r="F236" s="195">
        <v>73001</v>
      </c>
      <c r="G236" s="434">
        <v>0</v>
      </c>
    </row>
    <row r="237" spans="1:7" ht="20.100000000000001" customHeight="1">
      <c r="A237" s="478" t="s">
        <v>684</v>
      </c>
      <c r="B237" s="176"/>
      <c r="C237" s="176"/>
      <c r="D237" s="176"/>
      <c r="E237" s="176"/>
      <c r="F237" s="195">
        <v>73002</v>
      </c>
      <c r="G237" s="434">
        <v>0</v>
      </c>
    </row>
    <row r="238" spans="1:7" ht="20.100000000000001" customHeight="1">
      <c r="A238" s="478" t="s">
        <v>543</v>
      </c>
      <c r="B238" s="176"/>
      <c r="C238" s="176"/>
      <c r="D238" s="176"/>
      <c r="E238" s="176"/>
      <c r="F238" s="195">
        <v>73050</v>
      </c>
      <c r="G238" s="434">
        <v>0</v>
      </c>
    </row>
    <row r="239" spans="1:7" ht="20.100000000000001" customHeight="1">
      <c r="A239" s="478" t="s">
        <v>771</v>
      </c>
      <c r="B239" s="176"/>
      <c r="C239" s="176"/>
      <c r="D239" s="176"/>
      <c r="E239" s="176"/>
      <c r="F239" s="195">
        <v>73100</v>
      </c>
      <c r="G239" s="434">
        <v>173795</v>
      </c>
    </row>
    <row r="240" spans="1:7" ht="20.100000000000001" customHeight="1">
      <c r="A240" s="478" t="s">
        <v>544</v>
      </c>
      <c r="B240" s="176"/>
      <c r="C240" s="176"/>
      <c r="D240" s="176"/>
      <c r="E240" s="176"/>
      <c r="F240" s="180" t="s">
        <v>545</v>
      </c>
      <c r="G240" s="434">
        <v>0</v>
      </c>
    </row>
    <row r="241" spans="1:7" ht="20.100000000000001" customHeight="1">
      <c r="A241" s="478" t="s">
        <v>546</v>
      </c>
      <c r="B241" s="176"/>
      <c r="C241" s="176"/>
      <c r="D241" s="176"/>
      <c r="E241" s="176"/>
      <c r="F241" s="180" t="s">
        <v>547</v>
      </c>
      <c r="G241" s="434">
        <v>0</v>
      </c>
    </row>
    <row r="242" spans="1:7" ht="20.100000000000001" customHeight="1">
      <c r="A242" s="478" t="s">
        <v>548</v>
      </c>
      <c r="B242" s="176"/>
      <c r="C242" s="176"/>
      <c r="D242" s="176"/>
      <c r="E242" s="176"/>
      <c r="F242" s="180" t="s">
        <v>549</v>
      </c>
      <c r="G242" s="434">
        <v>0</v>
      </c>
    </row>
    <row r="243" spans="1:7" ht="20.100000000000001" customHeight="1">
      <c r="A243" s="478" t="s">
        <v>550</v>
      </c>
      <c r="B243" s="176"/>
      <c r="C243" s="176"/>
      <c r="D243" s="176"/>
      <c r="E243" s="176"/>
      <c r="F243" s="180" t="s">
        <v>551</v>
      </c>
      <c r="G243" s="434">
        <v>0</v>
      </c>
    </row>
    <row r="244" spans="1:7" ht="20.100000000000001" customHeight="1">
      <c r="A244" s="478" t="s">
        <v>552</v>
      </c>
      <c r="B244" s="176"/>
      <c r="C244" s="176"/>
      <c r="D244" s="176"/>
      <c r="E244" s="176"/>
      <c r="F244" s="180" t="s">
        <v>553</v>
      </c>
      <c r="G244" s="434">
        <v>0</v>
      </c>
    </row>
    <row r="245" spans="1:7" ht="20.100000000000001" customHeight="1">
      <c r="A245" s="478"/>
      <c r="B245" s="176"/>
      <c r="C245" s="176"/>
      <c r="D245" s="176"/>
      <c r="E245" s="176"/>
      <c r="F245" s="180"/>
      <c r="G245" s="714"/>
    </row>
    <row r="246" spans="1:7" ht="20.100000000000001" customHeight="1">
      <c r="A246" s="708" t="s">
        <v>554</v>
      </c>
      <c r="B246" s="545"/>
      <c r="C246" s="545"/>
      <c r="D246" s="545"/>
      <c r="E246" s="545"/>
      <c r="F246" s="546"/>
      <c r="G246" s="595">
        <f>SUM(G232:G244)</f>
        <v>1355231</v>
      </c>
    </row>
    <row r="247" spans="1:7" ht="20.100000000000001" customHeight="1">
      <c r="A247" s="488"/>
      <c r="B247" s="199"/>
      <c r="C247" s="199"/>
      <c r="D247" s="199"/>
      <c r="E247" s="199"/>
      <c r="F247" s="199"/>
      <c r="G247" s="552"/>
    </row>
    <row r="248" spans="1:7" ht="20.100000000000001" customHeight="1" thickBot="1">
      <c r="A248" s="501" t="s">
        <v>555</v>
      </c>
      <c r="B248" s="502"/>
      <c r="C248" s="502"/>
      <c r="D248" s="502"/>
      <c r="E248" s="502"/>
      <c r="F248" s="503"/>
      <c r="G248" s="504">
        <f>SUM(G194+G228+G246)</f>
        <v>107163671</v>
      </c>
    </row>
    <row r="249" spans="1:7" ht="20.100000000000001" customHeight="1" thickTop="1">
      <c r="A249" s="715"/>
      <c r="B249" s="716"/>
      <c r="C249" s="716"/>
      <c r="D249" s="716"/>
      <c r="E249" s="716"/>
      <c r="F249" s="717"/>
      <c r="G249" s="718"/>
    </row>
    <row r="250" spans="1:7" ht="20.100000000000001" customHeight="1">
      <c r="A250" s="832"/>
      <c r="B250" s="833"/>
      <c r="C250" s="833"/>
      <c r="D250" s="833"/>
      <c r="E250" s="833"/>
      <c r="F250" s="834"/>
      <c r="G250" s="719"/>
    </row>
    <row r="251" spans="1:7" ht="20.100000000000001" customHeight="1">
      <c r="A251" s="478"/>
      <c r="B251" s="176"/>
      <c r="C251" s="176"/>
      <c r="D251" s="176"/>
      <c r="E251" s="176"/>
      <c r="F251" s="180"/>
      <c r="G251" s="205"/>
    </row>
    <row r="252" spans="1:7" ht="20.100000000000001" customHeight="1">
      <c r="A252" s="478" t="s">
        <v>556</v>
      </c>
      <c r="B252" s="176"/>
      <c r="C252" s="176"/>
      <c r="D252" s="176"/>
      <c r="E252" s="176"/>
      <c r="F252" s="189">
        <v>30100</v>
      </c>
      <c r="G252" s="434">
        <v>743411</v>
      </c>
    </row>
    <row r="253" spans="1:7" ht="20.100000000000001" customHeight="1">
      <c r="A253" s="478" t="s">
        <v>557</v>
      </c>
      <c r="B253" s="176"/>
      <c r="C253" s="176"/>
      <c r="D253" s="176"/>
      <c r="E253" s="176"/>
      <c r="F253" s="189">
        <v>30200</v>
      </c>
      <c r="G253" s="434">
        <v>0</v>
      </c>
    </row>
    <row r="254" spans="1:7" ht="20.100000000000001" customHeight="1">
      <c r="A254" s="478" t="s">
        <v>558</v>
      </c>
      <c r="B254" s="176"/>
      <c r="C254" s="176"/>
      <c r="D254" s="176"/>
      <c r="E254" s="176"/>
      <c r="F254" s="189">
        <v>30300</v>
      </c>
      <c r="G254" s="434">
        <v>0</v>
      </c>
    </row>
    <row r="255" spans="1:7" ht="20.100000000000001" customHeight="1">
      <c r="A255" s="478" t="s">
        <v>559</v>
      </c>
      <c r="B255" s="176"/>
      <c r="C255" s="176"/>
      <c r="D255" s="176"/>
      <c r="E255" s="176"/>
      <c r="F255" s="189">
        <v>30400</v>
      </c>
      <c r="G255" s="434">
        <v>1287227.9999999995</v>
      </c>
    </row>
    <row r="256" spans="1:7" ht="20.100000000000001" customHeight="1">
      <c r="A256" s="478" t="s">
        <v>560</v>
      </c>
      <c r="B256" s="176"/>
      <c r="C256" s="176"/>
      <c r="D256" s="176"/>
      <c r="E256" s="176"/>
      <c r="F256" s="189">
        <v>30500</v>
      </c>
      <c r="G256" s="434">
        <v>0</v>
      </c>
    </row>
    <row r="257" spans="1:12" ht="20.100000000000001" customHeight="1">
      <c r="A257" s="478" t="s">
        <v>561</v>
      </c>
      <c r="B257" s="176"/>
      <c r="C257" s="176"/>
      <c r="D257" s="176"/>
      <c r="E257" s="176"/>
      <c r="F257" s="189">
        <v>30600</v>
      </c>
      <c r="G257" s="434">
        <v>0</v>
      </c>
    </row>
    <row r="258" spans="1:12" ht="20.100000000000001" customHeight="1">
      <c r="A258" s="478" t="s">
        <v>562</v>
      </c>
      <c r="B258" s="176"/>
      <c r="C258" s="176"/>
      <c r="D258" s="176"/>
      <c r="E258" s="176"/>
      <c r="F258" s="189">
        <v>30700</v>
      </c>
      <c r="G258" s="434">
        <v>0</v>
      </c>
    </row>
    <row r="259" spans="1:12" ht="20.100000000000001" customHeight="1">
      <c r="A259" s="478" t="s">
        <v>563</v>
      </c>
      <c r="B259" s="176"/>
      <c r="C259" s="176"/>
      <c r="D259" s="176"/>
      <c r="E259" s="176"/>
      <c r="F259" s="189">
        <v>30900</v>
      </c>
      <c r="G259" s="434">
        <v>1656215</v>
      </c>
    </row>
    <row r="260" spans="1:12" ht="20.100000000000001" customHeight="1">
      <c r="A260" s="478" t="s">
        <v>564</v>
      </c>
      <c r="B260" s="176"/>
      <c r="C260" s="176"/>
      <c r="D260" s="176"/>
      <c r="E260" s="176"/>
      <c r="F260" s="189">
        <v>31100</v>
      </c>
      <c r="G260" s="582">
        <v>21613252</v>
      </c>
    </row>
    <row r="261" spans="1:12" ht="20.100000000000001" customHeight="1">
      <c r="A261" s="478"/>
      <c r="B261" s="176"/>
      <c r="C261" s="176"/>
      <c r="D261" s="176"/>
      <c r="E261" s="176"/>
      <c r="F261" s="189"/>
      <c r="G261" s="720"/>
    </row>
    <row r="262" spans="1:12" ht="20.100000000000001" customHeight="1">
      <c r="A262" s="479" t="s">
        <v>565</v>
      </c>
      <c r="B262" s="176"/>
      <c r="C262" s="176"/>
      <c r="D262" s="176"/>
      <c r="E262" s="176"/>
      <c r="F262" s="189"/>
      <c r="G262" s="721">
        <f>SUM(G252:G260)</f>
        <v>25300106</v>
      </c>
    </row>
    <row r="263" spans="1:12" ht="20.100000000000001" customHeight="1">
      <c r="A263" s="479"/>
      <c r="B263" s="176"/>
      <c r="C263" s="176"/>
      <c r="D263" s="176"/>
      <c r="E263" s="176"/>
      <c r="F263" s="189"/>
      <c r="G263" s="205"/>
    </row>
    <row r="264" spans="1:12" ht="20.100000000000001" customHeight="1" thickBot="1">
      <c r="A264" s="490" t="s">
        <v>761</v>
      </c>
      <c r="F264" s="195">
        <v>30800</v>
      </c>
      <c r="G264" s="1156">
        <v>-52058318</v>
      </c>
      <c r="H264" s="506"/>
    </row>
    <row r="265" spans="1:12" ht="20.100000000000001" customHeight="1">
      <c r="A265" s="486"/>
      <c r="F265" s="195"/>
      <c r="G265" s="205"/>
    </row>
    <row r="266" spans="1:12" ht="20.100000000000001" customHeight="1">
      <c r="A266" s="491" t="s">
        <v>566</v>
      </c>
      <c r="B266" s="492"/>
      <c r="C266" s="492"/>
      <c r="D266" s="492"/>
      <c r="E266" s="492"/>
      <c r="F266" s="493"/>
      <c r="G266" s="494">
        <f>G262+G264</f>
        <v>-26758212</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2:H245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schemas.openxmlformats.org/package/2006/metadata/core-properties"/>
    <ds:schemaRef ds:uri="http://schemas.microsoft.com/office/2006/metadata/properties"/>
    <ds:schemaRef ds:uri="http://purl.org/dc/terms/"/>
    <ds:schemaRef ds:uri="http://schemas.microsoft.com/office/2006/documentManagement/types"/>
    <ds:schemaRef ds:uri="http://schemas.microsoft.com/office/infopath/2007/PartnerControls"/>
    <ds:schemaRef ds:uri="http://purl.org/dc/elements/1.1/"/>
    <ds:schemaRef ds:uri="http://www.w3.org/XML/1998/namespace"/>
    <ds:schemaRef ds:uri="ee822479-6e51-4d14-b6b0-2c589e913e66"/>
    <ds:schemaRef ds:uri="http://purl.org/dc/dcmitype/"/>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2025-06-17T18:50:21Z</cp:lastPrinted>
  <dcterms:created xsi:type="dcterms:W3CDTF">2005-03-22T15:46:43Z</dcterms:created>
  <dcterms:modified xsi:type="dcterms:W3CDTF">2025-08-06T14:49:31Z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