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79DA5C2C-5172-4B9F-BCE3-44CDC4A8DC83}" xr6:coauthVersionLast="47" xr6:coauthVersionMax="47" xr10:uidLastSave="{00000000-0000-0000-0000-000000000000}"/>
  <workbookProtection workbookAlgorithmName="SHA-512" workbookHashValue="86h2fP+kVNsVVS0sq/N710SzZffQKKqi+0QiIigCkgC02xrCSQS3DeGjy2zNEqU6Xf7P5WtvG4yS28NuvpUE3Q==" workbookSaltValue="dlGz06Nd/UqstqaST+rqUg=="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c r="D54" i="23"/>
  <c r="E53" i="23"/>
  <c r="E52" i="23"/>
  <c r="E48" i="23"/>
  <c r="E46" i="23"/>
  <c r="E47" i="23"/>
  <c r="E25" i="6"/>
  <c r="F25" i="6"/>
  <c r="G27" i="7"/>
  <c r="D109" i="23"/>
  <c r="G109" i="23"/>
  <c r="J109" i="23"/>
  <c r="M109" i="23"/>
  <c r="P109" i="23"/>
  <c r="S109" i="23"/>
  <c r="V109" i="23"/>
  <c r="T109"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c r="D16" i="23"/>
  <c r="D15" i="23"/>
  <c r="D14" i="23"/>
  <c r="D13" i="23"/>
  <c r="D12" i="23"/>
  <c r="D11" i="23"/>
  <c r="D10" i="23"/>
  <c r="D9" i="23"/>
  <c r="D8" i="23"/>
  <c r="D35" i="23"/>
  <c r="D7" i="23"/>
  <c r="D17" i="23"/>
  <c r="D18" i="23"/>
  <c r="D19" i="23"/>
  <c r="D20" i="23"/>
  <c r="D21" i="23"/>
  <c r="D22" i="23"/>
  <c r="D23" i="23"/>
  <c r="D24" i="23"/>
  <c r="D25" i="23"/>
  <c r="D26" i="23"/>
  <c r="D27" i="23"/>
  <c r="D28" i="23"/>
  <c r="D29" i="23"/>
  <c r="D30" i="23"/>
  <c r="D31" i="23"/>
  <c r="D32" i="23"/>
  <c r="D33" i="23"/>
  <c r="D34" i="23"/>
  <c r="E51" i="23"/>
  <c r="B35" i="23"/>
  <c r="D87" i="3"/>
  <c r="E87" i="3"/>
  <c r="F87" i="3"/>
  <c r="B213" i="23"/>
  <c r="D85" i="3"/>
  <c r="B178" i="23"/>
  <c r="E11" i="8"/>
  <c r="C54" i="23"/>
  <c r="E44" i="23"/>
  <c r="E45" i="23"/>
  <c r="E49" i="23"/>
  <c r="E50" i="23"/>
  <c r="F105" i="15"/>
  <c r="F103" i="15"/>
  <c r="F102" i="15"/>
  <c r="F13" i="6"/>
  <c r="AG109" i="23"/>
  <c r="AB109" i="23"/>
  <c r="Z109" i="23"/>
  <c r="G10" i="6"/>
  <c r="G11" i="6"/>
  <c r="G12" i="6"/>
  <c r="G13" i="6"/>
  <c r="H13" i="6"/>
  <c r="G15" i="7"/>
  <c r="G14" i="6"/>
  <c r="G15" i="6"/>
  <c r="F33" i="6"/>
  <c r="G33" i="6"/>
  <c r="F34" i="6"/>
  <c r="G34" i="6"/>
  <c r="H34" i="6"/>
  <c r="G32" i="7"/>
  <c r="F35" i="6"/>
  <c r="G35" i="6"/>
  <c r="F36" i="6"/>
  <c r="G36" i="6"/>
  <c r="E19" i="6"/>
  <c r="F19" i="6"/>
  <c r="E20" i="6"/>
  <c r="F20" i="6"/>
  <c r="G22" i="7"/>
  <c r="E21" i="6"/>
  <c r="F21" i="6"/>
  <c r="G23" i="7"/>
  <c r="E22" i="6"/>
  <c r="F22" i="6"/>
  <c r="G24" i="7"/>
  <c r="E23" i="6"/>
  <c r="F23" i="6"/>
  <c r="G25" i="7"/>
  <c r="E24" i="6"/>
  <c r="F24" i="6"/>
  <c r="G26" i="7"/>
  <c r="B35" i="5"/>
  <c r="H35" i="5"/>
  <c r="I35" i="5"/>
  <c r="B36" i="5"/>
  <c r="E41" i="6"/>
  <c r="F41" i="6"/>
  <c r="G39" i="7"/>
  <c r="B38" i="5"/>
  <c r="E42" i="6"/>
  <c r="F42" i="6"/>
  <c r="G40" i="7"/>
  <c r="B39" i="5"/>
  <c r="E43" i="6"/>
  <c r="F43" i="6"/>
  <c r="G41" i="7"/>
  <c r="G73" i="7"/>
  <c r="D84" i="3"/>
  <c r="G77" i="7"/>
  <c r="G97" i="7"/>
  <c r="G106" i="7"/>
  <c r="G116" i="7"/>
  <c r="G120" i="7"/>
  <c r="G129" i="7"/>
  <c r="G141" i="7"/>
  <c r="C72" i="23"/>
  <c r="D72" i="23"/>
  <c r="E72" i="23"/>
  <c r="F72" i="23"/>
  <c r="A109" i="23"/>
  <c r="AD109" i="23"/>
  <c r="A110" i="23"/>
  <c r="A111" i="23"/>
  <c r="AD111" i="23"/>
  <c r="A112" i="23"/>
  <c r="AD112" i="23"/>
  <c r="D110" i="23"/>
  <c r="G110" i="23"/>
  <c r="J110" i="23"/>
  <c r="M110" i="23"/>
  <c r="P110" i="23"/>
  <c r="S110" i="23"/>
  <c r="D111" i="23"/>
  <c r="G111" i="23"/>
  <c r="J111" i="23"/>
  <c r="M111" i="23"/>
  <c r="P111" i="23"/>
  <c r="S111" i="23"/>
  <c r="D112" i="23"/>
  <c r="G112" i="23"/>
  <c r="J112" i="23"/>
  <c r="M112" i="23"/>
  <c r="P112" i="23"/>
  <c r="S112" i="23"/>
  <c r="A113" i="23"/>
  <c r="AD113" i="23"/>
  <c r="D113" i="23"/>
  <c r="G113" i="23"/>
  <c r="J113" i="23"/>
  <c r="M113" i="23"/>
  <c r="P113" i="23"/>
  <c r="S113" i="23"/>
  <c r="A114" i="23"/>
  <c r="AD114" i="23"/>
  <c r="D114" i="23"/>
  <c r="G114" i="23"/>
  <c r="J114" i="23"/>
  <c r="M114" i="23"/>
  <c r="P114" i="23"/>
  <c r="S114" i="23"/>
  <c r="A115" i="23"/>
  <c r="AD115" i="23"/>
  <c r="D115" i="23"/>
  <c r="G115" i="23"/>
  <c r="J115" i="23"/>
  <c r="M115" i="23"/>
  <c r="P115" i="23"/>
  <c r="S115" i="23"/>
  <c r="A116" i="23"/>
  <c r="AD116" i="23"/>
  <c r="D116" i="23"/>
  <c r="G116" i="23"/>
  <c r="J116" i="23"/>
  <c r="M116" i="23"/>
  <c r="P116" i="23"/>
  <c r="S116" i="23"/>
  <c r="A117" i="23"/>
  <c r="AD117" i="23"/>
  <c r="D117" i="23"/>
  <c r="G117" i="23"/>
  <c r="J117" i="23"/>
  <c r="M117" i="23"/>
  <c r="P117" i="23"/>
  <c r="S117" i="23"/>
  <c r="A118" i="23"/>
  <c r="AD118" i="23"/>
  <c r="D118" i="23"/>
  <c r="G118" i="23"/>
  <c r="J118" i="23"/>
  <c r="M118" i="23"/>
  <c r="P118" i="23"/>
  <c r="S118" i="23"/>
  <c r="A119" i="23"/>
  <c r="AD119" i="23"/>
  <c r="D119" i="23"/>
  <c r="G119" i="23"/>
  <c r="J119" i="23"/>
  <c r="M119" i="23"/>
  <c r="P119" i="23"/>
  <c r="S119" i="23"/>
  <c r="A120" i="23"/>
  <c r="AD120" i="23"/>
  <c r="D120" i="23"/>
  <c r="G120" i="23"/>
  <c r="J120" i="23"/>
  <c r="M120" i="23"/>
  <c r="P120" i="23"/>
  <c r="S120" i="23"/>
  <c r="A121" i="23"/>
  <c r="AD121" i="23"/>
  <c r="D121" i="23"/>
  <c r="G121" i="23"/>
  <c r="J121" i="23"/>
  <c r="M121" i="23"/>
  <c r="P121" i="23"/>
  <c r="S121" i="23"/>
  <c r="A122" i="23"/>
  <c r="AD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B137" i="23"/>
  <c r="E137" i="23"/>
  <c r="F137" i="23"/>
  <c r="H137" i="23"/>
  <c r="I137" i="23"/>
  <c r="K137" i="23"/>
  <c r="L137" i="23"/>
  <c r="N137" i="23"/>
  <c r="O137" i="23"/>
  <c r="Q137" i="23"/>
  <c r="R137" i="23"/>
  <c r="E43" i="23"/>
  <c r="E54"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c r="B62" i="23"/>
  <c r="A44" i="23"/>
  <c r="A43" i="23"/>
  <c r="A61" i="23"/>
  <c r="E30" i="5"/>
  <c r="E29" i="5"/>
  <c r="AE137" i="23"/>
  <c r="A74" i="23"/>
  <c r="C60" i="15"/>
  <c r="A67" i="23"/>
  <c r="C76" i="23"/>
  <c r="D76" i="23"/>
  <c r="E76" i="23"/>
  <c r="F76" i="23"/>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C35" i="23"/>
  <c r="E85" i="3"/>
  <c r="F85" i="3"/>
  <c r="B95" i="23"/>
  <c r="C67" i="23"/>
  <c r="D67" i="23"/>
  <c r="C68" i="23"/>
  <c r="D68" i="23"/>
  <c r="E68" i="23"/>
  <c r="F68" i="23"/>
  <c r="C69" i="23"/>
  <c r="D69" i="23"/>
  <c r="E69" i="23"/>
  <c r="F69" i="23"/>
  <c r="C70" i="23"/>
  <c r="D70" i="23"/>
  <c r="E70" i="23"/>
  <c r="F70" i="23"/>
  <c r="C71" i="23"/>
  <c r="D71" i="23"/>
  <c r="E71" i="23"/>
  <c r="F71" i="23"/>
  <c r="C73" i="23"/>
  <c r="D73" i="23"/>
  <c r="E73" i="23"/>
  <c r="F73" i="23"/>
  <c r="C74" i="23"/>
  <c r="D74" i="23"/>
  <c r="E74" i="23"/>
  <c r="F74" i="23"/>
  <c r="C75" i="23"/>
  <c r="D75" i="23"/>
  <c r="E75" i="23"/>
  <c r="F75" i="23"/>
  <c r="C77" i="23"/>
  <c r="D77" i="23"/>
  <c r="E77" i="23"/>
  <c r="F77" i="23"/>
  <c r="C78" i="23"/>
  <c r="C79" i="23"/>
  <c r="D79" i="23"/>
  <c r="E79" i="23"/>
  <c r="C80" i="23"/>
  <c r="D80" i="23"/>
  <c r="E80" i="23"/>
  <c r="F80" i="23"/>
  <c r="C81" i="23"/>
  <c r="D81" i="23"/>
  <c r="E81" i="23"/>
  <c r="C82" i="23"/>
  <c r="D82" i="23"/>
  <c r="E82" i="23"/>
  <c r="F82" i="23"/>
  <c r="C83" i="23"/>
  <c r="D83" i="23"/>
  <c r="E83" i="23"/>
  <c r="C84" i="23"/>
  <c r="D84" i="23"/>
  <c r="E84" i="23"/>
  <c r="F84" i="23"/>
  <c r="C85" i="23"/>
  <c r="D85" i="23"/>
  <c r="E85" i="23"/>
  <c r="F85" i="23"/>
  <c r="C86" i="23"/>
  <c r="D86" i="23"/>
  <c r="E86" i="23"/>
  <c r="C87" i="23"/>
  <c r="D87" i="23"/>
  <c r="E87" i="23"/>
  <c r="C88" i="23"/>
  <c r="D88" i="23"/>
  <c r="E88" i="23"/>
  <c r="F88" i="23"/>
  <c r="C89" i="23"/>
  <c r="D89" i="23"/>
  <c r="E89" i="23"/>
  <c r="F89" i="23"/>
  <c r="C90" i="23"/>
  <c r="D90" i="23"/>
  <c r="E90" i="23"/>
  <c r="F90" i="23"/>
  <c r="C91" i="23"/>
  <c r="D91" i="23"/>
  <c r="E91" i="23"/>
  <c r="C92" i="23"/>
  <c r="D92" i="23"/>
  <c r="E92" i="23"/>
  <c r="F92" i="23"/>
  <c r="C93" i="23"/>
  <c r="D93" i="23"/>
  <c r="E93" i="23"/>
  <c r="C94" i="23"/>
  <c r="D94" i="23"/>
  <c r="E94" i="23"/>
  <c r="C95" i="15"/>
  <c r="B1" i="15"/>
  <c r="B2" i="7"/>
  <c r="B7" i="12"/>
  <c r="B5" i="6"/>
  <c r="D8" i="5"/>
  <c r="C8" i="4"/>
  <c r="AF137" i="23"/>
  <c r="AA137" i="23"/>
  <c r="W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AG116" i="23"/>
  <c r="AB116" i="23"/>
  <c r="Z116" i="23"/>
  <c r="AG115" i="23"/>
  <c r="AB115" i="23"/>
  <c r="Z115" i="23"/>
  <c r="AG114" i="23"/>
  <c r="AB114" i="23"/>
  <c r="Z114" i="23"/>
  <c r="AG113" i="23"/>
  <c r="AB113" i="23"/>
  <c r="Z113" i="23"/>
  <c r="AG112" i="23"/>
  <c r="AB112" i="23"/>
  <c r="Z112" i="23"/>
  <c r="AG111" i="23"/>
  <c r="AB111" i="23"/>
  <c r="Z111" i="23"/>
  <c r="AG110" i="23"/>
  <c r="AB110" i="23"/>
  <c r="Z110" i="23"/>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c r="E70" i="22"/>
  <c r="D65" i="22"/>
  <c r="D67" i="22"/>
  <c r="D59" i="22"/>
  <c r="D60" i="22"/>
  <c r="B52" i="22"/>
  <c r="E33" i="22"/>
  <c r="E34" i="22"/>
  <c r="D33" i="22"/>
  <c r="D34" i="22"/>
  <c r="D26" i="22"/>
  <c r="D38" i="22"/>
  <c r="C38" i="22"/>
  <c r="E15" i="22"/>
  <c r="D15" i="22"/>
  <c r="B46" i="22"/>
  <c r="E26" i="22"/>
  <c r="E59" i="22"/>
  <c r="E61" i="22"/>
  <c r="E38" i="22"/>
  <c r="B29" i="5"/>
  <c r="H14" i="5"/>
  <c r="G246" i="7"/>
  <c r="E15" i="8"/>
  <c r="E37" i="6"/>
  <c r="D37" i="6"/>
  <c r="D44" i="6"/>
  <c r="E17" i="6"/>
  <c r="G20" i="5"/>
  <c r="H20" i="5"/>
  <c r="G19" i="5"/>
  <c r="H19" i="5"/>
  <c r="G22" i="5"/>
  <c r="H22" i="5"/>
  <c r="G23" i="5"/>
  <c r="H23" i="5"/>
  <c r="E20" i="12"/>
  <c r="E31" i="12"/>
  <c r="G194" i="7"/>
  <c r="D21" i="8"/>
  <c r="E59" i="3"/>
  <c r="C95" i="12"/>
  <c r="B31" i="5"/>
  <c r="H31" i="5"/>
  <c r="I31" i="5"/>
  <c r="B30" i="5"/>
  <c r="G16" i="5"/>
  <c r="H16" i="5"/>
  <c r="G15" i="5"/>
  <c r="H15" i="5"/>
  <c r="D96" i="8"/>
  <c r="C96" i="8"/>
  <c r="B70" i="6"/>
  <c r="C75" i="3"/>
  <c r="E60" i="3"/>
  <c r="E61" i="3"/>
  <c r="E62" i="3"/>
  <c r="E63" i="3"/>
  <c r="E64" i="3"/>
  <c r="B21" i="8"/>
  <c r="C21" i="8"/>
  <c r="E10" i="8"/>
  <c r="E12" i="8"/>
  <c r="E16" i="8"/>
  <c r="E17" i="8"/>
  <c r="E18" i="8"/>
  <c r="E19" i="8"/>
  <c r="E20" i="8"/>
  <c r="E36" i="4"/>
  <c r="C109" i="3"/>
  <c r="D33" i="4"/>
  <c r="B61" i="6"/>
  <c r="C78" i="3"/>
  <c r="E16" i="4"/>
  <c r="E67" i="22"/>
  <c r="E14" i="8"/>
  <c r="G228" i="7"/>
  <c r="X137" i="23"/>
  <c r="E60" i="22"/>
  <c r="H36" i="6"/>
  <c r="G34" i="7"/>
  <c r="E62" i="22"/>
  <c r="D17" i="6"/>
  <c r="F12" i="6"/>
  <c r="F11" i="6"/>
  <c r="E45" i="3"/>
  <c r="F14" i="6"/>
  <c r="F15" i="6"/>
  <c r="E49" i="3"/>
  <c r="F10" i="6"/>
  <c r="E44" i="3"/>
  <c r="E47" i="3"/>
  <c r="C93" i="3"/>
  <c r="H11" i="6"/>
  <c r="G13" i="7"/>
  <c r="H30" i="5"/>
  <c r="I30" i="5"/>
  <c r="H36" i="5"/>
  <c r="I36" i="5"/>
  <c r="G21" i="7"/>
  <c r="G29" i="7"/>
  <c r="F27" i="6"/>
  <c r="H38" i="5"/>
  <c r="I38" i="5"/>
  <c r="H39" i="5"/>
  <c r="I39" i="5"/>
  <c r="H15" i="6"/>
  <c r="G17" i="7"/>
  <c r="F37" i="6"/>
  <c r="H14" i="6"/>
  <c r="G16" i="7"/>
  <c r="C74" i="3"/>
  <c r="H35" i="6"/>
  <c r="G33" i="7"/>
  <c r="E40" i="6"/>
  <c r="F40" i="6"/>
  <c r="F44" i="6"/>
  <c r="H33" i="6"/>
  <c r="G31" i="7"/>
  <c r="H12" i="6"/>
  <c r="G14" i="7"/>
  <c r="E46" i="3"/>
  <c r="D66" i="22"/>
  <c r="C95" i="3"/>
  <c r="E48" i="3"/>
  <c r="E68" i="22"/>
  <c r="D61" i="22"/>
  <c r="H29" i="5"/>
  <c r="I29" i="5"/>
  <c r="H10" i="6"/>
  <c r="E69" i="22"/>
  <c r="D62" i="22"/>
  <c r="F17" i="6"/>
  <c r="E50" i="3"/>
  <c r="B71" i="6"/>
  <c r="E21" i="8"/>
  <c r="C77" i="3"/>
  <c r="E65" i="3"/>
  <c r="F110" i="15"/>
  <c r="G248" i="7"/>
  <c r="C94" i="3"/>
  <c r="D118" i="15"/>
  <c r="C110" i="3"/>
  <c r="C114" i="3"/>
  <c r="E112" i="15"/>
  <c r="E130" i="15"/>
  <c r="F92" i="15"/>
  <c r="D112" i="15"/>
  <c r="F56" i="15"/>
  <c r="T133" i="23"/>
  <c r="T118" i="23"/>
  <c r="T111" i="23"/>
  <c r="T135" i="23"/>
  <c r="J137" i="23"/>
  <c r="T129" i="23"/>
  <c r="T128" i="23"/>
  <c r="T134" i="23"/>
  <c r="T124" i="23"/>
  <c r="T122" i="23"/>
  <c r="T117" i="23"/>
  <c r="F86" i="23"/>
  <c r="T121" i="23"/>
  <c r="M137" i="23"/>
  <c r="G137" i="23"/>
  <c r="S137" i="23"/>
  <c r="D59" i="3"/>
  <c r="D44" i="3"/>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c r="G64" i="3"/>
  <c r="D137" i="23"/>
  <c r="P137" i="23"/>
  <c r="D60" i="3"/>
  <c r="D45" i="3"/>
  <c r="F45" i="3"/>
  <c r="G45" i="3"/>
  <c r="D63" i="3"/>
  <c r="F63" i="3"/>
  <c r="G63" i="3"/>
  <c r="D61" i="3"/>
  <c r="F61" i="3"/>
  <c r="G61" i="3"/>
  <c r="D78" i="23"/>
  <c r="E78" i="23"/>
  <c r="F78" i="23"/>
  <c r="E67" i="23"/>
  <c r="AD110" i="23"/>
  <c r="C95" i="23"/>
  <c r="F81" i="23"/>
  <c r="F79" i="23"/>
  <c r="D62" i="3"/>
  <c r="F62" i="3"/>
  <c r="G62" i="3"/>
  <c r="D49" i="3"/>
  <c r="F49" i="3"/>
  <c r="G49" i="3"/>
  <c r="F83" i="23"/>
  <c r="F91" i="23"/>
  <c r="D47" i="3"/>
  <c r="F47" i="3"/>
  <c r="G47" i="3"/>
  <c r="D46" i="3"/>
  <c r="F48" i="3"/>
  <c r="G48" i="3"/>
  <c r="F46" i="3"/>
  <c r="G46" i="3"/>
  <c r="G36" i="7"/>
  <c r="H37" i="6"/>
  <c r="H45" i="6"/>
  <c r="G38" i="7"/>
  <c r="G43" i="7"/>
  <c r="H17" i="6"/>
  <c r="H28" i="6"/>
  <c r="H47" i="6"/>
  <c r="E25" i="4"/>
  <c r="E28" i="4"/>
  <c r="D68" i="22"/>
  <c r="D69" i="22"/>
  <c r="D70" i="22"/>
  <c r="G12" i="7"/>
  <c r="G19" i="7"/>
  <c r="G45" i="7"/>
  <c r="G65" i="7"/>
  <c r="D117" i="15"/>
  <c r="D128" i="15"/>
  <c r="D130" i="15"/>
  <c r="F112" i="15"/>
  <c r="C96" i="3"/>
  <c r="C121" i="3"/>
  <c r="F118" i="15"/>
  <c r="C129" i="3"/>
  <c r="D50" i="3"/>
  <c r="F50" i="3"/>
  <c r="G50" i="3"/>
  <c r="AO109" i="23"/>
  <c r="AO112" i="23"/>
  <c r="AO115" i="23"/>
  <c r="AO116" i="23"/>
  <c r="AO118" i="23"/>
  <c r="D65" i="3"/>
  <c r="F65" i="3"/>
  <c r="G65" i="3"/>
  <c r="T137" i="23"/>
  <c r="F59" i="3"/>
  <c r="G59" i="3"/>
  <c r="F44" i="3"/>
  <c r="G44" i="3"/>
  <c r="F67" i="23"/>
  <c r="E95" i="23"/>
  <c r="F95" i="23"/>
  <c r="D95" i="23"/>
  <c r="F60" i="3"/>
  <c r="G60" i="3"/>
  <c r="C126" i="3"/>
  <c r="F117" i="15"/>
  <c r="F128" i="15"/>
  <c r="C119" i="3"/>
  <c r="C34" i="3"/>
  <c r="F130" i="15"/>
  <c r="C135" i="3"/>
  <c r="E84" i="3"/>
  <c r="F84" i="3"/>
  <c r="D88" i="3"/>
  <c r="G82" i="7"/>
  <c r="E86" i="3"/>
  <c r="F86" i="3"/>
  <c r="F88" i="3"/>
  <c r="G86" i="7"/>
  <c r="G143" i="7"/>
  <c r="E18" i="4"/>
  <c r="E21" i="4"/>
  <c r="E23" i="4"/>
  <c r="D32" i="4"/>
  <c r="E35" i="4"/>
  <c r="E38" i="4"/>
  <c r="E88" i="3"/>
  <c r="G260" i="7"/>
  <c r="G262" i="7" s="1"/>
  <c r="G266" i="7" s="1"/>
  <c r="C102" i="3" s="1"/>
  <c r="E40" i="4"/>
  <c r="E44" i="4" s="1"/>
  <c r="C17" i="3" s="1"/>
  <c r="C101" i="3" l="1"/>
  <c r="C10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<sst xmlns="http://schemas.openxmlformats.org/spreadsheetml/2006/main" count="1304" uniqueCount="789">
  <si>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</si>
  <si>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</si>
  <si>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</si>
  <si>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</si>
  <si>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</si>
  <si>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</si>
  <si>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</si>
  <si>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</si>
  <si>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</si>
  <si>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</si>
  <si>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</si>
  <si>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</si>
  <si>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</si>
  <si>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</si>
  <si>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</si>
  <si>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</si>
  <si>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</si>
  <si>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</si>
  <si>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</si>
  <si>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</si>
  <si>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</si>
  <si>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</si>
  <si>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</si>
  <si>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</si>
  <si>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</si>
  <si>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</si>
  <si>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</si>
  <si>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</si>
  <si>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</si>
  <si>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</si>
  <si>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</si>
  <si>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</si>
  <si>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</si>
  <si>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</si>
  <si>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</si>
  <si>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</si>
  <si>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</si>
  <si>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</si>
  <si>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</si>
  <si>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</si>
  <si>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</si>
  <si>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</si>
  <si>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</si>
  <si>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</si>
  <si>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</si>
  <si>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</si>
  <si>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</si>
  <si>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</si>
  <si>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</si>
  <si>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</si>
  <si>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</si>
  <si>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</si>
  <si>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</si>
  <si>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</si>
  <si>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</si>
  <si>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</si>
  <si>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</si>
  <si>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</si>
  <si>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</si>
  <si>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</si>
  <si>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</si>
  <si>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</si>
  <si>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</si>
  <si>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</si>
  <si>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</si>
  <si>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</si>
  <si>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</si>
  <si>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</si>
  <si>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</si>
  <si>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</si>
  <si>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</si>
  <si>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</si>
  <si>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</si>
  <si>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</si>
  <si>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</si>
  <si>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</si>
  <si>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</si>
  <si>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</si>
  <si>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</si>
  <si>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</si>
  <si>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</si>
  <si>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</si>
  <si>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</si>
  <si>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</si>
  <si>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</si>
  <si>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</si>
  <si>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</si>
  <si>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</si>
  <si>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</si>
  <si>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</si>
  <si>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</si>
  <si>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</si>
  <si>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</si>
  <si>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</si>
  <si>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</si>
  <si>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</si>
  <si>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</si>
  <si>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</si>
  <si>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</si>
  <si>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</si>
  <si>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</si>
  <si>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</si>
  <si>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</si>
  <si>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</si>
  <si>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</si>
  <si>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</si>
  <si>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</si>
  <si>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</si>
  <si>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</si>
  <si>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</si>
  <si>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</si>
  <si>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</si>
  <si>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</si>
  <si>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</si>
  <si>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</si>
  <si>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</si>
  <si>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</si>
  <si>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</si>
  <si>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</si>
  <si>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</si>
  <si>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</si>
  <si>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</si>
  <si>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</si>
  <si>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</si>
  <si>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</si>
  <si>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</si>
  <si>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</si>
  <si>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</si>
  <si>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</si>
  <si>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</si>
  <si>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</si>
  <si>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</si>
  <si>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</si>
  <si>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</si>
  <si>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</si>
  <si>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</si>
  <si>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</si>
  <si>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</si>
  <si>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</si>
  <si>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</si>
  <si>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</si>
  <si>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</si>
  <si>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</si>
  <si>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</si>
  <si>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</si>
  <si>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</si>
  <si>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</si>
  <si>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</si>
  <si>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</si>
  <si>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</si>
  <si>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</si>
  <si>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</si>
  <si>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</si>
  <si>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</si>
  <si>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</si>
  <si>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</si>
  <si>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</si>
  <si>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</si>
  <si>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</si>
  <si>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</si>
  <si>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</si>
  <si>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</si>
  <si>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</si>
  <si>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</si>
  <si>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</si>
  <si>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</si>
  <si>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</si>
  <si>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</si>
  <si>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</si>
  <si>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</si>
  <si>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</si>
  <si>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</si>
  <si>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</si>
  <si>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</si>
  <si>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</si>
  <si>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</si>
  <si>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</si>
  <si>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</si>
  <si>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</si>
  <si>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</si>
  <si>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</si>
  <si>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</si>
  <si>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</si>
  <si>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</si>
  <si>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</si>
  <si>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</si>
  <si>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</si>
  <si>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</si>
  <si>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</si>
  <si>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</si>
  <si>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</si>
  <si>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</si>
  <si>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</si>
  <si>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</si>
  <si>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</si>
  <si>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</si>
  <si>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</si>
  <si>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</si>
  <si>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</si>
  <si>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</si>
  <si>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</si>
  <si>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</si>
  <si>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</si>
  <si>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</si>
  <si>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</si>
  <si>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</si>
  <si>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</si>
  <si>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</si>
  <si>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</si>
  <si>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</si>
  <si>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</si>
  <si>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</si>
  <si>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</si>
  <si>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</si>
  <si>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</si>
  <si>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</si>
  <si>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</si>
  <si>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</si>
  <si>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</si>
  <si>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</si>
  <si>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</si>
  <si>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</si>
  <si>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</si>
  <si>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</si>
  <si>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</si>
  <si>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</si>
  <si>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</si>
  <si>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</si>
  <si>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</si>
  <si>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</si>
  <si>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</si>
  <si>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</si>
  <si>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</si>
  <si>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</si>
  <si>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</si>
  <si>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</si>
  <si>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</si>
  <si>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</si>
  <si>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</si>
  <si>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</si>
  <si>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</si>
  <si>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</si>
  <si>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</si>
  <si>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</si>
  <si>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</si>
  <si>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</si>
  <si>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</si>
  <si>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</si>
  <si>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</si>
  <si>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</si>
  <si>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</si>
  <si>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</si>
  <si>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</si>
  <si>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</si>
  <si>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</si>
  <si>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</si>
  <si>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</si>
  <si>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</si>
  <si>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</si>
  <si>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</si>
  <si>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</si>
  <si>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</si>
  <si>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</si>
  <si>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</si>
  <si>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</si>
  <si>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</si>
  <si>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</si>
  <si>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</si>
  <si>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</si>
  <si>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</si>
  <si>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</si>
  <si>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</si>
  <si>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</si>
  <si>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</si>
  <si>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</si>
  <si>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</si>
  <si>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</si>
  <si>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</si>
  <si>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</si>
  <si>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</si>
  <si>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</si>
  <si>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</si>
  <si>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</si>
  <si>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</si>
  <si>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</si>
  <si>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</si>
  <si>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</si>
  <si>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</si>
  <si>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</si>
  <si>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</si>
  <si>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</si>
  <si>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</si>
  <si>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</si>
  <si>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</si>
  <si>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</si>
  <si>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</si>
  <si>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</si>
  <si>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</si>
  <si>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</si>
  <si>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</si>
  <si>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</si>
  <si>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</si>
  <si>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</si>
  <si>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</si>
  <si>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</si>
  <si>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</si>
  <si>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</si>
  <si>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</si>
  <si>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</si>
  <si>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</si>
  <si>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</si>
  <si>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</si>
  <si>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</si>
  <si>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</si>
  <si>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</si>
  <si>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</si>
  <si>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</si>
  <si>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</si>
  <si>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</si>
  <si>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</si>
  <si>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</si>
  <si>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</si>
  <si>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</si>
  <si>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</si>
  <si>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</si>
  <si>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</si>
  <si>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</si>
  <si>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</si>
  <si>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</si>
  <si>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</si>
  <si>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</si>
  <si>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</si>
  <si>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</si>
  <si>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</si>
  <si>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</si>
  <si>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</si>
  <si>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</si>
  <si>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</si>
  <si>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</si>
  <si>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</si>
  <si>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</si>
  <si>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</si>
  <si>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</si>
  <si>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</si>
  <si>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</si>
  <si>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</si>
  <si>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</si>
  <si>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</si>
  <si>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</si>
  <si>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</si>
  <si>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</si>
  <si>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</si>
  <si>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</si>
  <si>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</si>
  <si>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</si>
  <si>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</si>
  <si>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</si>
  <si>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</si>
  <si>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</si>
  <si>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</si>
  <si>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</si>
  <si>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</si>
  <si>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</si>
  <si>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</si>
  <si>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</si>
  <si>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</si>
  <si>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</si>
  <si>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</si>
  <si>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</si>
  <si>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</si>
  <si>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</si>
  <si>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</si>
  <si>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</si>
  <si>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</si>
  <si>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</si>
  <si>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</si>
  <si>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</si>
  <si>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</si>
  <si>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</si>
  <si>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</si>
  <si>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</si>
  <si>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</si>
  <si>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</si>
  <si>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</si>
  <si>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</si>
  <si>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</si>
  <si>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</si>
  <si>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</si>
  <si>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</si>
  <si>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</si>
  <si>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</si>
  <si>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</si>
  <si>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</si>
  <si>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</si>
  <si>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</si>
  <si>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</si>
  <si>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</si>
  <si>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</si>
  <si>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</si>
  <si>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</si>
  <si>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</si>
  <si>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</si>
  <si>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</si>
  <si>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</si>
  <si>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</si>
  <si>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</si>
  <si>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</si>
  <si>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</si>
  <si>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</si>
  <si>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</si>
  <si>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</si>
  <si>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</si>
  <si>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</si>
  <si>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</si>
  <si>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</si>
  <si>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</si>
  <si>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</si>
  <si>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</si>
  <si>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</si>
  <si>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</si>
  <si>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</si>
  <si>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</si>
  <si>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</si>
  <si>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</si>
  <si>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</si>
  <si>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</si>
  <si>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</si>
  <si>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</si>
  <si>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</si>
  <si>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</si>
  <si>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</si>
  <si>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</si>
  <si>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</si>
  <si>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</si>
  <si>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</si>
  <si>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</si>
  <si>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</si>
  <si>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</si>
  <si>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</si>
  <si>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</si>
  <si>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</si>
  <si>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</si>
  <si>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</si>
  <si>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</si>
  <si>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</si>
  <si>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</si>
  <si>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</si>
  <si>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</si>
  <si>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</si>
  <si>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</si>
  <si>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</si>
  <si>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</si>
  <si>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</si>
  <si>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</si>
  <si>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</si>
  <si>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</si>
  <si>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</si>
  <si>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</si>
  <si>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</si>
  <si>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</si>
  <si>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</si>
  <si>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</si>
  <si>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</si>
  <si>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</si>
  <si>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</si>
  <si>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</si>
  <si>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</si>
  <si>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</si>
  <si>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</si>
  <si>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</si>
  <si>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</si>
  <si>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</si>
  <si>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</si>
  <si>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</si>
  <si>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</si>
  <si>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</si>
  <si>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</si>
  <si>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</si>
  <si>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</si>
  <si>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</si>
  <si>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</si>
  <si>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</si>
  <si>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</si>
  <si>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</si>
  <si>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</si>
  <si>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</si>
  <si>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</si>
  <si>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</si>
  <si>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</si>
  <si>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</si>
  <si>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</si>
  <si>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</si>
  <si>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</si>
  <si>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</si>
  <si>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</si>
  <si>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</si>
  <si>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</si>
  <si>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</si>
  <si>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</si>
  <si>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</si>
  <si>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</si>
  <si>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</si>
  <si>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</si>
  <si>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</si>
  <si>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</si>
  <si>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</si>
  <si>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</si>
  <si>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</si>
  <si>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</si>
  <si>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</si>
  <si>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</si>
  <si>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</si>
  <si>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</si>
  <si>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</si>
  <si>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</si>
  <si>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</si>
  <si>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</si>
  <si>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</si>
  <si>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</si>
  <si>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</si>
  <si>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</si>
  <si>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</si>
  <si>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</si>
  <si>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</si>
  <si>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</si>
  <si>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</si>
  <si>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</si>
  <si>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</si>
  <si>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</si>
  <si>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</si>
  <si>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</si>
  <si>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</si>
  <si>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</si>
  <si>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</si>
  <si>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</si>
  <si>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</si>
  <si>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</si>
  <si>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</si>
  <si>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</si>
  <si>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</si>
  <si>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</si>
  <si>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</si>
  <si>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</si>
  <si>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</si>
  <si>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</si>
  <si>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</si>
  <si>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</si>
  <si>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</si>
  <si>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</si>
  <si>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</si>
  <si>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</si>
  <si>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</si>
  <si>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</si>
  <si>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</si>
  <si>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</si>
  <si>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</si>
  <si>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</si>
  <si>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</si>
  <si>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</si>
  <si>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</si>
  <si>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</si>
  <si>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</si>
  <si>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</si>
  <si>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</si>
  <si>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</si>
  <si>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</si>
  <si>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</si>
  <si>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</si>
  <si>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</si>
  <si>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</si>
  <si>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</si>
  <si>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</si>
  <si>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</si>
  <si>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</si>
  <si>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</si>
  <si>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</si>
  <si>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</si>
  <si>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</si>
  <si>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</si>
  <si>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</si>
  <si>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</si>
  <si>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</si>
  <si>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</si>
  <si>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</si>
  <si>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</si>
  <si>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</si>
  <si>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</si>
  <si>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</si>
  <si>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</si>
  <si>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</si>
  <si>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</si>
  <si>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</si>
  <si>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</si>
  <si>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</si>
  <si>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</si>
  <si>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</si>
  <si>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</si>
  <si>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</si>
  <si>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</si>
  <si>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</si>
  <si>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</si>
  <si>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</si>
  <si>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</si>
  <si>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</si>
  <si>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</si>
  <si>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</si>
  <si>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</si>
  <si>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</si>
  <si>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</si>
  <si>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</si>
  <si>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</si>
  <si>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</si>
  <si>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</si>
  <si>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</si>
  <si>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</si>
  <si>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</si>
  <si>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</si>
  <si>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</si>
  <si>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</si>
  <si>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</si>
  <si>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</si>
  <si>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</si>
  <si>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</si>
  <si>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</si>
  <si>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</si>
  <si>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</si>
  <si>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</si>
  <si>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</si>
  <si>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</si>
  <si>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</si>
  <si>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</si>
  <si>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</si>
  <si>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</si>
  <si>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</si>
  <si>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</si>
  <si>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</si>
  <si>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</si>
  <si>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</si>
  <si>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</si>
  <si>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</si>
  <si>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</si>
  <si>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</si>
  <si>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</si>
  <si>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</si>
  <si>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</si>
  <si>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</si>
  <si>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</si>
  <si>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</si>
  <si>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</si>
  <si>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</si>
  <si>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</si>
  <si>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</si>
  <si>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</si>
  <si>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</si>
  <si>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</si>
  <si>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</si>
  <si>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</si>
  <si>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</si>
  <si>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</si>
  <si>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</si>
  <si>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</si>
  <si>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</si>
  <si>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</si>
  <si>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</si>
  <si>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</si>
  <si>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</si>
  <si>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</si>
  <si>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</si>
  <si>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</si>
  <si>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</si>
  <si>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</si>
  <si>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</si>
  <si>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</si>
  <si>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</si>
  <si>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</si>
  <si>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</si>
  <si>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</si>
  <si>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</si>
  <si>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</si>
  <si>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</si>
  <si>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</si>
  <si>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</si>
  <si>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</si>
  <si>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</si>
  <si>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</si>
  <si>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</si>
  <si>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</si>
  <si>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</si>
  <si>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</si>
  <si>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</si>
  <si>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</si>
  <si>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</si>
  <si>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</si>
  <si>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</si>
  <si>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</si>
  <si>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</si>
  <si>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</si>
  <si>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</si>
  <si>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</si>
  <si>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</si>
  <si>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</si>
  <si>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</si>
  <si>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</si>
  <si>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</si>
  <si>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</si>
  <si>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</si>
  <si>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</si>
  <si>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</si>
  <si>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</si>
  <si>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</si>
  <si>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</si>
  <si>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</si>
  <si>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</si>
  <si>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</si>
  <si>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</si>
  <si>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</si>
  <si>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</si>
  <si>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</si>
  <si>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</si>
  <si>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</si>
  <si>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</si>
  <si>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</si>
  <si>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</si>
  <si>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</si>
  <si>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</si>
  <si>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</si>
  <si>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</si>
  <si>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</si>
  <si>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</si>
  <si>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</si>
  <si>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</si>
  <si>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</si>
  <si>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</si>
  <si>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</si>
  <si>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</si>
  <si>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</si>
  <si>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</si>
  <si>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</si>
  <si>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</si>
  <si>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</si>
  <si>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</si>
  <si>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</si>
  <si>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</si>
  <si>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</si>
  <si>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</si>
  <si>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</si>
  <si>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</si>
  <si>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</si>
  <si>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</si>
  <si>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</si>
  <si>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</si>
  <si>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</si>
  <si>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</si>
  <si>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</si>
  <si>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</si>
  <si>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</si>
  <si>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</si>
  <si>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</si>
  <si>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</si>
  <si>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</si>
  <si>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</si>
  <si>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</si>
  <si>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</si>
  <si>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</si>
  <si>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</si>
  <si>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</si>
  <si>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</si>
  <si>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</si>
  <si>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</si>
  <si>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</si>
  <si>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</si>
  <si>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</si>
  <si>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</si>
  <si>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</si>
  <si>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</si>
  <si>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</si>
  <si>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</si>
  <si>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</si>
  <si>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</si>
  <si>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</si>
  <si>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</si>
  <si>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</si>
  <si>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</si>
  <si>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</si>
  <si>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Fund 1</t>
  </si>
  <si>
    <t>Fund 4</t>
  </si>
  <si>
    <t xml:space="preserve">                                   Fund 3</t>
  </si>
  <si>
    <t>The credit hour difference is due to FY2025-26  enrollment projections based on prior year actuals.</t>
  </si>
  <si>
    <t>updated with Conf. report prior to Gove signature and vetos.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</si>
</sst>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xf numFmtId="165" fontId="68" fillId="37" borderId="296" xfId="181" applyNumberFormat="1" applyFont="1" applyFill="1" applyBorder="1" applyAlignment="1">
      <alignment horizontal="right"/>
    </xf>
    <xf numFmtId="3" fontId="147" fillId="37" borderId="258" xfId="0" applyNumberFormat="1" applyFont="1" applyFill="1" applyBorder="1"/>
    <xf numFmtId="165" fontId="68" fillId="37" borderId="294" xfId="181" applyNumberFormat="1" applyFont="1" applyFill="1" applyBorder="1" applyAlignment="1">
      <alignment horizontal="right"/>
    </xf>
    <xf numFmtId="165" fontId="68" fillId="37" borderId="0" xfId="181" applyNumberFormat="1" applyFont="1" applyFill="1"/>
    <xf numFmtId="3" fontId="68" fillId="37" borderId="0" xfId="0" applyNumberFormat="1" applyFont="1" applyFill="1"/>
    <xf numFmtId="0" fontId="68" fillId="37" borderId="0" xfId="0" applyFont="1" applyFill="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7" t="s">
        <v>774</v>
      </c>
      <c r="B7" s="1128"/>
      <c r="C7" s="1129" t="s">
        <v>776</v>
      </c>
      <c r="D7" s="1127">
        <v>40280</v>
      </c>
      <c r="E7" s="1131" t="s">
        <v>777</v>
      </c>
    </row>
    <row r="8" spans="1:5" s="3" customFormat="1" ht="20.100000000000001" customHeight="1">
      <c r="A8" s="1127"/>
      <c r="B8" s="1128"/>
      <c r="C8" s="1129"/>
      <c r="D8" s="1127"/>
      <c r="E8" s="1131"/>
    </row>
    <row r="9" spans="1:5" s="3" customFormat="1" ht="20.100000000000001" customHeight="1">
      <c r="A9" s="1130"/>
      <c r="B9" s="1132"/>
      <c r="C9" s="1129"/>
      <c r="D9" s="1137"/>
      <c r="E9" s="1131"/>
    </row>
    <row r="10" spans="1:5" s="3" customFormat="1" ht="20.100000000000001" customHeight="1">
      <c r="A10" s="1133" t="s">
        <v>9</v>
      </c>
      <c r="B10" s="1134"/>
      <c r="C10" s="1135" t="s">
        <v>10</v>
      </c>
      <c r="D10" s="1135"/>
      <c r="E10" s="1135" t="s">
        <v>10</v>
      </c>
    </row>
    <row r="11" spans="1:5" s="3" customFormat="1" ht="20.100000000000001" customHeight="1">
      <c r="A11" s="1133"/>
      <c r="B11" s="1134"/>
      <c r="C11" s="1134"/>
      <c r="D11" s="1135"/>
      <c r="E11" s="1134"/>
    </row>
    <row r="12" spans="1:5" ht="20.100000000000001" customHeight="1">
      <c r="A12" s="1134"/>
      <c r="B12" s="1134"/>
      <c r="C12" s="1134"/>
      <c r="D12" s="1135"/>
      <c r="E12" s="1134"/>
    </row>
    <row r="13" spans="1:5" ht="20.100000000000001" customHeight="1">
      <c r="A13" s="1136" t="s">
        <v>10</v>
      </c>
      <c r="B13" s="1134"/>
      <c r="C13" s="1134"/>
      <c r="D13" s="1135"/>
      <c r="E13" s="1134"/>
    </row>
    <row r="14" spans="1:5" ht="20.100000000000001" customHeight="1">
      <c r="A14" s="1136"/>
      <c r="B14" s="1134"/>
      <c r="C14" s="1134"/>
      <c r="D14" s="1138"/>
      <c r="E14" s="1134"/>
    </row>
    <row r="15" spans="1:5" ht="20.100000000000001" customHeight="1">
      <c r="A15" s="1136"/>
      <c r="B15" s="1134"/>
      <c r="C15" s="1134"/>
      <c r="D15" s="1138"/>
      <c r="E15" s="1134"/>
    </row>
    <row r="16" spans="1:5" ht="20.100000000000001" customHeight="1">
      <c r="A16" s="1136"/>
      <c r="B16" s="1134"/>
      <c r="C16" s="1134"/>
      <c r="D16" s="1138"/>
      <c r="E16" s="1134"/>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Broward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71808262</v>
      </c>
      <c r="C10" s="436">
        <v>4041127</v>
      </c>
      <c r="D10" s="436">
        <v>77468</v>
      </c>
      <c r="E10" s="359">
        <f>SUM(B10:D10)</f>
        <v>75926857</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319881</v>
      </c>
      <c r="C12" s="430">
        <v>40022</v>
      </c>
      <c r="D12" s="430">
        <v>0</v>
      </c>
      <c r="E12" s="360">
        <f>SUM(B12:D12)</f>
        <v>359903</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15421790</v>
      </c>
      <c r="C14" s="438">
        <v>8466957</v>
      </c>
      <c r="D14" s="438">
        <v>1321443</v>
      </c>
      <c r="E14" s="360">
        <f t="shared" ref="E14:E20" si="0">SUM(B14:D14)</f>
        <v>25210190</v>
      </c>
      <c r="F14" s="342"/>
    </row>
    <row r="15" spans="1:8" s="11" customFormat="1" ht="20.100000000000001" customHeight="1">
      <c r="A15" s="358" t="s">
        <v>580</v>
      </c>
      <c r="B15" s="437">
        <v>829974</v>
      </c>
      <c r="C15" s="430">
        <v>217064</v>
      </c>
      <c r="D15" s="430">
        <v>0</v>
      </c>
      <c r="E15" s="360">
        <f>SUM(B15:D15)</f>
        <v>1047038</v>
      </c>
      <c r="F15" s="342"/>
    </row>
    <row r="16" spans="1:8" s="11" customFormat="1" ht="20.100000000000001" customHeight="1">
      <c r="A16" s="358" t="s">
        <v>581</v>
      </c>
      <c r="B16" s="437">
        <v>21871490</v>
      </c>
      <c r="C16" s="430">
        <v>1748362</v>
      </c>
      <c r="D16" s="430">
        <v>3043</v>
      </c>
      <c r="E16" s="360">
        <f t="shared" si="0"/>
        <v>23622895</v>
      </c>
      <c r="F16" s="342"/>
    </row>
    <row r="17" spans="1:6" s="11" customFormat="1" ht="20.100000000000001" customHeight="1">
      <c r="A17" s="358" t="s">
        <v>582</v>
      </c>
      <c r="B17" s="437">
        <v>39453910</v>
      </c>
      <c r="C17" s="430">
        <v>30047452</v>
      </c>
      <c r="D17" s="430">
        <v>76931</v>
      </c>
      <c r="E17" s="360">
        <f t="shared" si="0"/>
        <v>69578293</v>
      </c>
      <c r="F17" s="342"/>
    </row>
    <row r="18" spans="1:6" s="11" customFormat="1" ht="20.100000000000001" customHeight="1">
      <c r="A18" s="358" t="s">
        <v>583</v>
      </c>
      <c r="B18" s="437">
        <v>10941089</v>
      </c>
      <c r="C18" s="430">
        <v>34817301</v>
      </c>
      <c r="D18" s="430">
        <v>523912</v>
      </c>
      <c r="E18" s="360">
        <f t="shared" si="0"/>
        <v>46282302</v>
      </c>
      <c r="F18" s="342"/>
    </row>
    <row r="19" spans="1:6" s="11" customFormat="1" ht="20.100000000000001" customHeight="1">
      <c r="A19" s="358" t="s">
        <v>584</v>
      </c>
      <c r="B19" s="437">
        <v>100000</v>
      </c>
      <c r="C19" s="430">
        <v>1547579</v>
      </c>
      <c r="D19" s="430">
        <v>0</v>
      </c>
      <c r="E19" s="360">
        <f t="shared" si="0"/>
        <v>1647579</v>
      </c>
      <c r="F19" s="342"/>
    </row>
    <row r="20" spans="1:6" s="11" customFormat="1" ht="20.100000000000001" customHeight="1" thickBot="1">
      <c r="A20" s="358" t="s">
        <v>585</v>
      </c>
      <c r="B20" s="437">
        <v>80824</v>
      </c>
      <c r="C20" s="431">
        <v>0</v>
      </c>
      <c r="D20" s="431">
        <v>0</v>
      </c>
      <c r="E20" s="360">
        <f t="shared" si="0"/>
        <v>80824</v>
      </c>
      <c r="F20" s="342"/>
    </row>
    <row r="21" spans="1:6" s="11" customFormat="1" ht="24" customHeight="1" thickBot="1">
      <c r="A21" s="283" t="s">
        <v>48</v>
      </c>
      <c r="B21" s="343">
        <f>SUM(B10:B20)</f>
        <v>160827220</v>
      </c>
      <c r="C21" s="346">
        <f>SUM(C10:C20)</f>
        <v>80925864</v>
      </c>
      <c r="D21" s="346">
        <f>SUM(D10:D20)</f>
        <v>2002797</v>
      </c>
      <c r="E21" s="345">
        <f>SUM(E10:E20)</f>
        <v>243755881</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Broward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6">
        <v>0</v>
      </c>
      <c r="E10" s="1146">
        <v>0</v>
      </c>
      <c r="F10" s="1147">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1532327</v>
      </c>
      <c r="E15" s="725">
        <v>0</v>
      </c>
      <c r="F15" s="726">
        <f t="shared" si="0"/>
        <v>1532327</v>
      </c>
      <c r="I15" s="82"/>
      <c r="J15" s="23"/>
      <c r="K15" s="87"/>
      <c r="L15" s="87"/>
      <c r="M15" s="87"/>
      <c r="N15" s="87"/>
    </row>
    <row r="16" spans="1:224" s="11" customFormat="1" ht="30" customHeight="1">
      <c r="A16" s="722" t="s">
        <v>406</v>
      </c>
      <c r="B16" s="723"/>
      <c r="C16" s="724" t="s">
        <v>407</v>
      </c>
      <c r="D16" s="725">
        <v>443237</v>
      </c>
      <c r="E16" s="725">
        <v>0</v>
      </c>
      <c r="F16" s="726">
        <f t="shared" si="0"/>
        <v>443237</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193747</v>
      </c>
      <c r="E25" s="725">
        <v>0</v>
      </c>
      <c r="F25" s="726">
        <f t="shared" si="0"/>
        <v>193747</v>
      </c>
    </row>
    <row r="26" spans="1:6" s="11" customFormat="1" ht="30" customHeight="1">
      <c r="A26" s="722" t="s">
        <v>425</v>
      </c>
      <c r="B26" s="723"/>
      <c r="C26" s="724" t="s">
        <v>426</v>
      </c>
      <c r="D26" s="725">
        <v>750</v>
      </c>
      <c r="E26" s="725">
        <v>0</v>
      </c>
      <c r="F26" s="726">
        <f t="shared" si="0"/>
        <v>750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323547</v>
      </c>
      <c r="E30" s="725">
        <v>0</v>
      </c>
      <c r="F30" s="726">
        <f t="shared" si="0"/>
        <v>323547</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90045</v>
      </c>
      <c r="E32" s="725">
        <v>0</v>
      </c>
      <c r="F32" s="726">
        <f>+D32+E32</f>
        <v>90045</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441553</v>
      </c>
      <c r="E34" s="725">
        <v>0</v>
      </c>
      <c r="F34" s="726">
        <f t="shared" si="0"/>
        <v>441553</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228</v>
      </c>
      <c r="E40" s="725">
        <v>0</v>
      </c>
      <c r="F40" s="726">
        <f t="shared" si="0"/>
        <v>228</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204055</v>
      </c>
      <c r="E47" s="725">
        <v>0</v>
      </c>
      <c r="F47" s="726">
        <f t="shared" si="0"/>
        <v>204055</v>
      </c>
    </row>
    <row r="48" spans="1:6" s="11" customFormat="1" ht="30" customHeight="1">
      <c r="A48" s="722" t="s">
        <v>466</v>
      </c>
      <c r="B48" s="723"/>
      <c r="C48" s="724" t="s">
        <v>467</v>
      </c>
      <c r="D48" s="725">
        <v>352152</v>
      </c>
      <c r="E48" s="725">
        <v>0</v>
      </c>
      <c r="F48" s="726">
        <f t="shared" si="0"/>
        <v>352152</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512404</v>
      </c>
      <c r="E53" s="725">
        <v>0</v>
      </c>
      <c r="F53" s="726">
        <f t="shared" si="0"/>
        <v>512404</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4094045</v>
      </c>
      <c r="E56" s="258">
        <f>SUM(E10:E55)</f>
        <v>0</v>
      </c>
      <c r="F56" s="258">
        <f t="shared" si="0"/>
        <v>4094045</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0</v>
      </c>
      <c r="E63" s="439">
        <v>0</v>
      </c>
      <c r="F63" s="224">
        <f t="shared" si="0"/>
        <v>0</v>
      </c>
    </row>
    <row r="64" spans="1:6" s="11" customFormat="1" ht="30" customHeight="1">
      <c r="A64" s="722" t="s">
        <v>485</v>
      </c>
      <c r="B64" s="723"/>
      <c r="C64" s="732" t="s">
        <v>486</v>
      </c>
      <c r="D64" s="725">
        <v>1355</v>
      </c>
      <c r="E64" s="725">
        <v>0</v>
      </c>
      <c r="F64" s="726">
        <f t="shared" si="0"/>
        <v>1355</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3156</v>
      </c>
      <c r="E66" s="725">
        <v>0</v>
      </c>
      <c r="F66" s="726">
        <f t="shared" si="0"/>
        <v>3156</v>
      </c>
    </row>
    <row r="67" spans="1:6" s="11" customFormat="1" ht="30" customHeight="1">
      <c r="A67" s="722" t="s">
        <v>597</v>
      </c>
      <c r="B67" s="723"/>
      <c r="C67" s="732" t="s">
        <v>492</v>
      </c>
      <c r="D67" s="725">
        <v>1000</v>
      </c>
      <c r="E67" s="725">
        <v>0</v>
      </c>
      <c r="F67" s="726">
        <f t="shared" si="0"/>
        <v>1000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11036</v>
      </c>
      <c r="E72" s="725">
        <v>0</v>
      </c>
      <c r="F72" s="726">
        <f t="shared" si="0"/>
        <v>11036</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12461</v>
      </c>
      <c r="E75" s="725">
        <v>0</v>
      </c>
      <c r="F75" s="726">
        <f t="shared" si="1"/>
        <v>12461</v>
      </c>
    </row>
    <row r="76" spans="1:6" s="11" customFormat="1" ht="30" customHeight="1">
      <c r="A76" s="722" t="s">
        <v>506</v>
      </c>
      <c r="B76" s="723"/>
      <c r="C76" s="732" t="s">
        <v>507</v>
      </c>
      <c r="D76" s="725">
        <v>50418</v>
      </c>
      <c r="E76" s="725">
        <v>0</v>
      </c>
      <c r="F76" s="726">
        <f t="shared" si="1"/>
        <v>50418</v>
      </c>
    </row>
    <row r="77" spans="1:6" s="11" customFormat="1" ht="30" customHeight="1">
      <c r="A77" s="722" t="s">
        <v>508</v>
      </c>
      <c r="B77" s="723"/>
      <c r="C77" s="732" t="s">
        <v>509</v>
      </c>
      <c r="D77" s="725">
        <v>500</v>
      </c>
      <c r="E77" s="725">
        <v>0</v>
      </c>
      <c r="F77" s="726">
        <f t="shared" si="1"/>
        <v>500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984</v>
      </c>
      <c r="E79" s="725">
        <v>0</v>
      </c>
      <c r="F79" s="726">
        <f t="shared" si="1"/>
        <v>984</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80910</v>
      </c>
      <c r="E92" s="254">
        <f>SUM(E63:E91)</f>
        <v>0</v>
      </c>
      <c r="F92" s="254">
        <f t="shared" si="1"/>
        <v>80910</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5">
        <v>0</v>
      </c>
      <c r="E102" s="1085">
        <v>0</v>
      </c>
      <c r="F102" s="1019">
        <f t="shared" si="1"/>
        <v>0</v>
      </c>
    </row>
    <row r="103" spans="1:6" s="11" customFormat="1" ht="30" customHeight="1">
      <c r="A103" s="1063" t="s">
        <v>685</v>
      </c>
      <c r="B103" s="1064"/>
      <c r="C103" s="1065">
        <v>73002</v>
      </c>
      <c r="D103" s="1086">
        <v>0</v>
      </c>
      <c r="E103" s="1086">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4174955</v>
      </c>
      <c r="E112" s="254">
        <f>+E56+E92+E110</f>
        <v>0</v>
      </c>
      <c r="F112" s="254">
        <f>SUM(D112:E112)</f>
        <v>4174955</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3451287</v>
      </c>
      <c r="E117" s="725">
        <v>0</v>
      </c>
      <c r="F117" s="726">
        <f t="shared" ref="F117:F127" si="3">+D117+E117</f>
        <v>3451287</v>
      </c>
    </row>
    <row r="118" spans="1:6" s="63" customFormat="1" ht="30" customHeight="1">
      <c r="A118" s="722" t="s">
        <v>606</v>
      </c>
      <c r="B118" s="575"/>
      <c r="C118" s="734"/>
      <c r="D118" s="1042">
        <f>'EXHIBIT C'!F19</f>
        <v>337156</v>
      </c>
      <c r="E118" s="725">
        <v>0</v>
      </c>
      <c r="F118" s="726">
        <f t="shared" si="3"/>
        <v>337156</v>
      </c>
    </row>
    <row r="119" spans="1:6" s="63" customFormat="1" ht="50.25" customHeight="1">
      <c r="A119" s="722" t="s">
        <v>607</v>
      </c>
      <c r="B119" s="575"/>
      <c r="C119" s="734"/>
      <c r="D119" s="725">
        <v>15446</v>
      </c>
      <c r="E119" s="725">
        <v>0</v>
      </c>
      <c r="F119" s="726">
        <f t="shared" si="3"/>
        <v>15446</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371066</v>
      </c>
      <c r="E123" s="725">
        <v>0</v>
      </c>
      <c r="F123" s="726">
        <f t="shared" si="3"/>
        <v>371066</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4174955</v>
      </c>
      <c r="E128" s="248">
        <f>SUM(E116:E127)</f>
        <v>0</v>
      </c>
      <c r="F128" s="249">
        <f>SUM(F116:F127)</f>
        <v>4174955</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Py3/MDvoDA4vi8aC4AycMyLsCpBMP16QVadepuHIEhnDZIKV3wRPXb/9/YoSoo9C0zieBCJb67eJ2/F65cB9jw==" saltValue="Vw1MyZnTLfQmnyUT4az8c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election activeCell="D8" sqref="D8"/>
    </sheetView>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5.5703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7">
        <v>9683162.5702465735</v>
      </c>
      <c r="D7" s="75">
        <f t="shared" ref="D7:D34" si="0">SUM(B7:C7)</f>
        <v>53283437</v>
      </c>
      <c r="E7" s="421"/>
      <c r="F7" s="422"/>
      <c r="G7" s="42"/>
      <c r="I7" s="42"/>
      <c r="J7" s="42"/>
    </row>
    <row r="8" spans="1:10" ht="25.35" customHeight="1">
      <c r="A8" s="377" t="s">
        <v>22</v>
      </c>
      <c r="B8" s="1161">
        <v>95116848</v>
      </c>
      <c r="C8" s="1162">
        <v>19094038.479841623</v>
      </c>
      <c r="D8" s="68">
        <f t="shared" si="0"/>
        <v>114210886.47984162</v>
      </c>
      <c r="E8" s="1164" t="s">
        <v>788</v>
      </c>
      <c r="F8" s="1165"/>
      <c r="G8" s="1165"/>
      <c r="H8" s="1166"/>
      <c r="I8" s="42"/>
      <c r="J8" s="42"/>
    </row>
    <row r="9" spans="1:10" ht="25.35" customHeight="1">
      <c r="A9" s="377" t="s">
        <v>23</v>
      </c>
      <c r="B9" s="909">
        <v>35165545.160336338</v>
      </c>
      <c r="C9" s="1107">
        <v>5543604.8396636629</v>
      </c>
      <c r="D9" s="68">
        <f t="shared" si="0"/>
        <v>40709150</v>
      </c>
      <c r="E9" s="399"/>
      <c r="F9" s="42"/>
      <c r="G9" s="42"/>
      <c r="I9" s="42"/>
      <c r="J9" s="42"/>
    </row>
    <row r="10" spans="1:10" ht="25.35" customHeight="1">
      <c r="A10" s="377" t="s">
        <v>24</v>
      </c>
      <c r="B10" s="909">
        <v>13053746.353345605</v>
      </c>
      <c r="C10" s="1107">
        <v>3049204.6466543949</v>
      </c>
      <c r="D10" s="68">
        <f t="shared" si="0"/>
        <v>16102951</v>
      </c>
      <c r="E10" s="399"/>
      <c r="F10" s="42"/>
      <c r="G10" s="42"/>
      <c r="I10" s="42"/>
      <c r="J10" s="42"/>
    </row>
    <row r="11" spans="1:10" ht="25.35" customHeight="1">
      <c r="A11" s="377" t="s">
        <v>25</v>
      </c>
      <c r="B11" s="909">
        <v>51911674.267480284</v>
      </c>
      <c r="C11" s="1107">
        <v>11651335.732519712</v>
      </c>
      <c r="D11" s="68">
        <f t="shared" si="0"/>
        <v>63563010</v>
      </c>
      <c r="E11" s="399"/>
      <c r="F11" s="42"/>
      <c r="G11" s="42"/>
      <c r="I11" s="42"/>
      <c r="J11" s="42"/>
    </row>
    <row r="12" spans="1:10" ht="25.35" customHeight="1">
      <c r="A12" s="377" t="s">
        <v>26</v>
      </c>
      <c r="B12" s="909">
        <v>46221977.178284936</v>
      </c>
      <c r="C12" s="1107">
        <v>7423501.8217150643</v>
      </c>
      <c r="D12" s="68">
        <f t="shared" si="0"/>
        <v>53645479</v>
      </c>
      <c r="E12" s="399"/>
      <c r="F12" s="42"/>
      <c r="G12" s="42"/>
      <c r="I12" s="42"/>
      <c r="J12" s="42"/>
    </row>
    <row r="13" spans="1:10" ht="25.35" customHeight="1">
      <c r="A13" s="377" t="s">
        <v>27</v>
      </c>
      <c r="B13" s="909">
        <v>70522268.071765155</v>
      </c>
      <c r="C13" s="1107">
        <v>17443886.928234838</v>
      </c>
      <c r="D13" s="68">
        <f t="shared" si="0"/>
        <v>87966155</v>
      </c>
      <c r="E13" s="399"/>
      <c r="F13" s="42"/>
      <c r="G13" s="42"/>
      <c r="I13" s="42"/>
      <c r="J13" s="42"/>
    </row>
    <row r="14" spans="1:10" ht="25.35" customHeight="1">
      <c r="A14" s="377" t="s">
        <v>28</v>
      </c>
      <c r="B14" s="909">
        <v>9205482.6022929847</v>
      </c>
      <c r="C14" s="1107">
        <v>1571784.3977070146</v>
      </c>
      <c r="D14" s="68">
        <f t="shared" si="0"/>
        <v>10777267</v>
      </c>
      <c r="E14" s="399"/>
      <c r="F14" s="42"/>
      <c r="G14" s="42"/>
      <c r="I14" s="42"/>
      <c r="J14" s="42"/>
    </row>
    <row r="15" spans="1:10" ht="25.35" customHeight="1">
      <c r="A15" s="377" t="s">
        <v>29</v>
      </c>
      <c r="B15" s="909">
        <v>22103920.083340969</v>
      </c>
      <c r="C15" s="1107">
        <v>4970200.9166590301</v>
      </c>
      <c r="D15" s="68">
        <f t="shared" si="0"/>
        <v>27074121</v>
      </c>
      <c r="E15" s="399"/>
      <c r="F15" s="42"/>
      <c r="G15" s="42"/>
      <c r="I15" s="42"/>
      <c r="J15" s="42"/>
    </row>
    <row r="16" spans="1:10" ht="25.35" customHeight="1">
      <c r="A16" s="377" t="s">
        <v>783</v>
      </c>
      <c r="B16" s="909">
        <v>71153026.980324924</v>
      </c>
      <c r="C16" s="1107">
        <v>13180273.01967508</v>
      </c>
      <c r="D16" s="68">
        <f t="shared" si="0"/>
        <v>84333300</v>
      </c>
      <c r="E16" s="399"/>
      <c r="F16" s="42"/>
      <c r="G16" s="42"/>
      <c r="I16" s="42"/>
      <c r="J16" s="42"/>
    </row>
    <row r="17" spans="1:10" ht="25.35" customHeight="1">
      <c r="A17" s="377" t="s">
        <v>30</v>
      </c>
      <c r="B17" s="909">
        <v>49338008.875280872</v>
      </c>
      <c r="C17" s="1107">
        <v>10681339.124719128</v>
      </c>
      <c r="D17" s="68">
        <f t="shared" si="0"/>
        <v>60019348</v>
      </c>
      <c r="E17" s="399"/>
      <c r="F17" s="42"/>
      <c r="G17" s="42"/>
      <c r="I17" s="42"/>
      <c r="J17" s="42"/>
    </row>
    <row r="18" spans="1:10" ht="25.35" customHeight="1">
      <c r="A18" s="377" t="s">
        <v>31</v>
      </c>
      <c r="B18" s="909">
        <v>16227012.774821987</v>
      </c>
      <c r="C18" s="1107">
        <v>3109791.2251780131</v>
      </c>
      <c r="D18" s="68">
        <f t="shared" si="0"/>
        <v>19336804</v>
      </c>
      <c r="E18" s="399"/>
      <c r="F18" s="42"/>
      <c r="G18" s="42"/>
      <c r="I18" s="42"/>
      <c r="J18" s="42"/>
    </row>
    <row r="19" spans="1:10" ht="25.35" customHeight="1">
      <c r="A19" s="377" t="s">
        <v>32</v>
      </c>
      <c r="B19" s="909">
        <v>21135195.500593662</v>
      </c>
      <c r="C19" s="1107">
        <v>3055669.4994063387</v>
      </c>
      <c r="D19" s="68">
        <f t="shared" si="0"/>
        <v>24190865</v>
      </c>
      <c r="E19" s="399"/>
      <c r="F19" s="42"/>
      <c r="G19" s="42"/>
      <c r="I19" s="42"/>
      <c r="J19" s="42"/>
    </row>
    <row r="20" spans="1:10" ht="25.35" customHeight="1">
      <c r="A20" s="377" t="s">
        <v>33</v>
      </c>
      <c r="B20" s="909">
        <v>31285444.06757804</v>
      </c>
      <c r="C20" s="1107">
        <v>5148765.9324219599</v>
      </c>
      <c r="D20" s="68">
        <f t="shared" si="0"/>
        <v>36434210</v>
      </c>
      <c r="E20" s="399"/>
      <c r="F20" s="42"/>
      <c r="G20" s="42"/>
      <c r="H20" s="42"/>
      <c r="I20" s="42"/>
      <c r="J20" s="42"/>
    </row>
    <row r="21" spans="1:10" ht="25.35" customHeight="1">
      <c r="A21" s="377" t="s">
        <v>34</v>
      </c>
      <c r="B21" s="909">
        <v>165651995.20318142</v>
      </c>
      <c r="C21" s="1107">
        <v>39356905.796818577</v>
      </c>
      <c r="D21" s="68">
        <f t="shared" si="0"/>
        <v>205008901</v>
      </c>
      <c r="E21" s="399"/>
      <c r="F21" s="42"/>
      <c r="G21" s="42"/>
      <c r="I21" s="42"/>
      <c r="J21" s="42"/>
    </row>
    <row r="22" spans="1:10" ht="25.35" customHeight="1">
      <c r="A22" s="377" t="s">
        <v>35</v>
      </c>
      <c r="B22" s="909">
        <v>8949937.6940170676</v>
      </c>
      <c r="C22" s="1107">
        <v>1656741.3059829331</v>
      </c>
      <c r="D22" s="68">
        <f t="shared" si="0"/>
        <v>10606679</v>
      </c>
      <c r="E22" s="399"/>
      <c r="F22" s="42"/>
      <c r="G22" s="42"/>
      <c r="I22" s="42"/>
      <c r="J22" s="42"/>
    </row>
    <row r="23" spans="1:10" ht="25.35" customHeight="1">
      <c r="A23" s="377" t="s">
        <v>36</v>
      </c>
      <c r="B23" s="909">
        <v>24756000.410122402</v>
      </c>
      <c r="C23" s="1107">
        <v>4377734.5898775999</v>
      </c>
      <c r="D23" s="68">
        <f t="shared" si="0"/>
        <v>29133735</v>
      </c>
      <c r="E23" s="399"/>
      <c r="F23" s="42"/>
      <c r="G23" s="42"/>
      <c r="I23" s="42"/>
      <c r="J23" s="42"/>
    </row>
    <row r="24" spans="1:10" ht="25.35" customHeight="1">
      <c r="A24" s="377" t="s">
        <v>37</v>
      </c>
      <c r="B24" s="909">
        <v>65808360.931644589</v>
      </c>
      <c r="C24" s="1107">
        <v>13200326.068355408</v>
      </c>
      <c r="D24" s="68">
        <f t="shared" si="0"/>
        <v>79008687</v>
      </c>
      <c r="E24" s="399"/>
      <c r="F24" s="42"/>
      <c r="G24" s="42"/>
      <c r="I24" s="42"/>
      <c r="J24" s="42"/>
    </row>
    <row r="25" spans="1:10" ht="25.35" customHeight="1">
      <c r="A25" s="377" t="s">
        <v>38</v>
      </c>
      <c r="B25" s="909">
        <v>45144249.785152942</v>
      </c>
      <c r="C25" s="1107">
        <v>6373548.2148470599</v>
      </c>
      <c r="D25" s="68">
        <f t="shared" si="0"/>
        <v>51517798</v>
      </c>
      <c r="E25" s="399"/>
      <c r="F25" s="42"/>
      <c r="G25" s="42"/>
      <c r="I25" s="42"/>
      <c r="J25" s="42"/>
    </row>
    <row r="26" spans="1:10" ht="25.35" customHeight="1">
      <c r="A26" s="377" t="s">
        <v>39</v>
      </c>
      <c r="B26" s="909">
        <v>54382200.078217097</v>
      </c>
      <c r="C26" s="1107">
        <v>7904347.9217829015</v>
      </c>
      <c r="D26" s="68">
        <f t="shared" si="0"/>
        <v>62286548</v>
      </c>
      <c r="E26" s="399"/>
      <c r="F26" s="42"/>
      <c r="G26" s="42"/>
      <c r="I26" s="42"/>
      <c r="J26" s="42"/>
    </row>
    <row r="27" spans="1:10" ht="25.35" customHeight="1">
      <c r="A27" s="377" t="s">
        <v>40</v>
      </c>
      <c r="B27" s="909">
        <v>43580224.848735243</v>
      </c>
      <c r="C27" s="1107">
        <v>6479015.1512647606</v>
      </c>
      <c r="D27" s="68">
        <f t="shared" si="0"/>
        <v>50059240</v>
      </c>
      <c r="E27" s="399"/>
      <c r="F27" s="42"/>
      <c r="G27" s="42"/>
      <c r="I27" s="42"/>
      <c r="J27" s="42"/>
    </row>
    <row r="28" spans="1:10" ht="25.35" customHeight="1">
      <c r="A28" s="377" t="s">
        <v>41</v>
      </c>
      <c r="B28" s="909">
        <v>33932430.755269237</v>
      </c>
      <c r="C28" s="1107">
        <v>4419727.2447307603</v>
      </c>
      <c r="D28" s="68">
        <f t="shared" si="0"/>
        <v>38352158</v>
      </c>
      <c r="E28" s="399"/>
      <c r="F28" s="42"/>
      <c r="G28" s="42"/>
      <c r="I28" s="42"/>
      <c r="J28" s="42"/>
    </row>
    <row r="29" spans="1:10" ht="25.35" customHeight="1">
      <c r="A29" s="377" t="s">
        <v>42</v>
      </c>
      <c r="B29" s="909">
        <v>77492481.402347744</v>
      </c>
      <c r="C29" s="1107">
        <v>15840843.597652253</v>
      </c>
      <c r="D29" s="68">
        <f t="shared" si="0"/>
        <v>93333325</v>
      </c>
      <c r="E29" s="399"/>
      <c r="F29" s="42"/>
      <c r="G29" s="42"/>
      <c r="I29" s="42"/>
      <c r="J29" s="42"/>
    </row>
    <row r="30" spans="1:10" ht="25.35" customHeight="1">
      <c r="A30" s="377" t="s">
        <v>43</v>
      </c>
      <c r="B30" s="909">
        <v>45822834.425018497</v>
      </c>
      <c r="C30" s="1107">
        <v>8042112.5749815032</v>
      </c>
      <c r="D30" s="68">
        <f t="shared" si="0"/>
        <v>53864947</v>
      </c>
      <c r="E30" s="399"/>
      <c r="F30" s="42"/>
      <c r="G30" s="42"/>
      <c r="I30" s="42"/>
      <c r="J30" s="42"/>
    </row>
    <row r="31" spans="1:10" ht="25.35" customHeight="1">
      <c r="A31" s="377" t="s">
        <v>44</v>
      </c>
      <c r="B31" s="909">
        <v>47618457.312297449</v>
      </c>
      <c r="C31" s="1107">
        <v>8663977.6877025533</v>
      </c>
      <c r="D31" s="68">
        <f t="shared" si="0"/>
        <v>56282435</v>
      </c>
      <c r="E31" s="399"/>
      <c r="F31" s="42"/>
      <c r="G31" s="42"/>
      <c r="I31" s="42"/>
      <c r="J31" s="42"/>
    </row>
    <row r="32" spans="1:10" ht="25.35" customHeight="1">
      <c r="A32" s="377" t="s">
        <v>45</v>
      </c>
      <c r="B32" s="909">
        <v>22811855.379114985</v>
      </c>
      <c r="C32" s="1107">
        <v>3719348.6208850164</v>
      </c>
      <c r="D32" s="68">
        <f t="shared" si="0"/>
        <v>26531204</v>
      </c>
      <c r="E32" s="399"/>
      <c r="F32" s="42"/>
      <c r="G32" s="42"/>
      <c r="I32" s="42" t="s">
        <v>46</v>
      </c>
      <c r="J32" s="42"/>
    </row>
    <row r="33" spans="1:12" ht="25.35" customHeight="1">
      <c r="A33" s="377" t="s">
        <v>713</v>
      </c>
      <c r="B33" s="909">
        <v>34145110.16823367</v>
      </c>
      <c r="C33" s="1107">
        <v>7234580.8317663297</v>
      </c>
      <c r="D33" s="68">
        <f t="shared" si="0"/>
        <v>41379691</v>
      </c>
      <c r="E33" s="399"/>
      <c r="F33" s="42"/>
      <c r="G33" s="42"/>
      <c r="I33" s="399"/>
      <c r="J33" s="42"/>
      <c r="K33" s="399"/>
    </row>
    <row r="34" spans="1:12" ht="25.35" customHeight="1" thickBot="1">
      <c r="A34" s="378" t="s">
        <v>47</v>
      </c>
      <c r="B34" s="909">
        <v>110093250.74129009</v>
      </c>
      <c r="C34" s="1107">
        <v>15737996.258709911</v>
      </c>
      <c r="D34" s="69">
        <f t="shared" si="0"/>
        <v>125831247</v>
      </c>
      <c r="E34" s="399"/>
      <c r="F34" s="42"/>
      <c r="G34" s="42"/>
      <c r="I34" s="399"/>
      <c r="J34" s="42"/>
      <c r="K34" s="399"/>
    </row>
    <row r="35" spans="1:12" ht="25.35" customHeight="1" thickBot="1">
      <c r="A35" s="379" t="s">
        <v>48</v>
      </c>
      <c r="B35" s="418">
        <f>SUM(B7:B34)</f>
        <v>1356229813.4798415</v>
      </c>
      <c r="C35" s="418">
        <f>SUM(C7:C34)</f>
        <v>258613765.00000006</v>
      </c>
      <c r="D35" s="391">
        <f>SUM(D7:D34)</f>
        <v>1614843578.4798417</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8" t="s">
        <v>728</v>
      </c>
      <c r="B51" s="985" t="s">
        <v>729</v>
      </c>
      <c r="C51" s="986"/>
      <c r="D51" s="986">
        <v>0</v>
      </c>
      <c r="E51" s="1084">
        <f t="shared" si="1"/>
        <v>0</v>
      </c>
    </row>
    <row r="52" spans="1:5" ht="62.45" hidden="1" customHeight="1" thickBot="1">
      <c r="A52" s="1103" t="s">
        <v>45</v>
      </c>
      <c r="B52" s="1104" t="s">
        <v>730</v>
      </c>
      <c r="C52" s="1105"/>
      <c r="D52" s="1105">
        <v>0</v>
      </c>
      <c r="E52" s="1106">
        <f t="shared" si="1"/>
        <v>0</v>
      </c>
    </row>
    <row r="53" spans="1:5" ht="62.45" hidden="1" customHeight="1" thickBot="1">
      <c r="A53" s="1103" t="s">
        <v>33</v>
      </c>
      <c r="B53" s="1104" t="s">
        <v>734</v>
      </c>
      <c r="C53" s="1105"/>
      <c r="D53" s="1105">
        <v>0</v>
      </c>
      <c r="E53" s="1106">
        <f t="shared" si="1"/>
        <v>0</v>
      </c>
    </row>
    <row r="54" spans="1:5" ht="24.6" hidden="1" customHeight="1" thickBot="1">
      <c r="A54" s="1099" t="s">
        <v>53</v>
      </c>
      <c r="B54" s="1100"/>
      <c r="C54" s="1101">
        <f>SUM(C43:C51)</f>
        <v>0</v>
      </c>
      <c r="D54" s="1101">
        <f>SUM(D43:D53)</f>
        <v>0</v>
      </c>
      <c r="E54" s="1102">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7"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39" t="s">
        <v>77</v>
      </c>
      <c r="W107" s="1142"/>
      <c r="X107" s="1143"/>
      <c r="Y107" s="1141"/>
      <c r="Z107" s="1139" t="s">
        <v>78</v>
      </c>
      <c r="AA107" s="1140"/>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163">
        <v>2323631</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29421875</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163">
        <v>1301446</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39869961</v>
      </c>
    </row>
  </sheetData>
  <sheetProtection algorithmName="SHA-512" hashValue="DTnQQ8TNl3hsQI7NNwQkzmE01vbsO0/mkxyh1Z8kMIDkcCyr4/A1+guJSr0HArkhZn0xdPUsd3W3v01d+H4+6w==" saltValue="QMR3sNI2ptEviy5TU7RxJ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7" t="s">
        <v>704</v>
      </c>
      <c r="B4" s="1087"/>
      <c r="C4" s="1087"/>
      <c r="D4" s="1087"/>
      <c r="E4" s="1087"/>
      <c r="F4" s="1087"/>
      <c r="G4" s="1087"/>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22</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0.3044620750601974</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2"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33810</v>
      </c>
      <c r="E44" s="108">
        <f>+'EXHIBIT C'!F10</f>
        <v>37599.813269419392</v>
      </c>
      <c r="F44" s="109">
        <f t="shared" ref="F44:F50" si="0">IF(D44=0,"0",(E44/D44-1))</f>
        <v>0.11209148977874572</v>
      </c>
      <c r="G44" s="110" t="str">
        <f t="shared" ref="G44:G50" si="1">IF(OR(F44&gt;3%, F44&lt;-3%),"YES","NO")</f>
        <v>YES</v>
      </c>
      <c r="H44" s="82"/>
    </row>
    <row r="45" spans="1:8" ht="20.100000000000001" customHeight="1">
      <c r="C45" s="111" t="s">
        <v>125</v>
      </c>
      <c r="D45" s="621">
        <f>VLOOKUP($D$7,VLOOKUP!$A$109:$S$137,5)*30+D60</f>
        <v>356547.22770416318</v>
      </c>
      <c r="E45" s="112">
        <f>+'EXHIBIT C'!F11</f>
        <v>381240.78865853662</v>
      </c>
      <c r="F45" s="622">
        <f t="shared" si="0"/>
        <v>6.9257475688080161E-2</v>
      </c>
      <c r="G45" s="623" t="str">
        <f t="shared" si="1"/>
        <v>YES</v>
      </c>
      <c r="H45" s="82"/>
    </row>
    <row r="46" spans="1:8" ht="20.100000000000001" customHeight="1">
      <c r="C46" s="624" t="s">
        <v>126</v>
      </c>
      <c r="D46" s="625">
        <f>VLOOKUP($D$7,VLOOKUP!$A$109:$S$137,8)*30</f>
        <v>196229.06366581208</v>
      </c>
      <c r="E46" s="626">
        <f>+'EXHIBIT C'!F12</f>
        <v>215976.72073170735</v>
      </c>
      <c r="F46" s="622">
        <f t="shared" si="0"/>
        <v>0.10063574017519916</v>
      </c>
      <c r="G46" s="623" t="str">
        <f t="shared" si="1"/>
        <v>YES</v>
      </c>
      <c r="H46" s="82"/>
    </row>
    <row r="47" spans="1:8" ht="20.100000000000001" customHeight="1">
      <c r="C47" s="624" t="s">
        <v>75</v>
      </c>
      <c r="D47" s="625">
        <f>VLOOKUP($D$7,VLOOKUP!$A$109:$S$137,17)*30</f>
        <v>8300.1935767707873</v>
      </c>
      <c r="E47" s="626">
        <f>+'EXHIBIT C'!F13</f>
        <v>8267.2058855585819</v>
      </c>
      <c r="F47" s="622">
        <f t="shared" si="0"/>
        <v>-3.9743279367032702E-3</v>
      </c>
      <c r="G47" s="623" t="str">
        <f t="shared" si="1"/>
        <v>NO</v>
      </c>
      <c r="H47" s="82"/>
    </row>
    <row r="48" spans="1:8" ht="20.100000000000001" customHeight="1">
      <c r="C48" s="624" t="s">
        <v>127</v>
      </c>
      <c r="D48" s="625">
        <f>VLOOKUP($D$7,VLOOKUP!$A$109:$S$137,11)*30</f>
        <v>16350.379746835442</v>
      </c>
      <c r="E48" s="626">
        <f>+'EXHIBIT C'!F14</f>
        <v>20163.281585365854</v>
      </c>
      <c r="F48" s="622">
        <f t="shared" si="0"/>
        <v>0.23319958909629523</v>
      </c>
      <c r="G48" s="623" t="str">
        <f t="shared" si="1"/>
        <v>YES</v>
      </c>
      <c r="H48" s="82"/>
    </row>
    <row r="49" spans="3:8" ht="20.100000000000001" customHeight="1" thickBot="1">
      <c r="C49" s="627" t="s">
        <v>128</v>
      </c>
      <c r="D49" s="628">
        <f>VLOOKUP($D$7,VLOOKUP!$A$109:$S$137,14)*30</f>
        <v>90</v>
      </c>
      <c r="E49" s="629">
        <f>+'EXHIBIT C'!F15</f>
        <v>114.57414634146342</v>
      </c>
      <c r="F49" s="630">
        <f t="shared" si="0"/>
        <v>0.27304607046070473</v>
      </c>
      <c r="G49" s="631" t="str">
        <f t="shared" si="1"/>
        <v>YES</v>
      </c>
      <c r="H49" s="82"/>
    </row>
    <row r="50" spans="3:8" ht="20.100000000000001" customHeight="1" thickBot="1">
      <c r="C50" s="113" t="s">
        <v>48</v>
      </c>
      <c r="D50" s="114">
        <f>SUM(D44:D49)</f>
        <v>611326.86469358159</v>
      </c>
      <c r="E50" s="115">
        <f>+'EXHIBIT C'!F17</f>
        <v>663362.38427692931</v>
      </c>
      <c r="F50" s="116">
        <f t="shared" si="0"/>
        <v>8.5118980677267864E-2</v>
      </c>
      <c r="G50" s="117" t="str">
        <f t="shared" si="1"/>
        <v>YES</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787</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876.36751403618302</v>
      </c>
      <c r="F59" s="633" t="str">
        <f t="shared" ref="F59:F65" si="2">IF(D59=0,"0",(E59/D59-1))</f>
        <v>0</v>
      </c>
      <c r="G59" s="634" t="str">
        <f>IF(OR(F59&gt;5%, F59&lt;-5%),"YES","NO")</f>
        <v>NO</v>
      </c>
    </row>
    <row r="60" spans="3:8" ht="20.100000000000001" customHeight="1">
      <c r="C60" s="111" t="s">
        <v>125</v>
      </c>
      <c r="D60" s="632">
        <f>VLOOKUP($D$7,VLOOKUP!$A$109:$S$137,6)*30</f>
        <v>19319.482426463677</v>
      </c>
      <c r="E60" s="125">
        <f>+'EXHIBIT C'!D20</f>
        <v>19907.912809187401</v>
      </c>
      <c r="F60" s="633">
        <f t="shared" si="2"/>
        <v>3.0457875099060505E-2</v>
      </c>
      <c r="G60" s="634" t="str">
        <f t="shared" ref="G60:G65" si="3">IF(OR(F60&gt;5%, F60&lt;-5%),"YES","NO")</f>
        <v>NO</v>
      </c>
      <c r="H60" s="82"/>
    </row>
    <row r="61" spans="3:8" ht="20.100000000000001" customHeight="1">
      <c r="C61" s="624" t="s">
        <v>126</v>
      </c>
      <c r="D61" s="635">
        <f>VLOOKUP($D$7,VLOOKUP!$A$109:$S$137,9)*30</f>
        <v>11174.798962187391</v>
      </c>
      <c r="E61" s="636">
        <f>+'EXHIBIT C'!D21</f>
        <v>10871.870715547639</v>
      </c>
      <c r="F61" s="633">
        <f t="shared" si="2"/>
        <v>-2.7108160752133736E-2</v>
      </c>
      <c r="G61" s="634" t="str">
        <f t="shared" si="3"/>
        <v>NO</v>
      </c>
      <c r="H61" s="82"/>
    </row>
    <row r="62" spans="3:8" ht="20.100000000000001" customHeight="1">
      <c r="C62" s="624" t="s">
        <v>75</v>
      </c>
      <c r="D62" s="635">
        <f>VLOOKUP($D$7,VLOOKUP!$A$109:$S$137,18)*30</f>
        <v>129.8064232292125</v>
      </c>
      <c r="E62" s="636">
        <f>+'EXHIBIT C'!D22</f>
        <v>0</v>
      </c>
      <c r="F62" s="633">
        <f t="shared" si="2"/>
        <v>-1</v>
      </c>
      <c r="G62" s="634" t="str">
        <f t="shared" si="3"/>
        <v>YES</v>
      </c>
      <c r="H62" s="82"/>
    </row>
    <row r="63" spans="3:8" ht="20.100000000000001" customHeight="1">
      <c r="C63" s="624" t="s">
        <v>127</v>
      </c>
      <c r="D63" s="635">
        <f>VLOOKUP($D$7,VLOOKUP!$A$109:$S$137,12)*30</f>
        <v>2369.6202531645567</v>
      </c>
      <c r="E63" s="636">
        <f>+'EXHIBIT C'!D23</f>
        <v>2717.9848056537103</v>
      </c>
      <c r="F63" s="633">
        <f t="shared" si="2"/>
        <v>0.14701281862523041</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32993.708065044841</v>
      </c>
      <c r="E65" s="127">
        <f>SUM(E59:E64)</f>
        <v>34374.135844424934</v>
      </c>
      <c r="F65" s="128">
        <f t="shared" si="2"/>
        <v>4.1839122073174417E-2</v>
      </c>
      <c r="G65" s="129" t="str">
        <f t="shared" si="3"/>
        <v>NO</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t="s">
        <v>787</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3"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3"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95116848</v>
      </c>
      <c r="E84" s="1088">
        <f>+'EXHIBIT D'!G77</f>
        <v>95116848</v>
      </c>
      <c r="F84" s="1088">
        <f>D84-E84</f>
        <v>0</v>
      </c>
      <c r="G84" s="82"/>
      <c r="H84" s="82"/>
    </row>
    <row r="85" spans="1:8" ht="20.100000000000001" customHeight="1">
      <c r="A85" s="92"/>
      <c r="B85" s="92"/>
      <c r="C85" s="643" t="s">
        <v>149</v>
      </c>
      <c r="D85" s="642">
        <f>VLOOKUP($D$7,VLOOKUP!$A$150:$B$178,2)</f>
        <v>2323631</v>
      </c>
      <c r="E85" s="1088">
        <f>'EXHIBIT D'!G79</f>
        <v>2323631</v>
      </c>
      <c r="F85" s="1088">
        <f>D85-E85</f>
        <v>0</v>
      </c>
      <c r="G85" s="82"/>
      <c r="H85" s="82"/>
    </row>
    <row r="86" spans="1:8" ht="20.100000000000001" customHeight="1">
      <c r="A86" s="92"/>
      <c r="B86" s="92"/>
      <c r="C86" s="643" t="s">
        <v>150</v>
      </c>
      <c r="D86" s="642">
        <f>VLOOKUP($D$7,VLOOKUP!$A$7:$E$35,3)</f>
        <v>19094038.479841623</v>
      </c>
      <c r="E86" s="1088">
        <f>'EXHIBIT D'!G82</f>
        <v>19094038.479841623</v>
      </c>
      <c r="F86" s="1088">
        <f>D86-E86</f>
        <v>0</v>
      </c>
      <c r="G86" s="82"/>
      <c r="H86" s="82"/>
    </row>
    <row r="87" spans="1:8" ht="20.100000000000001" customHeight="1" thickBot="1">
      <c r="A87" s="91"/>
      <c r="B87" s="91"/>
      <c r="C87" s="137" t="s">
        <v>688</v>
      </c>
      <c r="D87" s="642">
        <f>VLOOKUP($D$7,VLOOKUP!$A$185:$B$213,2)</f>
        <v>1301446</v>
      </c>
      <c r="E87" s="1089">
        <f>'EXHIBIT D'!G78</f>
        <v>1301446</v>
      </c>
      <c r="F87" s="1088">
        <f>D87-E87</f>
        <v>0</v>
      </c>
      <c r="G87" s="82"/>
      <c r="H87" s="82"/>
    </row>
    <row r="88" spans="1:8" ht="20.100000000000001" customHeight="1" thickBot="1">
      <c r="A88" s="91"/>
      <c r="B88" s="91"/>
      <c r="C88" s="138" t="s">
        <v>151</v>
      </c>
      <c r="D88" s="139">
        <f>SUM(D84:D87)</f>
        <v>117835963.47984162</v>
      </c>
      <c r="E88" s="139">
        <f>SUM(E84:E87)</f>
        <v>117835963.47984162</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114100663.47984159</v>
      </c>
      <c r="D101" s="787" t="s">
        <v>744</v>
      </c>
      <c r="E101" s="787"/>
      <c r="F101" s="787"/>
      <c r="G101" s="82"/>
      <c r="H101" s="82"/>
    </row>
    <row r="102" spans="1:8" ht="20.100000000000001" customHeight="1">
      <c r="A102" s="89"/>
      <c r="B102" s="89"/>
      <c r="C102" s="645">
        <f>'EXHIBIT D'!G266-'EXHIBIT D'!G252-'EXHIBIT D'!G264</f>
        <v>114100663.47984159</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122084927</v>
      </c>
      <c r="D108" s="11" t="s">
        <v>746</v>
      </c>
    </row>
    <row r="109" spans="1:8" ht="26.25" customHeight="1">
      <c r="A109" s="145"/>
      <c r="B109" s="145"/>
      <c r="C109" s="647">
        <f>'EXHIBIT A'!E36</f>
        <v>122894927</v>
      </c>
      <c r="D109" s="11" t="s">
        <v>747</v>
      </c>
    </row>
    <row r="110" spans="1:8" ht="26.1" customHeight="1">
      <c r="A110" s="145"/>
      <c r="B110" s="145"/>
      <c r="C110" s="648">
        <f>C108-C109</f>
        <v>-810000</v>
      </c>
      <c r="D110" s="83" t="s">
        <v>159</v>
      </c>
      <c r="E110" s="83"/>
      <c r="F110" s="83"/>
      <c r="G110" s="83"/>
    </row>
    <row r="111" spans="1:8" ht="20.100000000000001" customHeight="1">
      <c r="A111" s="145"/>
      <c r="B111" s="145"/>
      <c r="C111" s="148"/>
    </row>
    <row r="112" spans="1:8" ht="26.1" customHeight="1">
      <c r="A112" s="145"/>
      <c r="B112" s="145"/>
      <c r="C112" s="646">
        <f>'EXHIBIT D'!G186</f>
        <v>810000</v>
      </c>
      <c r="D112" s="142" t="s">
        <v>160</v>
      </c>
      <c r="E112" s="86"/>
      <c r="F112" s="86"/>
    </row>
    <row r="113" spans="1:8" ht="20.100000000000001" customHeight="1"/>
    <row r="114" spans="1:8" ht="38.450000000000003" customHeight="1">
      <c r="C114" s="1091">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91.790003723422586</v>
      </c>
      <c r="D119" s="11" t="s">
        <v>80</v>
      </c>
    </row>
    <row r="120" spans="1:8" ht="20.100000000000001" customHeight="1">
      <c r="C120" s="151"/>
    </row>
    <row r="121" spans="1:8" ht="20.100000000000001" customHeight="1">
      <c r="C121" s="152">
        <f>IF('EXHIBIT G'!D118=0,"No Credit Hours or Not Applicable",('EXHIBIT G'!D118/'EXHIBIT C'!D19))</f>
        <v>384.71987448188281</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0"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0"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0"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50" zoomScaleNormal="5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Broward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6">
        <v>38867874</v>
      </c>
    </row>
    <row r="14" spans="2:7" ht="25.35" customHeight="1">
      <c r="B14" s="11" t="s">
        <v>173</v>
      </c>
      <c r="D14" s="22"/>
      <c r="E14" s="1160">
        <v>122084927</v>
      </c>
    </row>
    <row r="15" spans="2:7" ht="25.35" customHeight="1">
      <c r="B15" s="22"/>
      <c r="D15" s="22"/>
      <c r="E15" s="156"/>
    </row>
    <row r="16" spans="2:7" ht="25.35" customHeight="1">
      <c r="B16" s="11" t="s">
        <v>751</v>
      </c>
      <c r="C16" s="22"/>
      <c r="D16" s="22"/>
      <c r="E16" s="556">
        <f>+E14+E13</f>
        <v>160952801</v>
      </c>
    </row>
    <row r="17" spans="2:7" ht="25.35" customHeight="1">
      <c r="B17" s="22"/>
      <c r="C17" s="22"/>
      <c r="D17" s="22"/>
      <c r="E17" s="157"/>
    </row>
    <row r="18" spans="2:7" ht="25.35" customHeight="1">
      <c r="B18" s="11" t="s">
        <v>174</v>
      </c>
      <c r="C18" s="22"/>
      <c r="D18" s="22"/>
      <c r="E18" s="167">
        <f>+'EXHIBIT D'!G143-SUM(+'EXHIBIT D'!G133+'EXHIBIT D'!G134)</f>
        <v>211739732.47984162</v>
      </c>
      <c r="G18" s="132"/>
    </row>
    <row r="19" spans="2:7" ht="25.35" customHeight="1">
      <c r="B19" s="11" t="s">
        <v>175</v>
      </c>
      <c r="D19" s="22"/>
      <c r="E19" s="556">
        <f>+'EXHIBIT D'!G133+'EXHIBIT D'!G134</f>
        <v>2068965</v>
      </c>
    </row>
    <row r="20" spans="2:7" ht="25.35" customHeight="1">
      <c r="B20" s="22"/>
      <c r="D20" s="22"/>
      <c r="E20" s="162"/>
    </row>
    <row r="21" spans="2:7" ht="25.35" customHeight="1">
      <c r="B21" s="11" t="s">
        <v>176</v>
      </c>
      <c r="C21" s="22"/>
      <c r="D21" s="22"/>
      <c r="E21" s="557">
        <f>+E19+E18</f>
        <v>213808697.47984162</v>
      </c>
    </row>
    <row r="22" spans="2:7" ht="25.35" customHeight="1">
      <c r="B22" s="22"/>
      <c r="C22" s="22"/>
      <c r="D22" s="22"/>
      <c r="E22" s="162"/>
    </row>
    <row r="23" spans="2:7" ht="25.35" customHeight="1">
      <c r="B23" s="22" t="s">
        <v>177</v>
      </c>
      <c r="C23" s="22"/>
      <c r="D23" s="22"/>
      <c r="E23" s="557">
        <f>+E21+E16</f>
        <v>374761498.47984159</v>
      </c>
    </row>
    <row r="24" spans="2:7" ht="25.35" customHeight="1">
      <c r="B24" s="22"/>
      <c r="C24" s="22"/>
      <c r="D24" s="22"/>
      <c r="E24" s="162"/>
    </row>
    <row r="25" spans="2:7" ht="25.35" customHeight="1">
      <c r="B25" s="11" t="s">
        <v>178</v>
      </c>
      <c r="C25" s="22"/>
      <c r="D25" s="22"/>
      <c r="E25" s="168">
        <f>'EXHIBIT D'!G248-SUM(+'EXHIBIT D'!G222+'EXHIBIT D'!G223)</f>
        <v>242755881</v>
      </c>
    </row>
    <row r="26" spans="2:7" ht="25.35" customHeight="1">
      <c r="B26" s="11" t="s">
        <v>179</v>
      </c>
      <c r="D26" s="22"/>
      <c r="E26" s="556">
        <f>'EXHIBIT D'!G222+'EXHIBIT D'!G223</f>
        <v>1000000</v>
      </c>
    </row>
    <row r="27" spans="2:7" ht="25.35" customHeight="1">
      <c r="B27" s="22"/>
      <c r="D27" s="22"/>
      <c r="E27" s="162"/>
    </row>
    <row r="28" spans="2:7" ht="25.35" customHeight="1">
      <c r="B28" s="22" t="s">
        <v>180</v>
      </c>
      <c r="C28" s="22"/>
      <c r="D28" s="22"/>
      <c r="E28" s="558">
        <f>+E26+E25</f>
        <v>243755881</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131005617.47984159</v>
      </c>
      <c r="E32" s="158"/>
    </row>
    <row r="33" spans="2:10" ht="25.35" customHeight="1">
      <c r="B33" s="11" t="s">
        <v>182</v>
      </c>
      <c r="C33" s="22"/>
      <c r="D33" s="559">
        <f>+'EXHIBIT D'!G186</f>
        <v>810000</v>
      </c>
      <c r="E33" s="158"/>
    </row>
    <row r="34" spans="2:10" ht="25.35" customHeight="1">
      <c r="B34" s="22"/>
      <c r="D34" s="22"/>
      <c r="E34" s="158"/>
      <c r="J34" s="160"/>
    </row>
    <row r="35" spans="2:10" ht="25.35" customHeight="1">
      <c r="B35" s="11" t="s">
        <v>753</v>
      </c>
      <c r="C35" s="22"/>
      <c r="D35" s="22"/>
      <c r="E35" s="161">
        <f>+D32+D33</f>
        <v>131815617.47984159</v>
      </c>
    </row>
    <row r="36" spans="2:10" ht="25.35" customHeight="1">
      <c r="B36" s="11" t="s">
        <v>754</v>
      </c>
      <c r="C36" s="22"/>
      <c r="D36" s="22"/>
      <c r="E36" s="557">
        <f>-'EXHIBIT D'!G264</f>
        <v>122894927</v>
      </c>
      <c r="J36" s="42"/>
    </row>
    <row r="37" spans="2:10" ht="25.35" customHeight="1">
      <c r="D37" s="22"/>
      <c r="E37" s="161"/>
    </row>
    <row r="38" spans="2:10" ht="25.35" customHeight="1">
      <c r="B38" s="22" t="s">
        <v>755</v>
      </c>
      <c r="D38" s="22"/>
      <c r="E38" s="556">
        <f>+E35-E36</f>
        <v>8920690.4798415899</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114100663.47984159</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0.3044620750601974</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Broward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14.74</v>
      </c>
      <c r="F14" s="930">
        <v>4.59</v>
      </c>
      <c r="G14" s="650">
        <f>SUM(B14:F14)</f>
        <v>124.89</v>
      </c>
      <c r="H14" s="355">
        <f>G14*30</f>
        <v>3746.7</v>
      </c>
    </row>
    <row r="15" spans="1:18" s="11" customFormat="1" ht="20.100000000000001" customHeight="1">
      <c r="A15" s="22" t="s">
        <v>200</v>
      </c>
      <c r="B15" s="931">
        <v>82</v>
      </c>
      <c r="C15" s="931">
        <v>4.0999999999999996</v>
      </c>
      <c r="D15" s="931">
        <v>8.1999999999999993</v>
      </c>
      <c r="E15" s="931">
        <v>13.5</v>
      </c>
      <c r="F15" s="931">
        <v>4.0999999999999996</v>
      </c>
      <c r="G15" s="650">
        <f>SUM(B15:F15)</f>
        <v>111.89999999999999</v>
      </c>
      <c r="H15" s="328">
        <f>G15*30</f>
        <v>3356.9999999999995</v>
      </c>
    </row>
    <row r="16" spans="1:18" s="11" customFormat="1" ht="20.100000000000001" customHeight="1" thickBot="1">
      <c r="A16" s="22" t="s">
        <v>75</v>
      </c>
      <c r="B16" s="932">
        <v>73.400000000000006</v>
      </c>
      <c r="C16" s="932">
        <v>3.65</v>
      </c>
      <c r="D16" s="933"/>
      <c r="E16" s="932">
        <v>3.65</v>
      </c>
      <c r="F16" s="932">
        <v>3.65</v>
      </c>
      <c r="G16" s="329">
        <f>SUM(B16:F16)</f>
        <v>84.350000000000023</v>
      </c>
      <c r="H16" s="651">
        <f>G16*30</f>
        <v>2530.5000000000009</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384.72</v>
      </c>
      <c r="D29" s="930">
        <v>23.83</v>
      </c>
      <c r="E29" s="516">
        <f>D14</f>
        <v>9.18</v>
      </c>
      <c r="F29" s="930">
        <v>50.1</v>
      </c>
      <c r="G29" s="930">
        <v>23.83</v>
      </c>
      <c r="H29" s="336">
        <f>SUM(B29:G29)</f>
        <v>583.45000000000005</v>
      </c>
      <c r="I29" s="349">
        <f>H29*30</f>
        <v>17503.5</v>
      </c>
    </row>
    <row r="30" spans="1:11" s="11" customFormat="1" ht="20.100000000000001" customHeight="1">
      <c r="A30" s="22" t="str">
        <f t="shared" si="0"/>
        <v>LOWER LEVEL - CREDIT (A &amp; P, PSV, DEVELOPMENTAL EDUCATION AND EPI)</v>
      </c>
      <c r="B30" s="654">
        <f t="shared" si="0"/>
        <v>82</v>
      </c>
      <c r="C30" s="934">
        <v>226.4</v>
      </c>
      <c r="D30" s="934">
        <v>15.4</v>
      </c>
      <c r="E30" s="655">
        <f>D15</f>
        <v>8.1999999999999993</v>
      </c>
      <c r="F30" s="934">
        <v>19.600000000000001</v>
      </c>
      <c r="G30" s="934">
        <v>15.4</v>
      </c>
      <c r="H30" s="650">
        <f>SUM(B30:G30)</f>
        <v>366.99999999999994</v>
      </c>
      <c r="I30" s="328">
        <f>H30*30</f>
        <v>11009.999999999998</v>
      </c>
    </row>
    <row r="31" spans="1:11" s="11" customFormat="1" ht="20.100000000000001" customHeight="1">
      <c r="A31" s="22" t="str">
        <f t="shared" si="0"/>
        <v>CAREER CERTIFICATE AND APPLIED TECHNOLOGY DIPLOMA</v>
      </c>
      <c r="B31" s="1108">
        <f t="shared" si="0"/>
        <v>73.400000000000006</v>
      </c>
      <c r="C31" s="931">
        <v>209.75</v>
      </c>
      <c r="D31" s="931">
        <v>14.15</v>
      </c>
      <c r="E31" s="1109"/>
      <c r="F31" s="931">
        <v>14.15</v>
      </c>
      <c r="G31" s="931">
        <v>14.15</v>
      </c>
      <c r="H31" s="1110">
        <f>SUM(B31:G31)</f>
        <v>325.59999999999991</v>
      </c>
      <c r="I31" s="1110">
        <f>H31*30</f>
        <v>9767.9999999999964</v>
      </c>
    </row>
    <row r="32" spans="1:11" s="11" customFormat="1" ht="20.100000000000001" customHeight="1" thickBot="1">
      <c r="A32" s="22" t="s">
        <v>738</v>
      </c>
      <c r="B32" s="1125">
        <v>0</v>
      </c>
      <c r="C32" s="1123">
        <v>0</v>
      </c>
      <c r="D32" s="1123">
        <v>0</v>
      </c>
      <c r="E32" s="1124"/>
      <c r="F32" s="1123">
        <v>0</v>
      </c>
      <c r="G32" s="1123">
        <v>0</v>
      </c>
      <c r="H32" s="1110">
        <f>SUM(B32:G32)</f>
        <v>0</v>
      </c>
      <c r="I32" s="1110">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Broward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37968.643269419394</v>
      </c>
      <c r="E10" s="519">
        <v>368.83</v>
      </c>
      <c r="F10" s="520">
        <f t="shared" ref="F10:F15" si="0">+D10-E10</f>
        <v>37599.813269419392</v>
      </c>
      <c r="G10" s="520">
        <f>'EXHIBIT B'!B14</f>
        <v>91.79</v>
      </c>
      <c r="H10" s="1159">
        <f>ROUND(+F10*G10,0)</f>
        <v>3451287</v>
      </c>
    </row>
    <row r="11" spans="1:9" ht="20.100000000000001" customHeight="1">
      <c r="A11" s="661" t="s">
        <v>193</v>
      </c>
      <c r="B11" s="661" t="s">
        <v>125</v>
      </c>
      <c r="C11" s="662" t="s">
        <v>220</v>
      </c>
      <c r="D11" s="660">
        <v>443062.03865853662</v>
      </c>
      <c r="E11" s="660">
        <v>61821.25</v>
      </c>
      <c r="F11" s="663">
        <f t="shared" si="0"/>
        <v>381240.78865853662</v>
      </c>
      <c r="G11" s="663">
        <f>+'EXHIBIT B'!B15</f>
        <v>82</v>
      </c>
      <c r="H11" s="664">
        <f t="shared" ref="H11:H15" si="1">ROUND(+F11*G11,0)</f>
        <v>31261745</v>
      </c>
    </row>
    <row r="12" spans="1:9" ht="20.100000000000001" customHeight="1">
      <c r="A12" s="661" t="s">
        <v>193</v>
      </c>
      <c r="B12" s="661" t="s">
        <v>126</v>
      </c>
      <c r="C12" s="662" t="s">
        <v>221</v>
      </c>
      <c r="D12" s="660">
        <v>233488.85073170735</v>
      </c>
      <c r="E12" s="660">
        <v>17512.13</v>
      </c>
      <c r="F12" s="663">
        <f t="shared" si="0"/>
        <v>215976.72073170735</v>
      </c>
      <c r="G12" s="663">
        <f>+'EXHIBIT B'!B15</f>
        <v>82</v>
      </c>
      <c r="H12" s="664">
        <f t="shared" si="1"/>
        <v>17710091</v>
      </c>
    </row>
    <row r="13" spans="1:9" ht="20.100000000000001" customHeight="1">
      <c r="A13" s="661" t="s">
        <v>193</v>
      </c>
      <c r="B13" s="661" t="s">
        <v>75</v>
      </c>
      <c r="C13" s="662" t="s">
        <v>222</v>
      </c>
      <c r="D13" s="665">
        <v>8267.2058855585819</v>
      </c>
      <c r="E13" s="665">
        <v>0</v>
      </c>
      <c r="F13" s="663">
        <f t="shared" si="0"/>
        <v>8267.2058855585819</v>
      </c>
      <c r="G13" s="663">
        <f>+'EXHIBIT B'!B16</f>
        <v>73.400000000000006</v>
      </c>
      <c r="H13" s="664">
        <f t="shared" si="1"/>
        <v>606813</v>
      </c>
    </row>
    <row r="14" spans="1:9" ht="20.100000000000001" customHeight="1">
      <c r="A14" s="661" t="s">
        <v>193</v>
      </c>
      <c r="B14" s="661" t="s">
        <v>127</v>
      </c>
      <c r="C14" s="662" t="s">
        <v>223</v>
      </c>
      <c r="D14" s="660">
        <v>20481.781585365854</v>
      </c>
      <c r="E14" s="660">
        <v>318.5</v>
      </c>
      <c r="F14" s="663">
        <f t="shared" si="0"/>
        <v>20163.281585365854</v>
      </c>
      <c r="G14" s="663">
        <f>+'EXHIBIT B'!B15</f>
        <v>82</v>
      </c>
      <c r="H14" s="664">
        <f t="shared" si="1"/>
        <v>1653389</v>
      </c>
    </row>
    <row r="15" spans="1:9" ht="20.100000000000001" customHeight="1" thickBot="1">
      <c r="A15" s="666" t="s">
        <v>193</v>
      </c>
      <c r="B15" s="666" t="s">
        <v>128</v>
      </c>
      <c r="C15" s="667">
        <v>40160</v>
      </c>
      <c r="D15" s="668">
        <v>114.57414634146342</v>
      </c>
      <c r="E15" s="668">
        <v>0</v>
      </c>
      <c r="F15" s="669">
        <f t="shared" si="0"/>
        <v>114.57414634146342</v>
      </c>
      <c r="G15" s="669">
        <f>+'EXHIBIT B'!B15</f>
        <v>82</v>
      </c>
      <c r="H15" s="670">
        <f t="shared" si="1"/>
        <v>9395</v>
      </c>
    </row>
    <row r="16" spans="1:9" ht="24.95" customHeight="1" thickBot="1">
      <c r="A16" s="286"/>
      <c r="B16" s="286"/>
      <c r="C16" s="286"/>
      <c r="D16" s="287"/>
      <c r="E16" s="287"/>
      <c r="F16" s="288"/>
      <c r="G16" s="288"/>
      <c r="H16" s="289"/>
    </row>
    <row r="17" spans="1:9" ht="24.95" customHeight="1" thickBot="1">
      <c r="A17" s="290"/>
      <c r="B17" s="291" t="s">
        <v>224</v>
      </c>
      <c r="C17" s="291"/>
      <c r="D17" s="292">
        <f>SUM(D10:D15)</f>
        <v>743383.09427692927</v>
      </c>
      <c r="E17" s="292">
        <f>SUM(E10:E15)</f>
        <v>80020.710000000006</v>
      </c>
      <c r="F17" s="293">
        <f>SUM(F10:F15)</f>
        <v>663362.38427692931</v>
      </c>
      <c r="G17" s="293"/>
      <c r="H17" s="294">
        <f>SUM(H10:H15)</f>
        <v>54692720</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876.36751403618302</v>
      </c>
      <c r="E19" s="672">
        <f>'EXHIBIT B'!C29</f>
        <v>384.72</v>
      </c>
      <c r="F19" s="1158">
        <f t="shared" ref="F19:F25" si="2">ROUND(+D19*E19,0)</f>
        <v>337156</v>
      </c>
      <c r="G19" s="296"/>
      <c r="H19" s="296"/>
    </row>
    <row r="20" spans="1:9" ht="20.100000000000001" customHeight="1">
      <c r="A20" s="612" t="s">
        <v>208</v>
      </c>
      <c r="B20" s="612" t="s">
        <v>125</v>
      </c>
      <c r="C20" s="673" t="s">
        <v>227</v>
      </c>
      <c r="D20" s="680">
        <v>19907.912809187401</v>
      </c>
      <c r="E20" s="674">
        <f>+'EXHIBIT B'!C30</f>
        <v>226.4</v>
      </c>
      <c r="F20" s="675">
        <f t="shared" si="2"/>
        <v>4507151</v>
      </c>
      <c r="G20" s="42"/>
      <c r="H20" s="42"/>
    </row>
    <row r="21" spans="1:9" ht="20.100000000000001" customHeight="1">
      <c r="A21" s="612" t="s">
        <v>208</v>
      </c>
      <c r="B21" s="612" t="s">
        <v>126</v>
      </c>
      <c r="C21" s="673" t="s">
        <v>228</v>
      </c>
      <c r="D21" s="680">
        <v>10871.870715547639</v>
      </c>
      <c r="E21" s="674">
        <f>+'EXHIBIT B'!C30</f>
        <v>226.4</v>
      </c>
      <c r="F21" s="675">
        <f t="shared" si="2"/>
        <v>2461392</v>
      </c>
      <c r="G21" s="42"/>
      <c r="H21" s="42"/>
    </row>
    <row r="22" spans="1:9" ht="20.100000000000001" customHeight="1">
      <c r="A22" s="612" t="s">
        <v>208</v>
      </c>
      <c r="B22" s="612" t="s">
        <v>75</v>
      </c>
      <c r="C22" s="673" t="s">
        <v>229</v>
      </c>
      <c r="D22" s="680">
        <v>0</v>
      </c>
      <c r="E22" s="674">
        <f>+'EXHIBIT B'!C31</f>
        <v>209.75</v>
      </c>
      <c r="F22" s="675">
        <f t="shared" si="2"/>
        <v>0</v>
      </c>
      <c r="G22" s="42"/>
      <c r="H22" s="42"/>
    </row>
    <row r="23" spans="1:9" ht="20.100000000000001" customHeight="1">
      <c r="A23" s="612" t="s">
        <v>208</v>
      </c>
      <c r="B23" s="612" t="s">
        <v>127</v>
      </c>
      <c r="C23" s="673" t="s">
        <v>230</v>
      </c>
      <c r="D23" s="680">
        <v>2717.9848056537103</v>
      </c>
      <c r="E23" s="674">
        <f>+'EXHIBIT B'!C30</f>
        <v>226.4</v>
      </c>
      <c r="F23" s="675">
        <f t="shared" si="2"/>
        <v>615352</v>
      </c>
      <c r="G23" s="42"/>
      <c r="H23" s="42"/>
    </row>
    <row r="24" spans="1:9" ht="20.100000000000001" customHeight="1">
      <c r="A24" s="1020" t="s">
        <v>208</v>
      </c>
      <c r="B24" s="1020" t="s">
        <v>128</v>
      </c>
      <c r="C24" s="1113">
        <v>40360</v>
      </c>
      <c r="D24" s="1114">
        <v>0</v>
      </c>
      <c r="E24" s="1115">
        <f>+'EXHIBIT B'!C30</f>
        <v>226.4</v>
      </c>
      <c r="F24" s="1116">
        <f t="shared" si="2"/>
        <v>0</v>
      </c>
      <c r="G24" s="42"/>
      <c r="H24" s="42"/>
    </row>
    <row r="25" spans="1:9" ht="20.100000000000001" customHeight="1" thickBot="1">
      <c r="A25" s="373" t="s">
        <v>208</v>
      </c>
      <c r="B25" s="373" t="s">
        <v>735</v>
      </c>
      <c r="C25" s="1111" t="s">
        <v>736</v>
      </c>
      <c r="D25" s="1112">
        <v>0</v>
      </c>
      <c r="E25" s="1115">
        <f>+'EXHIBIT B'!H32</f>
        <v>0</v>
      </c>
      <c r="F25" s="1116">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34374.135844424934</v>
      </c>
      <c r="E27" s="678"/>
      <c r="F27" s="679">
        <f>SUM(F19:F25)</f>
        <v>7921051</v>
      </c>
      <c r="G27" s="300"/>
      <c r="H27" s="300"/>
    </row>
    <row r="28" spans="1:9" ht="20.100000000000001" customHeight="1" thickBot="1">
      <c r="A28" s="301" t="s">
        <v>231</v>
      </c>
      <c r="B28" s="301"/>
      <c r="C28" s="301"/>
      <c r="D28" s="301"/>
      <c r="E28" s="301"/>
      <c r="F28" s="302"/>
      <c r="G28" s="521"/>
      <c r="H28" s="303">
        <f>H17+F27</f>
        <v>62613771</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6">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62613771</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1000000</v>
      </c>
      <c r="C55" s="1094" t="s">
        <v>784</v>
      </c>
      <c r="D55" s="1095"/>
      <c r="E55" s="936" t="s">
        <v>785</v>
      </c>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1000000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7">
        <v>2068965</v>
      </c>
      <c r="C64" s="936" t="s">
        <v>786</v>
      </c>
      <c r="D64" s="937"/>
      <c r="E64" s="936" t="s">
        <v>784</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2068965</v>
      </c>
      <c r="C70" s="946"/>
      <c r="D70" s="947"/>
      <c r="E70" s="946"/>
      <c r="F70" s="947"/>
    </row>
    <row r="71" spans="1:6" ht="24.95" customHeight="1" thickBot="1">
      <c r="A71" s="280" t="s">
        <v>256</v>
      </c>
      <c r="B71" s="281">
        <f>+B70+B61</f>
        <v>3068965</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Broward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19" t="s">
        <v>208</v>
      </c>
      <c r="B27" s="572" t="s">
        <v>128</v>
      </c>
      <c r="C27" s="1120">
        <v>40360</v>
      </c>
      <c r="D27" s="1121">
        <v>0</v>
      </c>
      <c r="E27" s="1121">
        <v>0</v>
      </c>
    </row>
    <row r="28" spans="1:5" s="169" customFormat="1" ht="24.95" customHeight="1" thickBot="1">
      <c r="A28" s="1117" t="s">
        <v>208</v>
      </c>
      <c r="B28" s="1122" t="s">
        <v>735</v>
      </c>
      <c r="C28" s="410" t="s">
        <v>736</v>
      </c>
      <c r="D28" s="430">
        <v>0</v>
      </c>
      <c r="E28" s="1118">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Broward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8">
        <f>+'EXHIBIT C'!H10+'EXHIBIT C(2)'!E13</f>
        <v>3451287</v>
      </c>
    </row>
    <row r="13" spans="1:8" ht="20.100000000000001" customHeight="1">
      <c r="A13" s="478" t="s">
        <v>193</v>
      </c>
      <c r="B13" s="176"/>
      <c r="C13" s="169" t="s">
        <v>125</v>
      </c>
      <c r="D13" s="176"/>
      <c r="E13" s="176"/>
      <c r="F13" s="180" t="s">
        <v>220</v>
      </c>
      <c r="G13" s="1148">
        <f>+'EXHIBIT C'!H11+'EXHIBIT C(2)'!E14</f>
        <v>31261745</v>
      </c>
    </row>
    <row r="14" spans="1:8" ht="20.100000000000001" customHeight="1">
      <c r="A14" s="478" t="s">
        <v>193</v>
      </c>
      <c r="B14" s="176"/>
      <c r="C14" s="176" t="s">
        <v>126</v>
      </c>
      <c r="D14" s="176"/>
      <c r="E14" s="176"/>
      <c r="F14" s="180" t="s">
        <v>221</v>
      </c>
      <c r="G14" s="1149">
        <f>+'EXHIBIT C'!H12+'EXHIBIT C(2)'!E15</f>
        <v>17710091</v>
      </c>
    </row>
    <row r="15" spans="1:8" ht="20.100000000000001" customHeight="1">
      <c r="A15" s="478" t="s">
        <v>193</v>
      </c>
      <c r="B15" s="176"/>
      <c r="C15" s="181" t="s">
        <v>273</v>
      </c>
      <c r="D15" s="176"/>
      <c r="E15" s="176"/>
      <c r="F15" s="180" t="s">
        <v>222</v>
      </c>
      <c r="G15" s="1149">
        <f>+'EXHIBIT C'!H13+'EXHIBIT C(2)'!E16</f>
        <v>606813</v>
      </c>
    </row>
    <row r="16" spans="1:8" ht="20.100000000000001" customHeight="1">
      <c r="A16" s="478" t="s">
        <v>193</v>
      </c>
      <c r="B16" s="176"/>
      <c r="C16" s="181" t="s">
        <v>274</v>
      </c>
      <c r="D16" s="176"/>
      <c r="E16" s="176"/>
      <c r="F16" s="180" t="s">
        <v>223</v>
      </c>
      <c r="G16" s="182">
        <f>+'EXHIBIT C'!H14+'EXHIBIT C(2)'!E17</f>
        <v>1653389</v>
      </c>
    </row>
    <row r="17" spans="1:7" ht="20.100000000000001" customHeight="1">
      <c r="A17" s="478" t="s">
        <v>193</v>
      </c>
      <c r="B17" s="176"/>
      <c r="C17" s="169" t="s">
        <v>128</v>
      </c>
      <c r="D17" s="176"/>
      <c r="E17" s="176"/>
      <c r="F17" s="179">
        <v>40160</v>
      </c>
      <c r="G17" s="182">
        <f>+'EXHIBIT C'!H15+'EXHIBIT C(2)'!E18</f>
        <v>9395</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54692720</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0">
        <f>+'EXHIBIT C'!F19+'EXHIBIT C(2)'!E22</f>
        <v>337156</v>
      </c>
    </row>
    <row r="22" spans="1:7" ht="20.100000000000001" customHeight="1">
      <c r="A22" s="478" t="s">
        <v>208</v>
      </c>
      <c r="B22" s="176"/>
      <c r="C22" s="169" t="s">
        <v>125</v>
      </c>
      <c r="D22" s="176"/>
      <c r="E22" s="176"/>
      <c r="F22" s="180" t="s">
        <v>227</v>
      </c>
      <c r="G22" s="1150">
        <f>+'EXHIBIT C'!F20+'EXHIBIT C(2)'!E23</f>
        <v>4507151</v>
      </c>
    </row>
    <row r="23" spans="1:7" ht="20.100000000000001" customHeight="1">
      <c r="A23" s="478" t="s">
        <v>208</v>
      </c>
      <c r="B23" s="176"/>
      <c r="C23" s="176" t="s">
        <v>126</v>
      </c>
      <c r="D23" s="176"/>
      <c r="E23" s="176"/>
      <c r="F23" s="180" t="s">
        <v>228</v>
      </c>
      <c r="G23" s="1151">
        <f>+'EXHIBIT C'!F21+'EXHIBIT C(2)'!E24</f>
        <v>2461392</v>
      </c>
    </row>
    <row r="24" spans="1:7" ht="20.100000000000001" customHeight="1">
      <c r="A24" s="478" t="s">
        <v>208</v>
      </c>
      <c r="B24" s="176"/>
      <c r="C24" s="181" t="s">
        <v>273</v>
      </c>
      <c r="D24" s="176"/>
      <c r="E24" s="176"/>
      <c r="F24" s="180" t="s">
        <v>229</v>
      </c>
      <c r="G24" s="1151">
        <f>+'EXHIBIT C'!F22+'EXHIBIT C(2)'!E25</f>
        <v>0</v>
      </c>
    </row>
    <row r="25" spans="1:7" ht="20.100000000000001" customHeight="1">
      <c r="A25" s="478" t="s">
        <v>208</v>
      </c>
      <c r="B25" s="176"/>
      <c r="C25" s="181" t="s">
        <v>274</v>
      </c>
      <c r="D25" s="176"/>
      <c r="E25" s="176"/>
      <c r="F25" s="180" t="s">
        <v>230</v>
      </c>
      <c r="G25" s="1151">
        <f>+'EXHIBIT C'!F23+'EXHIBIT C(2)'!E26</f>
        <v>615352</v>
      </c>
    </row>
    <row r="26" spans="1:7" ht="20.100000000000001" customHeight="1">
      <c r="A26" s="478" t="s">
        <v>208</v>
      </c>
      <c r="B26" s="176"/>
      <c r="C26" s="169" t="s">
        <v>128</v>
      </c>
      <c r="D26" s="176"/>
      <c r="E26" s="176"/>
      <c r="F26" s="179">
        <v>40360</v>
      </c>
      <c r="G26" s="1151">
        <f>+'EXHIBIT C'!F24+'EXHIBIT C(2)'!E27</f>
        <v>0</v>
      </c>
    </row>
    <row r="27" spans="1:7" ht="20.100000000000001" customHeight="1">
      <c r="A27" s="478" t="s">
        <v>208</v>
      </c>
      <c r="B27" s="176"/>
      <c r="C27" s="169" t="s">
        <v>735</v>
      </c>
      <c r="D27" s="176"/>
      <c r="E27" s="176"/>
      <c r="F27" s="179" t="s">
        <v>736</v>
      </c>
      <c r="G27" s="1151">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7921051</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1">
        <f>'EXHIBIT C'!F40</f>
        <v>0</v>
      </c>
    </row>
    <row r="39" spans="1:7" ht="20.100000000000001" customHeight="1">
      <c r="A39" s="478" t="s">
        <v>280</v>
      </c>
      <c r="B39" s="176"/>
      <c r="C39" s="822" t="s">
        <v>240</v>
      </c>
      <c r="D39" s="822"/>
      <c r="E39" s="822"/>
      <c r="F39" s="180" t="s">
        <v>246</v>
      </c>
      <c r="G39" s="1151">
        <f>'EXHIBIT C'!F41</f>
        <v>0</v>
      </c>
    </row>
    <row r="40" spans="1:7" ht="20.100000000000001" customHeight="1">
      <c r="A40" s="478" t="s">
        <v>281</v>
      </c>
      <c r="B40" s="176"/>
      <c r="C40" s="176" t="s">
        <v>238</v>
      </c>
      <c r="D40" s="176"/>
      <c r="E40" s="176"/>
      <c r="F40" s="180" t="s">
        <v>245</v>
      </c>
      <c r="G40" s="1151">
        <f>'EXHIBIT C'!F42</f>
        <v>0</v>
      </c>
    </row>
    <row r="41" spans="1:7" ht="20.100000000000001" customHeight="1">
      <c r="A41" s="478" t="s">
        <v>281</v>
      </c>
      <c r="B41" s="176"/>
      <c r="C41" s="822" t="s">
        <v>240</v>
      </c>
      <c r="D41" s="822"/>
      <c r="E41" s="822"/>
      <c r="F41" s="180" t="s">
        <v>246</v>
      </c>
      <c r="G41" s="1151">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62613771</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2">
        <v>0</v>
      </c>
    </row>
    <row r="48" spans="1:7" ht="20.100000000000001" customHeight="1">
      <c r="A48" s="478" t="s">
        <v>286</v>
      </c>
      <c r="B48" s="187"/>
      <c r="C48" s="187"/>
      <c r="D48" s="187"/>
      <c r="E48" s="187"/>
      <c r="F48" s="188" t="s">
        <v>287</v>
      </c>
      <c r="G48" s="1152">
        <v>273811</v>
      </c>
    </row>
    <row r="49" spans="1:7" ht="20.100000000000001" customHeight="1">
      <c r="A49" s="478" t="s">
        <v>288</v>
      </c>
      <c r="C49" s="187"/>
      <c r="D49" s="187"/>
      <c r="E49" s="187"/>
      <c r="F49" s="188" t="s">
        <v>289</v>
      </c>
      <c r="G49" s="1152">
        <v>0</v>
      </c>
    </row>
    <row r="50" spans="1:7" ht="20.100000000000001" customHeight="1">
      <c r="A50" s="478" t="s">
        <v>290</v>
      </c>
      <c r="B50" s="176"/>
      <c r="C50" s="176"/>
      <c r="D50" s="176"/>
      <c r="E50" s="176"/>
      <c r="F50" s="180" t="s">
        <v>291</v>
      </c>
      <c r="G50" s="1152">
        <v>0</v>
      </c>
    </row>
    <row r="51" spans="1:7" ht="20.100000000000001" customHeight="1">
      <c r="A51" s="478" t="s">
        <v>774</v>
      </c>
      <c r="B51" s="176"/>
      <c r="C51" s="176"/>
      <c r="D51" s="176"/>
      <c r="E51" s="176"/>
      <c r="F51" s="195">
        <v>40280</v>
      </c>
      <c r="G51" s="1152">
        <v>4419095</v>
      </c>
    </row>
    <row r="52" spans="1:7" ht="20.100000000000001" customHeight="1">
      <c r="A52" s="478" t="s">
        <v>292</v>
      </c>
      <c r="B52" s="176"/>
      <c r="C52" s="176"/>
      <c r="D52" s="176"/>
      <c r="E52" s="176"/>
      <c r="F52" s="180" t="s">
        <v>293</v>
      </c>
      <c r="G52" s="1152">
        <v>1854281</v>
      </c>
    </row>
    <row r="53" spans="1:7" ht="20.100000000000001" customHeight="1">
      <c r="A53" s="478" t="s">
        <v>294</v>
      </c>
      <c r="B53" s="176"/>
      <c r="C53" s="176"/>
      <c r="D53" s="176"/>
      <c r="E53" s="176"/>
      <c r="F53" s="179">
        <v>40450</v>
      </c>
      <c r="G53" s="1152">
        <v>2249264</v>
      </c>
    </row>
    <row r="54" spans="1:7" ht="20.100000000000001" customHeight="1">
      <c r="A54" s="478" t="s">
        <v>295</v>
      </c>
      <c r="B54" s="176"/>
      <c r="C54" s="176"/>
      <c r="D54" s="176"/>
      <c r="E54" s="176"/>
      <c r="F54" s="180" t="s">
        <v>296</v>
      </c>
      <c r="G54" s="1152">
        <v>566406</v>
      </c>
    </row>
    <row r="55" spans="1:7" ht="20.100000000000001" customHeight="1">
      <c r="A55" s="478" t="s">
        <v>297</v>
      </c>
      <c r="B55" s="176"/>
      <c r="C55" s="176"/>
      <c r="D55" s="176"/>
      <c r="E55" s="176"/>
      <c r="F55" s="188" t="s">
        <v>298</v>
      </c>
      <c r="G55" s="1152">
        <v>0</v>
      </c>
    </row>
    <row r="56" spans="1:7" ht="20.100000000000001" customHeight="1">
      <c r="A56" s="478" t="s">
        <v>299</v>
      </c>
      <c r="B56" s="176"/>
      <c r="C56" s="176"/>
      <c r="D56" s="176"/>
      <c r="E56" s="176"/>
      <c r="F56" s="180" t="s">
        <v>300</v>
      </c>
      <c r="G56" s="1152">
        <v>0</v>
      </c>
    </row>
    <row r="57" spans="1:7" ht="20.100000000000001" customHeight="1">
      <c r="A57" s="478" t="s">
        <v>301</v>
      </c>
      <c r="B57" s="176"/>
      <c r="C57" s="176"/>
      <c r="D57" s="176"/>
      <c r="E57" s="176"/>
      <c r="F57" s="188" t="s">
        <v>302</v>
      </c>
      <c r="G57" s="1152">
        <v>0</v>
      </c>
    </row>
    <row r="58" spans="1:7" ht="20.100000000000001" customHeight="1">
      <c r="A58" s="478" t="s">
        <v>303</v>
      </c>
      <c r="B58" s="176"/>
      <c r="C58" s="176"/>
      <c r="D58" s="176"/>
      <c r="E58" s="176"/>
      <c r="F58" s="180" t="s">
        <v>304</v>
      </c>
      <c r="G58" s="1152">
        <v>115960</v>
      </c>
    </row>
    <row r="59" spans="1:7" ht="20.100000000000001" customHeight="1">
      <c r="A59" s="478" t="s">
        <v>305</v>
      </c>
      <c r="B59" s="176"/>
      <c r="C59" s="176"/>
      <c r="D59" s="176"/>
      <c r="E59" s="176"/>
      <c r="F59" s="180" t="s">
        <v>306</v>
      </c>
      <c r="G59" s="1152">
        <v>0</v>
      </c>
    </row>
    <row r="60" spans="1:7" ht="20.100000000000001" customHeight="1">
      <c r="A60" s="478" t="s">
        <v>307</v>
      </c>
      <c r="B60" s="176"/>
      <c r="C60" s="176"/>
      <c r="D60" s="176"/>
      <c r="E60" s="176"/>
      <c r="F60" s="189" t="s">
        <v>308</v>
      </c>
      <c r="G60" s="1152">
        <v>3053194</v>
      </c>
    </row>
    <row r="61" spans="1:7" ht="20.100000000000001" customHeight="1">
      <c r="A61" s="478" t="s">
        <v>309</v>
      </c>
      <c r="B61" s="176"/>
      <c r="C61" s="176"/>
      <c r="D61" s="176"/>
      <c r="E61" s="176"/>
      <c r="F61" s="180" t="s">
        <v>310</v>
      </c>
      <c r="G61" s="1152">
        <v>5387253</v>
      </c>
    </row>
    <row r="62" spans="1:7" ht="20.100000000000001" customHeight="1">
      <c r="A62" s="478" t="s">
        <v>311</v>
      </c>
      <c r="B62" s="176"/>
      <c r="C62" s="176"/>
      <c r="D62" s="176"/>
      <c r="E62" s="176"/>
      <c r="F62" s="188" t="s">
        <v>312</v>
      </c>
      <c r="G62" s="1152">
        <v>0</v>
      </c>
    </row>
    <row r="63" spans="1:7" ht="20.100000000000001" customHeight="1">
      <c r="A63" s="478" t="s">
        <v>313</v>
      </c>
      <c r="B63" s="176"/>
      <c r="C63" s="176"/>
      <c r="D63" s="176"/>
      <c r="E63" s="176"/>
      <c r="F63" s="188" t="s">
        <v>314</v>
      </c>
      <c r="G63" s="1152">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80533035</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2">
        <v>0</v>
      </c>
    </row>
    <row r="70" spans="1:7" ht="20.100000000000001" customHeight="1">
      <c r="A70" s="478" t="s">
        <v>319</v>
      </c>
      <c r="B70" s="176"/>
      <c r="C70" s="176"/>
      <c r="D70" s="176"/>
      <c r="E70" s="176"/>
      <c r="F70" s="180" t="s">
        <v>320</v>
      </c>
      <c r="G70" s="1152">
        <v>0</v>
      </c>
    </row>
    <row r="71" spans="1:7" ht="20.100000000000001" customHeight="1">
      <c r="A71" s="478" t="s">
        <v>321</v>
      </c>
      <c r="B71" s="176"/>
      <c r="C71" s="176"/>
      <c r="D71" s="176"/>
      <c r="E71" s="176"/>
      <c r="F71" s="180" t="s">
        <v>322</v>
      </c>
      <c r="G71" s="1152">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3">
        <f>'CHECK SHEET'!D84</f>
        <v>95116848</v>
      </c>
    </row>
    <row r="78" spans="1:7" ht="20.100000000000001" customHeight="1">
      <c r="A78" s="478" t="s">
        <v>689</v>
      </c>
      <c r="B78" s="176"/>
      <c r="C78" s="176"/>
      <c r="D78" s="176"/>
      <c r="E78" s="176"/>
      <c r="F78" s="179">
        <v>42130</v>
      </c>
      <c r="G78" s="1154">
        <v>1301446</v>
      </c>
    </row>
    <row r="79" spans="1:7" ht="20.100000000000001" customHeight="1">
      <c r="A79" s="480" t="s">
        <v>327</v>
      </c>
      <c r="B79" s="481"/>
      <c r="C79" s="481"/>
      <c r="D79" s="481"/>
      <c r="E79" s="481"/>
      <c r="F79" s="191" t="s">
        <v>328</v>
      </c>
      <c r="G79" s="1152">
        <v>2323631</v>
      </c>
    </row>
    <row r="80" spans="1:7" ht="20.100000000000001" customHeight="1">
      <c r="A80" s="478" t="s">
        <v>329</v>
      </c>
      <c r="B80" s="176"/>
      <c r="C80" s="176"/>
      <c r="D80" s="176"/>
      <c r="E80" s="176"/>
      <c r="F80" s="180" t="s">
        <v>330</v>
      </c>
      <c r="G80" s="1154">
        <v>0</v>
      </c>
    </row>
    <row r="81" spans="1:10" ht="20.100000000000001" customHeight="1">
      <c r="A81" s="478" t="s">
        <v>707</v>
      </c>
      <c r="B81" s="176"/>
      <c r="C81" s="176"/>
      <c r="D81" s="176"/>
      <c r="E81" s="176"/>
      <c r="F81" s="180" t="s">
        <v>331</v>
      </c>
      <c r="G81" s="1154">
        <v>1358000</v>
      </c>
    </row>
    <row r="82" spans="1:10" ht="20.100000000000001" customHeight="1">
      <c r="A82" s="478" t="s">
        <v>332</v>
      </c>
      <c r="B82" s="176"/>
      <c r="C82" s="176"/>
      <c r="D82" s="176"/>
      <c r="E82" s="176"/>
      <c r="F82" s="180" t="s">
        <v>333</v>
      </c>
      <c r="G82" s="1153">
        <f>'CHECK SHEET'!D86</f>
        <v>19094038.479841623</v>
      </c>
    </row>
    <row r="83" spans="1:10" ht="20.100000000000001" customHeight="1">
      <c r="A83" s="482" t="s">
        <v>334</v>
      </c>
      <c r="B83" s="483"/>
      <c r="C83" s="483"/>
      <c r="D83" s="483"/>
      <c r="E83" s="483"/>
      <c r="F83" s="190" t="s">
        <v>335</v>
      </c>
      <c r="G83" s="1154">
        <v>1254149</v>
      </c>
    </row>
    <row r="84" spans="1:10" ht="20.100000000000001" customHeight="1">
      <c r="A84" s="478" t="s">
        <v>336</v>
      </c>
      <c r="B84" s="176"/>
      <c r="C84" s="176"/>
      <c r="D84" s="176"/>
      <c r="E84" s="176"/>
      <c r="F84" s="180" t="s">
        <v>337</v>
      </c>
      <c r="G84" s="1154">
        <v>96872</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120544984.47984162</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4">
        <v>1071001</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1071001</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232474</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232474</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2323968</v>
      </c>
    </row>
    <row r="112" spans="1:7" ht="20.100000000000001" customHeight="1">
      <c r="A112" s="478" t="s">
        <v>361</v>
      </c>
      <c r="B112" s="176"/>
      <c r="C112" s="176"/>
      <c r="D112" s="176"/>
      <c r="E112" s="176"/>
      <c r="F112" s="180" t="s">
        <v>362</v>
      </c>
      <c r="G112" s="432">
        <v>0</v>
      </c>
    </row>
    <row r="113" spans="1:7" ht="20.100000000000001" customHeight="1">
      <c r="A113" s="478" t="s">
        <v>363</v>
      </c>
      <c r="B113" s="176"/>
      <c r="C113" s="176"/>
      <c r="D113" s="176"/>
      <c r="E113" s="176"/>
      <c r="F113" s="180" t="s">
        <v>364</v>
      </c>
      <c r="G113" s="432">
        <v>3628</v>
      </c>
    </row>
    <row r="114" spans="1:7" ht="20.100000000000001" customHeight="1">
      <c r="A114" s="478" t="s">
        <v>365</v>
      </c>
      <c r="B114" s="176"/>
      <c r="C114" s="176"/>
      <c r="D114" s="176"/>
      <c r="E114" s="176"/>
      <c r="F114" s="180" t="s">
        <v>366</v>
      </c>
      <c r="G114" s="1040">
        <v>33710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2361306</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5">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5300000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6280</v>
      </c>
    </row>
    <row r="127" spans="1:7" ht="20.100000000000001" customHeight="1">
      <c r="A127" s="478" t="s">
        <v>378</v>
      </c>
      <c r="B127" s="176"/>
      <c r="C127" s="176"/>
      <c r="D127" s="176"/>
      <c r="E127" s="176"/>
      <c r="F127" s="180" t="s">
        <v>379</v>
      </c>
      <c r="G127" s="432">
        <v>1690652</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6996932</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6">
        <v>49200</v>
      </c>
      <c r="G134" s="432">
        <v>2068965</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2068965</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213808697.47984162</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2699760</v>
      </c>
    </row>
    <row r="148" spans="1:7" ht="20.100000000000001" customHeight="1">
      <c r="A148" s="478" t="s">
        <v>396</v>
      </c>
      <c r="F148" s="180" t="s">
        <v>397</v>
      </c>
      <c r="G148" s="434">
        <v>2065114</v>
      </c>
    </row>
    <row r="149" spans="1:7" ht="20.100000000000001" customHeight="1">
      <c r="A149" s="478" t="s">
        <v>398</v>
      </c>
      <c r="F149" s="180" t="s">
        <v>399</v>
      </c>
      <c r="G149" s="434">
        <v>10526264</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28274206</v>
      </c>
    </row>
    <row r="153" spans="1:7" ht="20.100000000000001" customHeight="1">
      <c r="A153" s="478" t="s">
        <v>406</v>
      </c>
      <c r="B153" s="176"/>
      <c r="C153" s="176"/>
      <c r="D153" s="176"/>
      <c r="E153" s="176"/>
      <c r="F153" s="180" t="s">
        <v>407</v>
      </c>
      <c r="G153" s="434">
        <v>6577070</v>
      </c>
    </row>
    <row r="154" spans="1:7" ht="20.100000000000001" customHeight="1">
      <c r="A154" s="478" t="s">
        <v>408</v>
      </c>
      <c r="B154" s="176"/>
      <c r="C154" s="176"/>
      <c r="D154" s="176"/>
      <c r="E154" s="176"/>
      <c r="F154" s="180" t="s">
        <v>409</v>
      </c>
      <c r="G154" s="434">
        <v>13008</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19122</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17408421</v>
      </c>
    </row>
    <row r="163" spans="1:7" ht="20.100000000000001" customHeight="1">
      <c r="A163" s="478" t="s">
        <v>425</v>
      </c>
      <c r="B163" s="176"/>
      <c r="C163" s="176"/>
      <c r="D163" s="176"/>
      <c r="E163" s="176"/>
      <c r="F163" s="180" t="s">
        <v>426</v>
      </c>
      <c r="G163" s="434">
        <v>86430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20737928</v>
      </c>
    </row>
    <row r="168" spans="1:7" ht="20.100000000000001" customHeight="1">
      <c r="A168" s="478" t="s">
        <v>435</v>
      </c>
      <c r="B168" s="176"/>
      <c r="C168" s="176"/>
      <c r="D168" s="176"/>
      <c r="E168" s="176"/>
      <c r="F168" s="180" t="s">
        <v>436</v>
      </c>
      <c r="G168" s="434">
        <v>98833</v>
      </c>
    </row>
    <row r="169" spans="1:7" ht="20.100000000000001" customHeight="1">
      <c r="A169" s="478" t="s">
        <v>437</v>
      </c>
      <c r="B169" s="176"/>
      <c r="C169" s="176"/>
      <c r="D169" s="176"/>
      <c r="E169" s="176"/>
      <c r="F169" s="180" t="s">
        <v>438</v>
      </c>
      <c r="G169" s="434">
        <v>4208400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11832181</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14269</v>
      </c>
    </row>
    <row r="177" spans="1:7" ht="20.100000000000001" customHeight="1">
      <c r="A177" s="486" t="s">
        <v>450</v>
      </c>
      <c r="F177" s="195" t="s">
        <v>451</v>
      </c>
      <c r="G177" s="434">
        <v>58006</v>
      </c>
    </row>
    <row r="178" spans="1:7" ht="20.100000000000001" customHeight="1">
      <c r="A178" s="478" t="s">
        <v>452</v>
      </c>
      <c r="B178" s="176"/>
      <c r="C178" s="176"/>
      <c r="D178" s="176"/>
      <c r="E178" s="176"/>
      <c r="F178" s="180" t="s">
        <v>453</v>
      </c>
      <c r="G178" s="434">
        <v>1007030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175642</v>
      </c>
    </row>
    <row r="183" spans="1:7" ht="20.100000000000001" customHeight="1">
      <c r="A183" s="478" t="s">
        <v>462</v>
      </c>
      <c r="B183" s="176"/>
      <c r="C183" s="176"/>
      <c r="D183" s="176"/>
      <c r="E183" s="176"/>
      <c r="F183" s="180" t="s">
        <v>463</v>
      </c>
      <c r="G183" s="434">
        <v>35812</v>
      </c>
    </row>
    <row r="184" spans="1:7" ht="20.100000000000001" customHeight="1">
      <c r="A184" s="478" t="s">
        <v>464</v>
      </c>
      <c r="B184" s="176"/>
      <c r="C184" s="176"/>
      <c r="D184" s="176"/>
      <c r="E184" s="176"/>
      <c r="F184" s="180" t="s">
        <v>465</v>
      </c>
      <c r="G184" s="434">
        <v>6420370</v>
      </c>
    </row>
    <row r="185" spans="1:7" ht="20.100000000000001" customHeight="1">
      <c r="A185" s="478" t="s">
        <v>466</v>
      </c>
      <c r="B185" s="176"/>
      <c r="C185" s="176"/>
      <c r="D185" s="176"/>
      <c r="E185" s="176"/>
      <c r="F185" s="180" t="s">
        <v>467</v>
      </c>
      <c r="G185" s="434">
        <v>13205063</v>
      </c>
    </row>
    <row r="186" spans="1:7" ht="20.100000000000001" customHeight="1">
      <c r="A186" s="478" t="s">
        <v>468</v>
      </c>
      <c r="B186" s="176"/>
      <c r="C186" s="176"/>
      <c r="D186" s="176"/>
      <c r="E186" s="176"/>
      <c r="F186" s="180" t="s">
        <v>469</v>
      </c>
      <c r="G186" s="434">
        <v>810000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987366</v>
      </c>
    </row>
    <row r="189" spans="1:7" ht="20.100000000000001" customHeight="1">
      <c r="A189" s="478" t="s">
        <v>474</v>
      </c>
      <c r="B189" s="176"/>
      <c r="C189" s="176"/>
      <c r="D189" s="176"/>
      <c r="E189" s="176"/>
      <c r="F189" s="195">
        <v>59600</v>
      </c>
      <c r="G189" s="434">
        <v>500000</v>
      </c>
    </row>
    <row r="190" spans="1:7" ht="20.100000000000001" customHeight="1">
      <c r="A190" s="478" t="s">
        <v>475</v>
      </c>
      <c r="B190" s="176"/>
      <c r="C190" s="176"/>
      <c r="D190" s="176"/>
      <c r="E190" s="176"/>
      <c r="F190" s="180" t="s">
        <v>476</v>
      </c>
      <c r="G190" s="434">
        <v>20174913</v>
      </c>
    </row>
    <row r="191" spans="1:7" ht="20.100000000000001" customHeight="1">
      <c r="A191" s="478" t="s">
        <v>477</v>
      </c>
      <c r="B191" s="176"/>
      <c r="C191" s="176"/>
      <c r="D191" s="176"/>
      <c r="E191" s="176"/>
      <c r="F191" s="180" t="s">
        <v>478</v>
      </c>
      <c r="G191" s="434">
        <v>304617</v>
      </c>
    </row>
    <row r="192" spans="1:7" ht="20.100000000000001" customHeight="1">
      <c r="A192" s="478" t="s">
        <v>479</v>
      </c>
      <c r="B192" s="176"/>
      <c r="C192" s="176"/>
      <c r="D192" s="176"/>
      <c r="E192" s="176"/>
      <c r="F192" s="180" t="s">
        <v>480</v>
      </c>
      <c r="G192" s="434">
        <v>12587395</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160827220</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454936</v>
      </c>
    </row>
    <row r="199" spans="1:7" ht="20.100000000000001" customHeight="1">
      <c r="A199" s="478" t="s">
        <v>485</v>
      </c>
      <c r="B199" s="176"/>
      <c r="C199" s="176"/>
      <c r="D199" s="176"/>
      <c r="E199" s="176"/>
      <c r="F199" s="180" t="s">
        <v>486</v>
      </c>
      <c r="G199" s="434">
        <v>147283</v>
      </c>
    </row>
    <row r="200" spans="1:7" ht="20.100000000000001" customHeight="1">
      <c r="A200" s="478" t="s">
        <v>487</v>
      </c>
      <c r="B200" s="176"/>
      <c r="C200" s="176"/>
      <c r="D200" s="176"/>
      <c r="E200" s="176"/>
      <c r="F200" s="180" t="s">
        <v>488</v>
      </c>
      <c r="G200" s="434">
        <v>573996</v>
      </c>
    </row>
    <row r="201" spans="1:7" ht="20.100000000000001" customHeight="1">
      <c r="A201" s="478" t="s">
        <v>489</v>
      </c>
      <c r="B201" s="176"/>
      <c r="C201" s="176"/>
      <c r="D201" s="176"/>
      <c r="E201" s="176"/>
      <c r="F201" s="180" t="s">
        <v>490</v>
      </c>
      <c r="G201" s="434">
        <v>290702</v>
      </c>
    </row>
    <row r="202" spans="1:7" ht="20.100000000000001" customHeight="1">
      <c r="A202" s="478" t="s">
        <v>491</v>
      </c>
      <c r="B202" s="176"/>
      <c r="C202" s="176"/>
      <c r="D202" s="176"/>
      <c r="E202" s="176"/>
      <c r="F202" s="180" t="s">
        <v>492</v>
      </c>
      <c r="G202" s="434">
        <v>4130588</v>
      </c>
    </row>
    <row r="203" spans="1:7" ht="20.100000000000001" customHeight="1">
      <c r="A203" s="478" t="s">
        <v>493</v>
      </c>
      <c r="B203" s="176"/>
      <c r="C203" s="176"/>
      <c r="D203" s="176"/>
      <c r="E203" s="176"/>
      <c r="F203" s="180" t="s">
        <v>494</v>
      </c>
      <c r="G203" s="434">
        <v>2485141</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3571767</v>
      </c>
    </row>
    <row r="206" spans="1:7" ht="20.100000000000001" customHeight="1">
      <c r="A206" s="478" t="s">
        <v>497</v>
      </c>
      <c r="B206" s="176"/>
      <c r="C206" s="176"/>
      <c r="D206" s="176"/>
      <c r="E206" s="176"/>
      <c r="F206" s="180" t="s">
        <v>498</v>
      </c>
      <c r="G206" s="434">
        <v>5482672</v>
      </c>
    </row>
    <row r="207" spans="1:7" ht="20.100000000000001" customHeight="1">
      <c r="A207" s="478" t="s">
        <v>499</v>
      </c>
      <c r="B207" s="176"/>
      <c r="C207" s="176"/>
      <c r="D207" s="176"/>
      <c r="E207" s="176"/>
      <c r="F207" s="180" t="s">
        <v>500</v>
      </c>
      <c r="G207" s="434">
        <v>34218288</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5625800</v>
      </c>
    </row>
    <row r="211" spans="1:9" ht="20.100000000000001" customHeight="1">
      <c r="A211" s="478" t="s">
        <v>506</v>
      </c>
      <c r="B211" s="176"/>
      <c r="C211" s="176"/>
      <c r="D211" s="176"/>
      <c r="E211" s="176"/>
      <c r="F211" s="180" t="s">
        <v>507</v>
      </c>
      <c r="G211" s="434">
        <v>4791937</v>
      </c>
    </row>
    <row r="212" spans="1:9" ht="20.100000000000001" customHeight="1">
      <c r="A212" s="478" t="s">
        <v>508</v>
      </c>
      <c r="F212" s="195" t="s">
        <v>509</v>
      </c>
      <c r="G212" s="434">
        <v>303027</v>
      </c>
    </row>
    <row r="213" spans="1:9" ht="20.100000000000001" customHeight="1">
      <c r="A213" s="478" t="s">
        <v>510</v>
      </c>
      <c r="B213" s="176"/>
      <c r="C213" s="176"/>
      <c r="D213" s="176"/>
      <c r="E213" s="176"/>
      <c r="F213" s="180" t="s">
        <v>511</v>
      </c>
      <c r="G213" s="434">
        <v>562306</v>
      </c>
    </row>
    <row r="214" spans="1:9" ht="20.100000000000001" customHeight="1">
      <c r="A214" s="478" t="s">
        <v>512</v>
      </c>
      <c r="B214" s="176"/>
      <c r="C214" s="176"/>
      <c r="D214" s="176"/>
      <c r="E214" s="176"/>
      <c r="F214" s="180" t="s">
        <v>513</v>
      </c>
      <c r="G214" s="434">
        <v>14800037</v>
      </c>
    </row>
    <row r="215" spans="1:9" ht="20.100000000000001" customHeight="1">
      <c r="A215" s="478" t="s">
        <v>514</v>
      </c>
      <c r="B215" s="176"/>
      <c r="C215" s="176"/>
      <c r="D215" s="176"/>
      <c r="E215" s="176"/>
      <c r="F215" s="180" t="s">
        <v>515</v>
      </c>
      <c r="G215" s="434">
        <v>247129</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1547579</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1000000</v>
      </c>
    </row>
    <row r="224" spans="1:9" ht="20.100000000000001" customHeight="1">
      <c r="A224" s="478" t="s">
        <v>528</v>
      </c>
      <c r="B224" s="176"/>
      <c r="C224" s="176"/>
      <c r="D224" s="176"/>
      <c r="E224" s="176"/>
      <c r="F224" s="180" t="s">
        <v>529</v>
      </c>
      <c r="G224" s="434">
        <v>692676</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80925864</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15097</v>
      </c>
    </row>
    <row r="233" spans="1:7" ht="20.100000000000001" customHeight="1">
      <c r="A233" s="478" t="s">
        <v>537</v>
      </c>
      <c r="B233" s="176"/>
      <c r="C233" s="176"/>
      <c r="D233" s="176"/>
      <c r="E233" s="176"/>
      <c r="F233" s="180" t="s">
        <v>538</v>
      </c>
      <c r="G233" s="434">
        <v>1574138</v>
      </c>
    </row>
    <row r="234" spans="1:7" ht="20.100000000000001" customHeight="1">
      <c r="A234" s="478" t="s">
        <v>539</v>
      </c>
      <c r="B234" s="176"/>
      <c r="C234" s="176"/>
      <c r="D234" s="176"/>
      <c r="E234" s="176"/>
      <c r="F234" s="180" t="s">
        <v>540</v>
      </c>
      <c r="G234" s="434">
        <v>314636</v>
      </c>
    </row>
    <row r="235" spans="1:7" ht="20.100000000000001" customHeight="1">
      <c r="A235" s="478" t="s">
        <v>541</v>
      </c>
      <c r="B235" s="176"/>
      <c r="C235" s="176"/>
      <c r="D235" s="176"/>
      <c r="E235" s="176"/>
      <c r="F235" s="1015" t="s">
        <v>542</v>
      </c>
      <c r="G235" s="434">
        <v>2148</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96778</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2002797</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243755881</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16904954</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f>'EXHIBIT A'!E16+'EXHIBIT D'!G143-'EXHIBIT D'!G248-G252</f>
        <v>114100663.47984159</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131005617.47984159</v>
      </c>
    </row>
    <row r="263" spans="1:12" ht="20.100000000000001" customHeight="1">
      <c r="A263" s="479"/>
      <c r="B263" s="176"/>
      <c r="C263" s="176"/>
      <c r="D263" s="176"/>
      <c r="E263" s="176"/>
      <c r="F263" s="189"/>
      <c r="G263" s="205"/>
    </row>
    <row r="264" spans="1:12" ht="20.100000000000001" customHeight="1" thickBot="1">
      <c r="A264" s="490" t="s">
        <v>762</v>
      </c>
      <c r="F264" s="195">
        <v>30800</v>
      </c>
      <c r="G264" s="1155">
        <v>-122894927</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8110690.4798415899</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466dff-3b0c-4c73-b76b-cbd78686aa69">
      <Terms xmlns="http://schemas.microsoft.com/office/infopath/2007/PartnerControls"/>
    </lcf76f155ced4ddcb4097134ff3c332f>
    <TaxCatchAll xmlns="a54ecdc7-7cf8-4452-b3ae-60057c54cf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0E8BA41C6EE646B3DB15E39B8C0D37" ma:contentTypeVersion="18" ma:contentTypeDescription="Create a new document." ma:contentTypeScope="" ma:versionID="f11109fa4307e21189c4ab9a26b7f562">
  <xsd:schema xmlns:xsd="http://www.w3.org/2001/XMLSchema" xmlns:xs="http://www.w3.org/2001/XMLSchema" xmlns:p="http://schemas.microsoft.com/office/2006/metadata/properties" xmlns:ns2="eb466dff-3b0c-4c73-b76b-cbd78686aa69" xmlns:ns3="a54ecdc7-7cf8-4452-b3ae-60057c54cf31" targetNamespace="http://schemas.microsoft.com/office/2006/metadata/properties" ma:root="true" ma:fieldsID="58137f5b55ba6bf248697f71e864b484" ns2:_="" ns3:_="">
    <xsd:import namespace="eb466dff-3b0c-4c73-b76b-cbd78686aa69"/>
    <xsd:import namespace="a54ecdc7-7cf8-4452-b3ae-60057c54cf31"/>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466dff-3b0c-4c73-b76b-cbd78686aa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be08447-af87-4dab-83c7-aa7c561607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ecdc7-7cf8-4452-b3ae-60057c54cf3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5979a5d-423d-4614-a630-b6571ec164f4}" ma:internalName="TaxCatchAll" ma:showField="CatchAllData" ma:web="a54ecdc7-7cf8-4452-b3ae-60057c54cf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 ds:uri="eb466dff-3b0c-4c73-b76b-cbd78686aa69"/>
    <ds:schemaRef ds:uri="a54ecdc7-7cf8-4452-b3ae-60057c54cf31"/>
  </ds:schemaRefs>
</ds:datastoreItem>
</file>

<file path=customXml/itemProps2.xml><?xml version="1.0" encoding="utf-8"?>
<ds:datastoreItem xmlns:ds="http://schemas.openxmlformats.org/officeDocument/2006/customXml" ds:itemID="{36B4A0D1-F3E2-4005-AF06-5D14A91A85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466dff-3b0c-4c73-b76b-cbd78686aa69"/>
    <ds:schemaRef ds:uri="a54ecdc7-7cf8-4452-b3ae-60057c54c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2025-08-06T14:33:56Z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0x010100C00E8BA41C6EE646B3DB15E39B8C0D37</vt:lpwstr>
  </property>
  <property fmtid="{D5CDD505-2E9C-101B-9397-08002B2CF9AE}" pid="6" name="MediaServiceImageTags">
    <vt:lpwstr/>
  </property>
</Properties>
</file>