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omments15.xml" ContentType="application/vnd.openxmlformats-officedocument.spreadsheetml.comments+xml"/>
  <Override PartName="/xl/comments16.xml" ContentType="application/vnd.openxmlformats-officedocument.spreadsheetml.comments+xml"/>
  <Override PartName="/xl/comments17.xml" ContentType="application/vnd.openxmlformats-officedocument.spreadsheetml.comments+xml"/>
  <Override PartName="/xl/comments18.xml" ContentType="application/vnd.openxmlformats-officedocument.spreadsheetml.comments+xml"/>
  <Override PartName="/xl/comments19.xml" ContentType="application/vnd.openxmlformats-officedocument.spreadsheetml.comments+xml"/>
  <Override PartName="/xl/comments20.xml" ContentType="application/vnd.openxmlformats-officedocument.spreadsheetml.comments+xml"/>
  <Override PartName="/xl/comments21.xml" ContentType="application/vnd.openxmlformats-officedocument.spreadsheetml.comments+xml"/>
  <Override PartName="/xl/comments22.xml" ContentType="application/vnd.openxmlformats-officedocument.spreadsheetml.comments+xml"/>
  <Override PartName="/xl/comments23.xml" ContentType="application/vnd.openxmlformats-officedocument.spreadsheetml.comments+xml"/>
  <Override PartName="/xl/comments24.xml" ContentType="application/vnd.openxmlformats-officedocument.spreadsheetml.comments+xml"/>
  <Override PartName="/xl/comments25.xml" ContentType="application/vnd.openxmlformats-officedocument.spreadsheetml.comments+xml"/>
  <Override PartName="/xl/comments26.xml" ContentType="application/vnd.openxmlformats-officedocument.spreadsheetml.comments+xml"/>
  <Override PartName="/xl/comments27.xml" ContentType="application/vnd.openxmlformats-officedocument.spreadsheetml.comments+xml"/>
  <Override PartName="/xl/comments28.xml" ContentType="application/vnd.openxmlformats-officedocument.spreadsheetml.comments+xml"/>
  <Override PartName="/xl/comments29.xml" ContentType="application/vnd.openxmlformats-officedocument.spreadsheetml.comments+xml"/>
  <Override PartName="/xl/comments30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atalia.Escribano\Desktop\Web Requests\12-07-23\"/>
    </mc:Choice>
  </mc:AlternateContent>
  <xr:revisionPtr revIDLastSave="0" documentId="8_{342C3E97-5328-43C1-A40B-723F560A97AA}" xr6:coauthVersionLast="36" xr6:coauthVersionMax="36" xr10:uidLastSave="{00000000-0000-0000-0000-000000000000}"/>
  <workbookProtection workbookAlgorithmName="SHA-512" workbookHashValue="c5sRntFPzGTfx8h3NXPCLwTfpEkAigpxDphiy1k4og6FIHOmcX0sKbAdOVnNrYgKUtTwoq+jjhNrnpNIfWDF5w==" workbookSaltValue="7yKJ9J5uanhlfm+TE186YA==" workbookSpinCount="100000" lockStructure="1"/>
  <bookViews>
    <workbookView xWindow="1080" yWindow="350" windowWidth="26570" windowHeight="15050" tabRatio="867" xr2:uid="{00000000-000D-0000-FFFF-FFFF00000000}"/>
  </bookViews>
  <sheets>
    <sheet name="Summary Analytics" sheetId="32" r:id="rId1"/>
    <sheet name="Comparative Matrices" sheetId="36" r:id="rId2"/>
    <sheet name="Admin Cost % Excl Transfers" sheetId="38" r:id="rId3"/>
    <sheet name="Admin Cost % and per FTE" sheetId="37" r:id="rId4"/>
    <sheet name="% I. S. Excluded" sheetId="34" r:id="rId5"/>
    <sheet name="Chart Data" sheetId="33" r:id="rId6"/>
    <sheet name="System Summary" sheetId="1" r:id="rId7"/>
    <sheet name="EASTERN" sheetId="6" r:id="rId8"/>
    <sheet name="BROWARD" sheetId="7" r:id="rId9"/>
    <sheet name="CENTRAL" sheetId="8" r:id="rId10"/>
    <sheet name="CHIPOLA" sheetId="9" r:id="rId11"/>
    <sheet name="DAYTONA" sheetId="10" r:id="rId12"/>
    <sheet name="SOUTHWESTERN" sheetId="11" r:id="rId13"/>
    <sheet name="FSC JAX" sheetId="12" r:id="rId14"/>
    <sheet name="FL KEYS" sheetId="13" r:id="rId15"/>
    <sheet name="GULF COAST" sheetId="14" r:id="rId16"/>
    <sheet name="HILLSBOROUGH" sheetId="15" r:id="rId17"/>
    <sheet name="INDIAN RIVER" sheetId="16" r:id="rId18"/>
    <sheet name="GATEWAY" sheetId="5" r:id="rId19"/>
    <sheet name="LAKE SUMTER" sheetId="17" r:id="rId20"/>
    <sheet name="SCF MANATEE" sheetId="18" r:id="rId21"/>
    <sheet name="MIAMI" sheetId="19" r:id="rId22"/>
    <sheet name="NORTH FLORIDA" sheetId="20" r:id="rId23"/>
    <sheet name="NORTHWEST FLORIDA" sheetId="21" r:id="rId24"/>
    <sheet name="PALM BEACH" sheetId="22" r:id="rId25"/>
    <sheet name="PASCO" sheetId="4" r:id="rId26"/>
    <sheet name="PENSACOLA" sheetId="23" r:id="rId27"/>
    <sheet name="POLK" sheetId="24" r:id="rId28"/>
    <sheet name="ST JOHNS" sheetId="25" r:id="rId29"/>
    <sheet name="ST PETE" sheetId="26" r:id="rId30"/>
    <sheet name="SANTA FE" sheetId="27" r:id="rId31"/>
    <sheet name="SEMINOLE" sheetId="28" r:id="rId32"/>
    <sheet name="SOUTH FLORIDA" sheetId="29" r:id="rId33"/>
    <sheet name="TALLAHASSEE" sheetId="30" r:id="rId34"/>
    <sheet name="VALENCIA" sheetId="31" r:id="rId35"/>
  </sheets>
  <externalReferences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</externalReferences>
  <definedNames>
    <definedName name="_">'Chart Data'!$J$6</definedName>
    <definedName name="_2021_22_ADMINISTRATIVE_COST___OVER_COST_ANALYSIS_TOTAL_EXPENDITURES_EXCLUDING_TRANSFERS">'Summary Analytics'!$I$6</definedName>
    <definedName name="_2022_23_FTE_3">'Summary Analytics'!$F$6</definedName>
    <definedName name="_xlnm._FilterDatabase" localSheetId="5" hidden="1">'Chart Data'!$D$7:$G$35</definedName>
    <definedName name="Acc">EASTERN!$A$6</definedName>
    <definedName name="Account">'System Summary'!$A$6</definedName>
    <definedName name="Account_">BROWARD!$A$6</definedName>
    <definedName name="Account00">TALLAHASSEE!$A$6</definedName>
    <definedName name="Account09">VALENCIA!$A$6</definedName>
    <definedName name="Account11">HILLSBOROUGH!$A$6</definedName>
    <definedName name="Account12">'INDIAN RIVER'!$A$6</definedName>
    <definedName name="Account13">GATEWAY!$A$6</definedName>
    <definedName name="Account14">'LAKE SUMTER'!$A$6</definedName>
    <definedName name="Account22">'SCF MANATEE'!$A$6</definedName>
    <definedName name="Account23">'PALM BEACH'!$A$6</definedName>
    <definedName name="Account24">PASCO!$A$6</definedName>
    <definedName name="Account33">MIAMI!$A$6</definedName>
    <definedName name="Account34">'NORTH FLORIDA'!$A$6</definedName>
    <definedName name="Account4">DAYTONA!$A$6</definedName>
    <definedName name="Account44">'NORTHWEST FLORIDA'!$A$6</definedName>
    <definedName name="Account5">SOUTHWESTERN!$A$6</definedName>
    <definedName name="Account55">PENSACOLA!$A$6</definedName>
    <definedName name="Account66">POLK!$A$6</definedName>
    <definedName name="Account7">'FSC JAX'!$A$6</definedName>
    <definedName name="Account77">'ST JOHNS'!$A$6</definedName>
    <definedName name="Account8">'FL KEYS'!$A$6</definedName>
    <definedName name="Account88">'ST PETE'!$A$6</definedName>
    <definedName name="Account89">'SANTA FE'!$A$6</definedName>
    <definedName name="Account9">'GULF COAST'!$A$6</definedName>
    <definedName name="Account90">'SOUTH FLORIDA'!$A$6</definedName>
    <definedName name="Account99">SEMINOLE!$A$6</definedName>
    <definedName name="acct">CENTRAL!$A$6</definedName>
    <definedName name="Acct3">CHIPOLA!$A$6</definedName>
    <definedName name="adm">CENTRAL!$H$6</definedName>
    <definedName name="adm_">CENTRAL!$I$6</definedName>
    <definedName name="Admin?">BROWARD!$H$6</definedName>
    <definedName name="admin3">CHIPOLA!$H$6</definedName>
    <definedName name="Admin4">DAYTONA!$H$6</definedName>
    <definedName name="Admin5">SOUTHWESTERN!$H$6</definedName>
    <definedName name="Admin7">'FSC JAX'!$H$6</definedName>
    <definedName name="Admin8">'FL KEYS'!$H$6</definedName>
    <definedName name="Admin9">'GULF COAST'!$H$6</definedName>
    <definedName name="AdminAmnt">BROWARD!$I$6</definedName>
    <definedName name="Adminamnt4">DAYTONA!$I$6</definedName>
    <definedName name="Adminamt">EASTERN!$I$6</definedName>
    <definedName name="Adminamt00">TALLAHASSEE!$I$6</definedName>
    <definedName name="Adminamt09">VALENCIA!$I$6</definedName>
    <definedName name="Adminamt11">HILLSBOROUGH!$I$6</definedName>
    <definedName name="Adminamt12">'INDIAN RIVER'!$I$6</definedName>
    <definedName name="Adminamt13">GATEWAY!$I$6</definedName>
    <definedName name="Adminamt14">'LAKE SUMTER'!$I$6</definedName>
    <definedName name="Adminamt22">'SCF MANATEE'!$I$6</definedName>
    <definedName name="Adminamt23">'PALM BEACH'!$I$6</definedName>
    <definedName name="Adminamt24">PASCO!$I$6</definedName>
    <definedName name="adminamt3">CHIPOLA!$I$6</definedName>
    <definedName name="Adminamt33">MIAMI!$I$6</definedName>
    <definedName name="Adminamt34">'NORTH FLORIDA'!$I$6</definedName>
    <definedName name="Adminamt44">'NORTHWEST FLORIDA'!$I$6</definedName>
    <definedName name="adminamt5">SOUTHWESTERN!$I$6</definedName>
    <definedName name="Adminamt66">POLK!$I$6</definedName>
    <definedName name="Adminamt7">'FSC JAX'!$I$6</definedName>
    <definedName name="Adminamt77">'ST JOHNS'!$I$6</definedName>
    <definedName name="Adminamt8">'FL KEYS'!$I$6</definedName>
    <definedName name="Adminamt88">'ST PETE'!$I$6</definedName>
    <definedName name="Adminamt89">'SANTA FE'!$I$6</definedName>
    <definedName name="Adminamt9">'GULF COAST'!$I$6</definedName>
    <definedName name="Adminamt90">'SOUTH FLORIDA'!$I$6</definedName>
    <definedName name="Adminamt99">SEMINOLE!$I$6</definedName>
    <definedName name="admincost">'Summary Analytics'!$G$6</definedName>
    <definedName name="Administration?">EASTERN!$H$6</definedName>
    <definedName name="Administration00">TALLAHASSEE!$H$6</definedName>
    <definedName name="Administration09">VALENCIA!$H$6</definedName>
    <definedName name="Administration11">HILLSBOROUGH!$H$6</definedName>
    <definedName name="Administration12">'INDIAN RIVER'!$H$6</definedName>
    <definedName name="Administration13">GATEWAY!$H$6</definedName>
    <definedName name="Administration22">'SCF MANATEE'!$H$6</definedName>
    <definedName name="Administration23">'PALM BEACH'!$H$6</definedName>
    <definedName name="Administration24">PASCO!$H$6</definedName>
    <definedName name="Administration33">MIAMI!$H$6</definedName>
    <definedName name="Administration34">'NORTH FLORIDA'!$H$6</definedName>
    <definedName name="Administration44">'NORTHWEST FLORIDA'!$H$6</definedName>
    <definedName name="Administration55">PENSACOLA!$H$6</definedName>
    <definedName name="Administration66">POLK!$H$6</definedName>
    <definedName name="Administration77">'ST JOHNS'!$H$6</definedName>
    <definedName name="Administration88">'ST PETE'!$H$6</definedName>
    <definedName name="Administration89">'SANTA FE'!$H$6</definedName>
    <definedName name="Administration90">'SOUTH FLORIDA'!$H$6</definedName>
    <definedName name="Administration99">SEMINOLE!$H$6</definedName>
    <definedName name="Administrative_Amount">'System Summary'!$I$6</definedName>
    <definedName name="ADMINISTRATIVE_COST">'Summary Analytics'!$C$6</definedName>
    <definedName name="ADMINISTRATIVE_COST___OVER_COST_ANALYSIS_TOTAL_EXPENDITURES_EXCLUDING_TRANSFERS">'Chart Data'!$F$6</definedName>
    <definedName name="ADMINISTRATIVE_COST_PER_FUNDABLE_FTE">'Chart Data'!$G$6</definedName>
    <definedName name="Administrative55">PENSACOLA!$I$6</definedName>
    <definedName name="adminperc">'Summary Analytics'!$E$6</definedName>
    <definedName name="Aministration14">'LAKE SUMTER'!$H$6</definedName>
    <definedName name="AMOUNT_CHANGE">'Summary Analytics'!$J$6</definedName>
    <definedName name="Broward_College">'Comparative Matrices'!$H$7</definedName>
    <definedName name="CHANGE_OVER_PRIOR_YEAR">'Chart Data'!$K$6</definedName>
    <definedName name="Chipola_College">'Comparative Matrices'!$J$7</definedName>
    <definedName name="COLLEGE">'Chart Data'!$B$6</definedName>
    <definedName name="College_of_Central_Florida">'Comparative Matrices'!$I$7</definedName>
    <definedName name="College1">'Chart Data'!$E$6</definedName>
    <definedName name="college11">'Chart Data'!$E$6</definedName>
    <definedName name="College2">'Chart Data'!$I$6</definedName>
    <definedName name="College44">'Summary Analytics'!$B$6</definedName>
    <definedName name="College90">'Comparative Matrices'!$F$7</definedName>
    <definedName name="College99">'Chart Data'!$B$6</definedName>
    <definedName name="Comment">BROWARD!$L$6</definedName>
    <definedName name="comment00">TALLAHASSEE!$L$6</definedName>
    <definedName name="Comment09">VALENCIA!$L$6</definedName>
    <definedName name="Comment11">HILLSBOROUGH!$L$6</definedName>
    <definedName name="Comment12">'INDIAN RIVER'!$L$6</definedName>
    <definedName name="Comment13">GATEWAY!$L$6</definedName>
    <definedName name="Comment14">'LAKE SUMTER'!$L$6</definedName>
    <definedName name="Comment22">'SCF MANATEE'!$L$6</definedName>
    <definedName name="Comment33">MIAMI!$L$6</definedName>
    <definedName name="Comment34">'NORTH FLORIDA'!$L$6</definedName>
    <definedName name="Comment4">DAYTONA!$L$6</definedName>
    <definedName name="Comment44">'NORTHWEST FLORIDA'!$L$6</definedName>
    <definedName name="Comment5">SOUTHWESTERN!$L$6</definedName>
    <definedName name="Comment55">PENSACOLA!$L$6</definedName>
    <definedName name="Comment7">'FSC JAX'!$L$6</definedName>
    <definedName name="Comment77">'ST JOHNS'!$L$6</definedName>
    <definedName name="Comment8">'FL KEYS'!$L$6</definedName>
    <definedName name="Comment88">'ST PETE'!$L$6</definedName>
    <definedName name="Comment89">'SANTA FE'!$L$6</definedName>
    <definedName name="Comment9">'GULF COAST'!$L$6</definedName>
    <definedName name="Comment90">'SOUTH FLORIDA'!$L$6</definedName>
    <definedName name="Comment99">SEMINOLE!$L$6</definedName>
    <definedName name="comments">CENTRAL!$L$6</definedName>
    <definedName name="Comments___Additional_Details">EASTERN!$L$6</definedName>
    <definedName name="Comments23">'PALM BEACH'!$L$6</definedName>
    <definedName name="Comments24">PASCO!$L$6</definedName>
    <definedName name="comments3">CHIPOLA!$L$6</definedName>
    <definedName name="Comments66">POLK!$L$6</definedName>
    <definedName name="Data">BROWARD!$K$6</definedName>
    <definedName name="Data_Validation">EASTERN!$K$6</definedName>
    <definedName name="Daytona_State_College">'Comparative Matrices'!$K$7</definedName>
    <definedName name="dv">CENTRAL!$K$6</definedName>
    <definedName name="DV_00">TALLAHASSEE!$K$6</definedName>
    <definedName name="DV_09">VALENCIA!$K$6</definedName>
    <definedName name="DV_11">HILLSBOROUGH!$K$6</definedName>
    <definedName name="DV_12">'INDIAN RIVER'!$K$6</definedName>
    <definedName name="DV_13">GATEWAY!$K$6</definedName>
    <definedName name="DV_14">'LAKE SUMTER'!$K$6</definedName>
    <definedName name="DV_22">'SCF MANATEE'!$K$6</definedName>
    <definedName name="DV_23">'PALM BEACH'!$K$6</definedName>
    <definedName name="DV_24">PASCO!$K$6</definedName>
    <definedName name="dv_3">CHIPOLA!$K$6</definedName>
    <definedName name="DV_33">MIAMI!$K$6</definedName>
    <definedName name="DV_34">'NORTH FLORIDA'!$K$6</definedName>
    <definedName name="dv_4">DAYTONA!$K$6</definedName>
    <definedName name="DV_44">'NORTHWEST FLORIDA'!$K$6</definedName>
    <definedName name="DV_5">SOUTHWESTERN!$K$6</definedName>
    <definedName name="DV_55">PENSACOLA!$K$6</definedName>
    <definedName name="DV_66">POLK!$K$6</definedName>
    <definedName name="DV_7">'FSC JAX'!$K$6</definedName>
    <definedName name="DV_77">'ST JOHNS'!$K$6</definedName>
    <definedName name="DV_8">'FL KEYS'!$K$6</definedName>
    <definedName name="DV_88">'ST PETE'!$K$6</definedName>
    <definedName name="DV_89">'SANTA FE'!$K$6</definedName>
    <definedName name="DV_9">'GULF COAST'!$K$6</definedName>
    <definedName name="DV_90">'SOUTH FLORIDA'!$K$6</definedName>
    <definedName name="DV_99">SEMINOLE!$K$6</definedName>
    <definedName name="ea">CENTRAL!$J$6</definedName>
    <definedName name="Eastern_Florida_State_College">'Comparative Matrices'!$G$7</definedName>
    <definedName name="Esclamt24">PASCO!$J$6</definedName>
    <definedName name="Excamnt4">DAYTONA!$J$6</definedName>
    <definedName name="Excamt11">HILLSBOROUGH!$J$6</definedName>
    <definedName name="Exclamnt">EASTERN!$J$6</definedName>
    <definedName name="Exclamt09">VALENCIA!$J$6</definedName>
    <definedName name="Exclamt12">'INDIAN RIVER'!$J$6</definedName>
    <definedName name="Exclamt13">GATEWAY!$J$6</definedName>
    <definedName name="Exclamt14">'LAKE SUMTER'!$J$6</definedName>
    <definedName name="Exclamt22">'SCF MANATEE'!$J$6</definedName>
    <definedName name="Exclamt23">'PALM BEACH'!$J$6</definedName>
    <definedName name="exclamt3">CHIPOLA!$J$6</definedName>
    <definedName name="Exclamt34">'NORTH FLORIDA'!$J$6</definedName>
    <definedName name="Exclamt44">'NORTHWEST FLORIDA'!$J$6</definedName>
    <definedName name="Exclamt77">'ST JOHNS'!$J$6</definedName>
    <definedName name="exclamt88">'ST PETE'!$J$6</definedName>
    <definedName name="Exclamt89">'SANTA FE'!$J$6</definedName>
    <definedName name="Excldamt66">POLK!$J$6</definedName>
    <definedName name="Excludamt00">TALLAHASSEE!$J$6</definedName>
    <definedName name="Excludamt55">PENSACOLA!$J$6</definedName>
    <definedName name="Excludamt99">SEMINOLE!$J$6</definedName>
    <definedName name="Excluded">BROWARD!$J$6</definedName>
    <definedName name="Excluded_Amount">'System Summary'!$J$6</definedName>
    <definedName name="Excludedamt33">MIAMI!$J$6</definedName>
    <definedName name="Excludedamt5">SOUTHWESTERN!$J$6</definedName>
    <definedName name="Excludedamt7">'FSC JAX'!$J$6</definedName>
    <definedName name="Excludedamt8">'FL KEYS'!$J$6</definedName>
    <definedName name="Excludedamt9">'GULF COAST'!$J$6</definedName>
    <definedName name="Excludedamt90">'SOUTH FLORIDA'!$J$6</definedName>
    <definedName name="FCS">'Comparative Matrices'!$AI$7</definedName>
    <definedName name="Florida_Gateway_College">'Comparative Matrices'!$R$7</definedName>
    <definedName name="Florida_SouthWestern_State_College">'Comparative Matrices'!$L$7</definedName>
    <definedName name="Florida_State_College_at_Jacksonville">'Comparative Matrices'!$M$7</definedName>
    <definedName name="FY_2022_23">'System Summary'!$G$6</definedName>
    <definedName name="FY22_23">EASTERN!$G$6</definedName>
    <definedName name="Gulf_Coast_State_College">'Comparative Matrices'!$O$7</definedName>
    <definedName name="Hillsborough_Community_College">'Comparative Matrices'!$P$7</definedName>
    <definedName name="Indian_River_State_College">'Comparative Matrices'!$Q$7</definedName>
    <definedName name="IndianRiverStateCollege">'Comparative Matrices'!$Q$7</definedName>
    <definedName name="Lake_Sumter_Community_College">'Comparative Matrices'!$S$7</definedName>
    <definedName name="Miami_Dade_College">'Comparative Matrices'!$U$7</definedName>
    <definedName name="Name">'System Summary'!$D$6</definedName>
    <definedName name="Name_">BROWARD!$D$6</definedName>
    <definedName name="Name00">TALLAHASSEE!$D$6</definedName>
    <definedName name="Name09">VALENCIA!$D$6</definedName>
    <definedName name="Name1">EASTERN!$D$6</definedName>
    <definedName name="Name11">HILLSBOROUGH!$D$6</definedName>
    <definedName name="Name12">'INDIAN RIVER'!$D$6</definedName>
    <definedName name="Name13">GATEWAY!$D$6</definedName>
    <definedName name="Name14">'LAKE SUMTER'!$D$6</definedName>
    <definedName name="Name22">'SCF MANATEE'!$D$6</definedName>
    <definedName name="Name23">'PALM BEACH'!$D$6</definedName>
    <definedName name="Name24">PASCO!$D$6</definedName>
    <definedName name="Name3">CHIPOLA!$D$6</definedName>
    <definedName name="Name33">MIAMI!$D$6</definedName>
    <definedName name="Name34">'NORTH FLORIDA'!$D$6</definedName>
    <definedName name="Name4">DAYTONA!$D$6</definedName>
    <definedName name="Name44">'NORTHWEST FLORIDA'!$D$6</definedName>
    <definedName name="Name5">SOUTHWESTERN!$D$6</definedName>
    <definedName name="Name55">PENSACOLA!$D$6</definedName>
    <definedName name="Name66">POLK!$D$6</definedName>
    <definedName name="Name7">'FSC JAX'!$D$6</definedName>
    <definedName name="Name77">'ST JOHNS'!$D$6</definedName>
    <definedName name="Name8">'FL KEYS'!$D$6</definedName>
    <definedName name="Name88">'ST PETE'!$D$6</definedName>
    <definedName name="Name89">'SANTA FE'!$D$6</definedName>
    <definedName name="Name9">'GULF COAST'!$D$6</definedName>
    <definedName name="Name90">'SOUTH FLORIDA'!$D$6</definedName>
    <definedName name="Name99">SEMINOLE!$D$6</definedName>
    <definedName name="nm">CENTRAL!$D$6</definedName>
    <definedName name="North_Florida_College">'Comparative Matrices'!$V$7</definedName>
    <definedName name="Northwest_Florida_State_College">'Comparative Matrices'!$W$7</definedName>
    <definedName name="Northwest_State_College">'Comparative Matrices'!$W$7</definedName>
    <definedName name="OF_INSTITUTIONAL_SUPPORT_EXCLUDED">'Chart Data'!$C$6</definedName>
    <definedName name="Palm_Beach_State_College">'Comparative Matrices'!$X$7</definedName>
    <definedName name="Pasco_Hernando_State_College">'Comparative Matrices'!$Y$7</definedName>
    <definedName name="Pensacola_State_College">'Comparative Matrices'!$Z$7</definedName>
    <definedName name="Percentage">'Summary Analytics'!$D$6</definedName>
    <definedName name="percentofinst">'Chart Data'!$C$6</definedName>
    <definedName name="Polk_State_College">'Comparative Matrices'!$AA$7</definedName>
    <definedName name="_xlnm.Print_Area" localSheetId="1">'Comparative Matrices'!$A$1:$AI$150</definedName>
    <definedName name="_xlnm.Print_Area" localSheetId="25">PASCO!$A$1:$L$83</definedName>
    <definedName name="_xlnm.Print_Area" localSheetId="0">'Summary Analytics'!$A$1:$G$39</definedName>
    <definedName name="_xlnm.Print_Area" localSheetId="6">'System Summary'!$A$1:$O$83</definedName>
    <definedName name="Prior_Year_s_Data">'Summary Analytics'!$I$5</definedName>
    <definedName name="Santa_Fe_College">'Comparative Matrices'!$AD$7</definedName>
    <definedName name="Seminole_State_College_of_Florida">'Comparative Matrices'!$AE$7</definedName>
    <definedName name="South_Florida_State_College">'Comparative Matrices'!$AF$7</definedName>
    <definedName name="St._Johns_River_State_College">'Comparative Matrices'!$AB$7</definedName>
    <definedName name="St._Petersburg_College">'Comparative Matrices'!$AC$7</definedName>
    <definedName name="State_College_of_Florida__Manatee_Sarasota">'Comparative Matrices'!$T$7</definedName>
    <definedName name="Tallahassee_Community_College">'Comparative Matrices'!$AG$7</definedName>
    <definedName name="The_College_of_the_Florida_Keys">'Comparative Matrices'!$N$7</definedName>
    <definedName name="Valencia_College">'Comparative Matrices'!$AH$7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7" i="25" l="1"/>
  <c r="I83" i="31" l="1"/>
  <c r="G77" i="31"/>
  <c r="G73" i="31"/>
  <c r="G70" i="31" s="1"/>
  <c r="I72" i="31"/>
  <c r="K72" i="31" s="1"/>
  <c r="K71" i="31"/>
  <c r="J70" i="31"/>
  <c r="G69" i="31"/>
  <c r="J69" i="31" s="1"/>
  <c r="K68" i="31"/>
  <c r="I67" i="31"/>
  <c r="K67" i="31" s="1"/>
  <c r="K63" i="31"/>
  <c r="G62" i="31"/>
  <c r="J62" i="31" s="1"/>
  <c r="K62" i="31" s="1"/>
  <c r="I61" i="31"/>
  <c r="K61" i="31" s="1"/>
  <c r="K60" i="31"/>
  <c r="J59" i="31"/>
  <c r="K59" i="31" s="1"/>
  <c r="G59" i="31"/>
  <c r="K58" i="31"/>
  <c r="K57" i="31"/>
  <c r="J57" i="31"/>
  <c r="K56" i="31"/>
  <c r="K55" i="31"/>
  <c r="J54" i="31"/>
  <c r="K54" i="31" s="1"/>
  <c r="I53" i="31"/>
  <c r="K53" i="31" s="1"/>
  <c r="K52" i="31"/>
  <c r="K51" i="31"/>
  <c r="K50" i="31"/>
  <c r="I49" i="31"/>
  <c r="K49" i="31" s="1"/>
  <c r="K48" i="31"/>
  <c r="I47" i="31"/>
  <c r="I42" i="31" s="1"/>
  <c r="K46" i="31"/>
  <c r="K45" i="31"/>
  <c r="G44" i="31"/>
  <c r="G42" i="31" s="1"/>
  <c r="K43" i="31"/>
  <c r="K41" i="31"/>
  <c r="K40" i="31"/>
  <c r="K39" i="31"/>
  <c r="K38" i="31"/>
  <c r="K37" i="31"/>
  <c r="K36" i="31"/>
  <c r="K35" i="31"/>
  <c r="K34" i="31"/>
  <c r="K33" i="31"/>
  <c r="K32" i="31"/>
  <c r="K31" i="31"/>
  <c r="K30" i="31"/>
  <c r="K29" i="31"/>
  <c r="K28" i="31"/>
  <c r="K27" i="31"/>
  <c r="K26" i="31"/>
  <c r="J25" i="31"/>
  <c r="I25" i="31"/>
  <c r="G25" i="31"/>
  <c r="K24" i="31"/>
  <c r="K23" i="31"/>
  <c r="K22" i="31"/>
  <c r="K21" i="31"/>
  <c r="K20" i="31"/>
  <c r="K19" i="31"/>
  <c r="K18" i="31"/>
  <c r="G18" i="31"/>
  <c r="K17" i="31"/>
  <c r="K16" i="31"/>
  <c r="K15" i="31"/>
  <c r="K14" i="31"/>
  <c r="G14" i="31"/>
  <c r="G8" i="31" s="1"/>
  <c r="K13" i="31"/>
  <c r="I13" i="31"/>
  <c r="G13" i="31"/>
  <c r="K12" i="31"/>
  <c r="K11" i="31"/>
  <c r="K10" i="31"/>
  <c r="K9" i="31"/>
  <c r="J8" i="31"/>
  <c r="I8" i="31"/>
  <c r="A4" i="31"/>
  <c r="J66" i="31" l="1"/>
  <c r="K69" i="31"/>
  <c r="I73" i="31"/>
  <c r="K47" i="31"/>
  <c r="G66" i="31"/>
  <c r="G76" i="31" s="1"/>
  <c r="I66" i="31"/>
  <c r="J44" i="31"/>
  <c r="I42" i="1" l="1"/>
  <c r="J42" i="31"/>
  <c r="J76" i="31" s="1"/>
  <c r="J77" i="31" s="1"/>
  <c r="K44" i="31"/>
  <c r="K73" i="31"/>
  <c r="I70" i="31"/>
  <c r="I76" i="31" s="1"/>
  <c r="J83" i="31" l="1"/>
  <c r="I77" i="31"/>
  <c r="K76" i="31"/>
  <c r="I83" i="30" l="1"/>
  <c r="G77" i="30"/>
  <c r="K73" i="30"/>
  <c r="K72" i="30"/>
  <c r="K71" i="30"/>
  <c r="J70" i="30"/>
  <c r="I70" i="30"/>
  <c r="G70" i="30"/>
  <c r="K69" i="30"/>
  <c r="K68" i="30"/>
  <c r="K67" i="30"/>
  <c r="J66" i="30"/>
  <c r="I66" i="30"/>
  <c r="G66" i="30"/>
  <c r="K63" i="30"/>
  <c r="K62" i="30"/>
  <c r="K61" i="30"/>
  <c r="K60" i="30"/>
  <c r="K59" i="30"/>
  <c r="G59" i="30"/>
  <c r="K58" i="30"/>
  <c r="K57" i="30"/>
  <c r="K56" i="30"/>
  <c r="K55" i="30"/>
  <c r="K54" i="30"/>
  <c r="K53" i="30"/>
  <c r="K52" i="30"/>
  <c r="K51" i="30"/>
  <c r="K50" i="30"/>
  <c r="K49" i="30"/>
  <c r="K48" i="30"/>
  <c r="K47" i="30"/>
  <c r="K46" i="30"/>
  <c r="K45" i="30"/>
  <c r="K44" i="30"/>
  <c r="K43" i="30"/>
  <c r="J42" i="30"/>
  <c r="I42" i="30"/>
  <c r="G42" i="30"/>
  <c r="K41" i="30"/>
  <c r="K40" i="30"/>
  <c r="K39" i="30"/>
  <c r="K38" i="30"/>
  <c r="K37" i="30"/>
  <c r="K36" i="30"/>
  <c r="K35" i="30"/>
  <c r="K34" i="30"/>
  <c r="K33" i="30"/>
  <c r="K32" i="30"/>
  <c r="K31" i="30"/>
  <c r="K30" i="30"/>
  <c r="G30" i="30"/>
  <c r="G25" i="30" s="1"/>
  <c r="K29" i="30"/>
  <c r="K28" i="30"/>
  <c r="K27" i="30"/>
  <c r="K26" i="30"/>
  <c r="J25" i="30"/>
  <c r="I25" i="30"/>
  <c r="K24" i="30"/>
  <c r="K23" i="30"/>
  <c r="K22" i="30"/>
  <c r="K21" i="30"/>
  <c r="K20" i="30"/>
  <c r="K19" i="30"/>
  <c r="K18" i="30"/>
  <c r="K17" i="30"/>
  <c r="K16" i="30"/>
  <c r="K15" i="30"/>
  <c r="K14" i="30"/>
  <c r="K13" i="30"/>
  <c r="K12" i="30"/>
  <c r="K11" i="30"/>
  <c r="K10" i="30"/>
  <c r="K9" i="30"/>
  <c r="J8" i="30"/>
  <c r="J76" i="30" s="1"/>
  <c r="I8" i="30"/>
  <c r="I76" i="30" s="1"/>
  <c r="G8" i="30"/>
  <c r="G76" i="30" s="1"/>
  <c r="A4" i="30"/>
  <c r="J83" i="30" l="1"/>
  <c r="K76" i="30"/>
  <c r="I77" i="30"/>
  <c r="J77" i="30"/>
  <c r="I83" i="27" l="1"/>
  <c r="G77" i="27"/>
  <c r="K73" i="27"/>
  <c r="K72" i="27"/>
  <c r="K71" i="27"/>
  <c r="J70" i="27"/>
  <c r="I70" i="27"/>
  <c r="G70" i="27"/>
  <c r="K69" i="27"/>
  <c r="K68" i="27"/>
  <c r="K67" i="27"/>
  <c r="J66" i="27"/>
  <c r="I66" i="27"/>
  <c r="G66" i="27"/>
  <c r="K63" i="27"/>
  <c r="K62" i="27"/>
  <c r="K61" i="27"/>
  <c r="K60" i="27"/>
  <c r="K59" i="27"/>
  <c r="K58" i="27"/>
  <c r="K57" i="27"/>
  <c r="K56" i="27"/>
  <c r="K55" i="27"/>
  <c r="K54" i="27"/>
  <c r="K53" i="27"/>
  <c r="K52" i="27"/>
  <c r="K51" i="27"/>
  <c r="K50" i="27"/>
  <c r="K49" i="27"/>
  <c r="K48" i="27"/>
  <c r="K47" i="27"/>
  <c r="K46" i="27"/>
  <c r="K45" i="27"/>
  <c r="K44" i="27"/>
  <c r="K43" i="27"/>
  <c r="J42" i="27"/>
  <c r="I42" i="27"/>
  <c r="G42" i="27"/>
  <c r="K41" i="27"/>
  <c r="K40" i="27"/>
  <c r="K39" i="27"/>
  <c r="K38" i="27"/>
  <c r="K37" i="27"/>
  <c r="K36" i="27"/>
  <c r="K35" i="27"/>
  <c r="K34" i="27"/>
  <c r="K33" i="27"/>
  <c r="K32" i="27"/>
  <c r="K31" i="27"/>
  <c r="K30" i="27"/>
  <c r="K29" i="27"/>
  <c r="K28" i="27"/>
  <c r="K27" i="27"/>
  <c r="K26" i="27"/>
  <c r="J25" i="27"/>
  <c r="I25" i="27"/>
  <c r="G25" i="27"/>
  <c r="K24" i="27"/>
  <c r="K23" i="27"/>
  <c r="K22" i="27"/>
  <c r="K21" i="27"/>
  <c r="K20" i="27"/>
  <c r="K19" i="27"/>
  <c r="K18" i="27"/>
  <c r="K17" i="27"/>
  <c r="K16" i="27"/>
  <c r="K15" i="27"/>
  <c r="K14" i="27"/>
  <c r="K13" i="27"/>
  <c r="K12" i="27"/>
  <c r="K11" i="27"/>
  <c r="K10" i="27"/>
  <c r="K9" i="27"/>
  <c r="J8" i="27"/>
  <c r="J76" i="27" s="1"/>
  <c r="I8" i="27"/>
  <c r="I76" i="27" s="1"/>
  <c r="G8" i="27"/>
  <c r="G76" i="27" s="1"/>
  <c r="A4" i="27"/>
  <c r="J83" i="27" l="1"/>
  <c r="I77" i="27"/>
  <c r="K76" i="27"/>
  <c r="J77" i="27"/>
  <c r="I83" i="25" l="1"/>
  <c r="G77" i="25"/>
  <c r="K73" i="25"/>
  <c r="K72" i="25"/>
  <c r="K71" i="25"/>
  <c r="J70" i="25"/>
  <c r="I70" i="25"/>
  <c r="G70" i="25"/>
  <c r="K69" i="25"/>
  <c r="K68" i="25"/>
  <c r="K67" i="25"/>
  <c r="J66" i="25"/>
  <c r="I66" i="25"/>
  <c r="G66" i="25"/>
  <c r="K63" i="25"/>
  <c r="K62" i="25"/>
  <c r="K61" i="25"/>
  <c r="K60" i="25"/>
  <c r="K59" i="25"/>
  <c r="K58" i="25"/>
  <c r="K57" i="25"/>
  <c r="K56" i="25"/>
  <c r="K55" i="25"/>
  <c r="K54" i="25"/>
  <c r="K53" i="25"/>
  <c r="K52" i="25"/>
  <c r="K51" i="25"/>
  <c r="K50" i="25"/>
  <c r="K49" i="25"/>
  <c r="K48" i="25"/>
  <c r="K47" i="25"/>
  <c r="K46" i="25"/>
  <c r="K45" i="25"/>
  <c r="K44" i="25"/>
  <c r="K43" i="25"/>
  <c r="J42" i="25"/>
  <c r="I42" i="25"/>
  <c r="G42" i="25"/>
  <c r="G76" i="25" s="1"/>
  <c r="K41" i="25"/>
  <c r="K40" i="25"/>
  <c r="K39" i="25"/>
  <c r="K38" i="25"/>
  <c r="K37" i="25"/>
  <c r="K36" i="25"/>
  <c r="K35" i="25"/>
  <c r="K34" i="25"/>
  <c r="K33" i="25"/>
  <c r="K32" i="25"/>
  <c r="K31" i="25"/>
  <c r="K30" i="25"/>
  <c r="K29" i="25"/>
  <c r="K28" i="25"/>
  <c r="K26" i="25"/>
  <c r="J25" i="25"/>
  <c r="I25" i="25"/>
  <c r="G25" i="25"/>
  <c r="K24" i="25"/>
  <c r="K23" i="25"/>
  <c r="K22" i="25"/>
  <c r="K21" i="25"/>
  <c r="K20" i="25"/>
  <c r="K19" i="25"/>
  <c r="K18" i="25"/>
  <c r="K17" i="25"/>
  <c r="K16" i="25"/>
  <c r="K15" i="25"/>
  <c r="K14" i="25"/>
  <c r="K13" i="25"/>
  <c r="K12" i="25"/>
  <c r="K11" i="25"/>
  <c r="K10" i="25"/>
  <c r="K9" i="25"/>
  <c r="J8" i="25"/>
  <c r="I8" i="25"/>
  <c r="G8" i="25"/>
  <c r="A4" i="25"/>
  <c r="J76" i="25" l="1"/>
  <c r="J77" i="25" s="1"/>
  <c r="I76" i="25"/>
  <c r="J83" i="25" s="1"/>
  <c r="K76" i="25" l="1"/>
  <c r="I77" i="25"/>
  <c r="I83" i="24"/>
  <c r="G77" i="24"/>
  <c r="K73" i="24"/>
  <c r="K72" i="24"/>
  <c r="K71" i="24"/>
  <c r="J70" i="24"/>
  <c r="I70" i="24"/>
  <c r="G70" i="24"/>
  <c r="K69" i="24"/>
  <c r="K68" i="24"/>
  <c r="K67" i="24"/>
  <c r="J66" i="24"/>
  <c r="I66" i="24"/>
  <c r="G66" i="24"/>
  <c r="K63" i="24"/>
  <c r="K62" i="24"/>
  <c r="K61" i="24"/>
  <c r="K60" i="24"/>
  <c r="K59" i="24"/>
  <c r="K58" i="24"/>
  <c r="K57" i="24"/>
  <c r="K56" i="24"/>
  <c r="K55" i="24"/>
  <c r="K54" i="24"/>
  <c r="K53" i="24"/>
  <c r="K52" i="24"/>
  <c r="K51" i="24"/>
  <c r="K50" i="24"/>
  <c r="K49" i="24"/>
  <c r="K48" i="24"/>
  <c r="K47" i="24"/>
  <c r="K46" i="24"/>
  <c r="K45" i="24"/>
  <c r="K44" i="24"/>
  <c r="K43" i="24"/>
  <c r="J42" i="24"/>
  <c r="I42" i="24"/>
  <c r="G42" i="24"/>
  <c r="K41" i="24"/>
  <c r="K40" i="24"/>
  <c r="K39" i="24"/>
  <c r="K38" i="24"/>
  <c r="K37" i="24"/>
  <c r="K36" i="24"/>
  <c r="K35" i="24"/>
  <c r="K34" i="24"/>
  <c r="K33" i="24"/>
  <c r="K32" i="24"/>
  <c r="K31" i="24"/>
  <c r="I30" i="24"/>
  <c r="K30" i="24" s="1"/>
  <c r="K29" i="24"/>
  <c r="K28" i="24"/>
  <c r="K27" i="24"/>
  <c r="K26" i="24"/>
  <c r="J25" i="24"/>
  <c r="G25" i="24"/>
  <c r="K24" i="24"/>
  <c r="K23" i="24"/>
  <c r="K22" i="24"/>
  <c r="K21" i="24"/>
  <c r="K20" i="24"/>
  <c r="K19" i="24"/>
  <c r="K18" i="24"/>
  <c r="K17" i="24"/>
  <c r="K16" i="24"/>
  <c r="K15" i="24"/>
  <c r="K14" i="24"/>
  <c r="K13" i="24"/>
  <c r="K12" i="24"/>
  <c r="K11" i="24"/>
  <c r="K10" i="24"/>
  <c r="K9" i="24"/>
  <c r="J8" i="24"/>
  <c r="J76" i="24" s="1"/>
  <c r="J77" i="24" s="1"/>
  <c r="I8" i="24"/>
  <c r="G8" i="24"/>
  <c r="G76" i="24" s="1"/>
  <c r="A4" i="24"/>
  <c r="I76" i="24" l="1"/>
  <c r="I25" i="24"/>
  <c r="J83" i="24" l="1"/>
  <c r="I77" i="24"/>
  <c r="K76" i="24"/>
  <c r="I83" i="23" l="1"/>
  <c r="G77" i="23"/>
  <c r="J73" i="23"/>
  <c r="J70" i="23" s="1"/>
  <c r="G73" i="23"/>
  <c r="K72" i="23"/>
  <c r="J72" i="23"/>
  <c r="G72" i="23"/>
  <c r="G70" i="23" s="1"/>
  <c r="J71" i="23"/>
  <c r="K71" i="23" s="1"/>
  <c r="G71" i="23"/>
  <c r="I70" i="23"/>
  <c r="K69" i="23"/>
  <c r="G69" i="23"/>
  <c r="K68" i="23"/>
  <c r="G68" i="23"/>
  <c r="I67" i="23"/>
  <c r="K67" i="23" s="1"/>
  <c r="J66" i="23"/>
  <c r="K63" i="23"/>
  <c r="G63" i="23"/>
  <c r="K62" i="23"/>
  <c r="G62" i="23"/>
  <c r="K61" i="23"/>
  <c r="G61" i="23"/>
  <c r="K60" i="23"/>
  <c r="G60" i="23"/>
  <c r="K59" i="23"/>
  <c r="G59" i="23"/>
  <c r="K58" i="23"/>
  <c r="G58" i="23"/>
  <c r="J57" i="23"/>
  <c r="J42" i="23" s="1"/>
  <c r="G57" i="23"/>
  <c r="K56" i="23"/>
  <c r="G56" i="23"/>
  <c r="K55" i="23"/>
  <c r="G55" i="23"/>
  <c r="K54" i="23"/>
  <c r="G54" i="23"/>
  <c r="K53" i="23"/>
  <c r="G53" i="23"/>
  <c r="K52" i="23"/>
  <c r="G52" i="23"/>
  <c r="K51" i="23"/>
  <c r="G51" i="23"/>
  <c r="I50" i="23"/>
  <c r="K50" i="23" s="1"/>
  <c r="G50" i="23"/>
  <c r="I49" i="23"/>
  <c r="K49" i="23" s="1"/>
  <c r="K48" i="23"/>
  <c r="G48" i="23"/>
  <c r="I47" i="23"/>
  <c r="K47" i="23" s="1"/>
  <c r="G47" i="23"/>
  <c r="K46" i="23"/>
  <c r="G46" i="23"/>
  <c r="K45" i="23"/>
  <c r="G45" i="23"/>
  <c r="K44" i="23"/>
  <c r="G44" i="23"/>
  <c r="J43" i="23"/>
  <c r="K43" i="23" s="1"/>
  <c r="G43" i="23"/>
  <c r="K41" i="23"/>
  <c r="K40" i="23"/>
  <c r="G40" i="23"/>
  <c r="K39" i="23"/>
  <c r="G39" i="23"/>
  <c r="K38" i="23"/>
  <c r="G38" i="23"/>
  <c r="K37" i="23"/>
  <c r="G37" i="23"/>
  <c r="K36" i="23"/>
  <c r="G36" i="23"/>
  <c r="K35" i="23"/>
  <c r="G35" i="23"/>
  <c r="K34" i="23"/>
  <c r="G34" i="23"/>
  <c r="K33" i="23"/>
  <c r="G33" i="23"/>
  <c r="K32" i="23"/>
  <c r="J32" i="23"/>
  <c r="G32" i="23"/>
  <c r="I31" i="23"/>
  <c r="K31" i="23" s="1"/>
  <c r="G31" i="23"/>
  <c r="K30" i="23"/>
  <c r="G30" i="23"/>
  <c r="K29" i="23"/>
  <c r="G29" i="23"/>
  <c r="K28" i="23"/>
  <c r="I28" i="23"/>
  <c r="G28" i="23"/>
  <c r="G25" i="23" s="1"/>
  <c r="K27" i="23"/>
  <c r="G27" i="23"/>
  <c r="K26" i="23"/>
  <c r="G26" i="23"/>
  <c r="J25" i="23"/>
  <c r="J76" i="23" s="1"/>
  <c r="I25" i="23"/>
  <c r="K24" i="23"/>
  <c r="K23" i="23"/>
  <c r="K22" i="23"/>
  <c r="K21" i="23"/>
  <c r="G21" i="23"/>
  <c r="I20" i="23"/>
  <c r="K20" i="23" s="1"/>
  <c r="G20" i="23"/>
  <c r="K19" i="23"/>
  <c r="I18" i="23"/>
  <c r="K18" i="23" s="1"/>
  <c r="G18" i="23"/>
  <c r="I17" i="23"/>
  <c r="K17" i="23" s="1"/>
  <c r="G17" i="23"/>
  <c r="K16" i="23"/>
  <c r="K15" i="23"/>
  <c r="K14" i="23"/>
  <c r="I13" i="23"/>
  <c r="K13" i="23" s="1"/>
  <c r="G13" i="23"/>
  <c r="I12" i="23"/>
  <c r="K12" i="23" s="1"/>
  <c r="G12" i="23"/>
  <c r="I11" i="23"/>
  <c r="I8" i="23" s="1"/>
  <c r="G11" i="23"/>
  <c r="K10" i="23"/>
  <c r="G10" i="23"/>
  <c r="G8" i="23" s="1"/>
  <c r="K9" i="23"/>
  <c r="J8" i="23"/>
  <c r="A4" i="23"/>
  <c r="K73" i="23" l="1"/>
  <c r="K11" i="23"/>
  <c r="I42" i="23"/>
  <c r="I76" i="23" s="1"/>
  <c r="K57" i="23"/>
  <c r="I66" i="23"/>
  <c r="G49" i="23"/>
  <c r="G42" i="23" s="1"/>
  <c r="G76" i="23" s="1"/>
  <c r="J77" i="23" s="1"/>
  <c r="G67" i="23"/>
  <c r="G66" i="23" s="1"/>
  <c r="J83" i="23" l="1"/>
  <c r="I77" i="23"/>
  <c r="K76" i="23"/>
  <c r="I83" i="4" l="1"/>
  <c r="G77" i="4"/>
  <c r="K73" i="4"/>
  <c r="J72" i="4"/>
  <c r="J70" i="4" s="1"/>
  <c r="K71" i="4"/>
  <c r="I70" i="4"/>
  <c r="G70" i="4"/>
  <c r="K69" i="4"/>
  <c r="K68" i="4"/>
  <c r="K67" i="4"/>
  <c r="J66" i="4"/>
  <c r="I66" i="4"/>
  <c r="G66" i="4"/>
  <c r="K63" i="4"/>
  <c r="K62" i="4"/>
  <c r="G62" i="4"/>
  <c r="K61" i="4"/>
  <c r="K60" i="4"/>
  <c r="K59" i="4"/>
  <c r="K58" i="4"/>
  <c r="K57" i="4"/>
  <c r="K56" i="4"/>
  <c r="K55" i="4"/>
  <c r="K54" i="4"/>
  <c r="K53" i="4"/>
  <c r="K52" i="4"/>
  <c r="K51" i="4"/>
  <c r="K50" i="4"/>
  <c r="K49" i="4"/>
  <c r="K48" i="4"/>
  <c r="K47" i="4"/>
  <c r="G47" i="4"/>
  <c r="K46" i="4"/>
  <c r="G46" i="4"/>
  <c r="G42" i="4" s="1"/>
  <c r="K45" i="4"/>
  <c r="K44" i="4"/>
  <c r="K43" i="4"/>
  <c r="J42" i="4"/>
  <c r="I42" i="4"/>
  <c r="K41" i="4"/>
  <c r="K40" i="4"/>
  <c r="K39" i="4"/>
  <c r="K38" i="4"/>
  <c r="K37" i="4"/>
  <c r="K36" i="4"/>
  <c r="K35" i="4"/>
  <c r="K34" i="4"/>
  <c r="K33" i="4"/>
  <c r="K32" i="4"/>
  <c r="G32" i="4"/>
  <c r="G25" i="4" s="1"/>
  <c r="K31" i="4"/>
  <c r="I30" i="4"/>
  <c r="K30" i="4" s="1"/>
  <c r="K29" i="4"/>
  <c r="K28" i="4"/>
  <c r="K27" i="4"/>
  <c r="K26" i="4"/>
  <c r="J25" i="4"/>
  <c r="J76" i="4" s="1"/>
  <c r="I25" i="4"/>
  <c r="I76" i="4" s="1"/>
  <c r="K24" i="4"/>
  <c r="K23" i="4"/>
  <c r="K22" i="4"/>
  <c r="K21" i="4"/>
  <c r="K20" i="4"/>
  <c r="K19" i="4"/>
  <c r="K18" i="4"/>
  <c r="K17" i="4"/>
  <c r="K16" i="4"/>
  <c r="K15" i="4"/>
  <c r="K14" i="4"/>
  <c r="G14" i="4"/>
  <c r="G8" i="4" s="1"/>
  <c r="K13" i="4"/>
  <c r="K12" i="4"/>
  <c r="K11" i="4"/>
  <c r="K10" i="4"/>
  <c r="K9" i="4"/>
  <c r="J8" i="4"/>
  <c r="I8" i="4"/>
  <c r="A4" i="4"/>
  <c r="I83" i="22"/>
  <c r="G77" i="22"/>
  <c r="K73" i="22"/>
  <c r="K72" i="22"/>
  <c r="K71" i="22"/>
  <c r="J70" i="22"/>
  <c r="I70" i="22"/>
  <c r="G70" i="22"/>
  <c r="K69" i="22"/>
  <c r="K68" i="22"/>
  <c r="K67" i="22"/>
  <c r="J66" i="22"/>
  <c r="I66" i="22"/>
  <c r="G66" i="22"/>
  <c r="K63" i="22"/>
  <c r="K62" i="22"/>
  <c r="K61" i="22"/>
  <c r="K60" i="22"/>
  <c r="K59" i="22"/>
  <c r="K58" i="22"/>
  <c r="K57" i="22"/>
  <c r="K56" i="22"/>
  <c r="K55" i="22"/>
  <c r="K54" i="22"/>
  <c r="K53" i="22"/>
  <c r="K52" i="22"/>
  <c r="K51" i="22"/>
  <c r="K50" i="22"/>
  <c r="K49" i="22"/>
  <c r="K48" i="22"/>
  <c r="K47" i="22"/>
  <c r="K46" i="22"/>
  <c r="K45" i="22"/>
  <c r="K44" i="22"/>
  <c r="K43" i="22"/>
  <c r="J42" i="22"/>
  <c r="I42" i="22"/>
  <c r="G42" i="22"/>
  <c r="K41" i="22"/>
  <c r="K40" i="22"/>
  <c r="K39" i="22"/>
  <c r="K38" i="22"/>
  <c r="K37" i="22"/>
  <c r="K36" i="22"/>
  <c r="K35" i="22"/>
  <c r="K34" i="22"/>
  <c r="K33" i="22"/>
  <c r="K32" i="22"/>
  <c r="K31" i="22"/>
  <c r="K30" i="22"/>
  <c r="K29" i="22"/>
  <c r="K28" i="22"/>
  <c r="K27" i="22"/>
  <c r="K26" i="22"/>
  <c r="J25" i="22"/>
  <c r="I25" i="22"/>
  <c r="G25" i="22"/>
  <c r="K24" i="22"/>
  <c r="K23" i="22"/>
  <c r="K22" i="22"/>
  <c r="K21" i="22"/>
  <c r="K20" i="22"/>
  <c r="K19" i="22"/>
  <c r="K18" i="22"/>
  <c r="K17" i="22"/>
  <c r="K16" i="22"/>
  <c r="K15" i="22"/>
  <c r="K14" i="22"/>
  <c r="K13" i="22"/>
  <c r="K12" i="22"/>
  <c r="K11" i="22"/>
  <c r="K10" i="22"/>
  <c r="K9" i="22"/>
  <c r="J8" i="22"/>
  <c r="J76" i="22" s="1"/>
  <c r="J77" i="22" s="1"/>
  <c r="I8" i="22"/>
  <c r="I76" i="22" s="1"/>
  <c r="G8" i="22"/>
  <c r="G76" i="22" s="1"/>
  <c r="A4" i="22"/>
  <c r="G76" i="4" l="1"/>
  <c r="J77" i="4"/>
  <c r="J83" i="4"/>
  <c r="I77" i="4"/>
  <c r="K76" i="4"/>
  <c r="K72" i="4"/>
  <c r="K76" i="22"/>
  <c r="J83" i="22"/>
  <c r="I77" i="22"/>
  <c r="I83" i="21" l="1"/>
  <c r="G77" i="21"/>
  <c r="K73" i="21"/>
  <c r="K72" i="21"/>
  <c r="K71" i="21"/>
  <c r="J70" i="21"/>
  <c r="I70" i="21"/>
  <c r="G70" i="21"/>
  <c r="K69" i="21"/>
  <c r="K68" i="21"/>
  <c r="K67" i="21"/>
  <c r="J66" i="21"/>
  <c r="I66" i="21"/>
  <c r="G66" i="21"/>
  <c r="K63" i="21"/>
  <c r="K62" i="21"/>
  <c r="K61" i="21"/>
  <c r="K60" i="21"/>
  <c r="K59" i="21"/>
  <c r="K58" i="21"/>
  <c r="K57" i="21"/>
  <c r="K56" i="21"/>
  <c r="K55" i="21"/>
  <c r="K54" i="21"/>
  <c r="K53" i="21"/>
  <c r="K52" i="21"/>
  <c r="K51" i="21"/>
  <c r="K50" i="21"/>
  <c r="K49" i="21"/>
  <c r="K48" i="21"/>
  <c r="K47" i="21"/>
  <c r="K46" i="21"/>
  <c r="K45" i="21"/>
  <c r="K44" i="21"/>
  <c r="K43" i="21"/>
  <c r="J42" i="21"/>
  <c r="I42" i="21"/>
  <c r="I76" i="21" s="1"/>
  <c r="G42" i="21"/>
  <c r="G76" i="21" s="1"/>
  <c r="K41" i="21"/>
  <c r="K40" i="21"/>
  <c r="K39" i="21"/>
  <c r="K38" i="21"/>
  <c r="K37" i="21"/>
  <c r="K36" i="21"/>
  <c r="K35" i="21"/>
  <c r="K34" i="21"/>
  <c r="K33" i="21"/>
  <c r="K32" i="21"/>
  <c r="K31" i="21"/>
  <c r="K30" i="21"/>
  <c r="K29" i="21"/>
  <c r="K28" i="21"/>
  <c r="K27" i="21"/>
  <c r="K26" i="21"/>
  <c r="J25" i="21"/>
  <c r="I25" i="21"/>
  <c r="G25" i="21"/>
  <c r="K24" i="21"/>
  <c r="K23" i="21"/>
  <c r="K22" i="21"/>
  <c r="K21" i="21"/>
  <c r="K20" i="21"/>
  <c r="K19" i="21"/>
  <c r="K18" i="21"/>
  <c r="K17" i="21"/>
  <c r="K16" i="21"/>
  <c r="K15" i="21"/>
  <c r="K14" i="21"/>
  <c r="K13" i="21"/>
  <c r="K12" i="21"/>
  <c r="K11" i="21"/>
  <c r="K10" i="21"/>
  <c r="K9" i="21"/>
  <c r="J8" i="21"/>
  <c r="J76" i="21" s="1"/>
  <c r="J77" i="21" s="1"/>
  <c r="I8" i="21"/>
  <c r="G8" i="21"/>
  <c r="A4" i="21"/>
  <c r="J83" i="21" l="1"/>
  <c r="K76" i="21"/>
  <c r="I77" i="21"/>
  <c r="I83" i="20" l="1"/>
  <c r="G77" i="20"/>
  <c r="K73" i="20"/>
  <c r="K72" i="20"/>
  <c r="K71" i="20"/>
  <c r="J70" i="20"/>
  <c r="I70" i="20"/>
  <c r="G70" i="20"/>
  <c r="K69" i="20"/>
  <c r="K68" i="20"/>
  <c r="K67" i="20"/>
  <c r="J66" i="20"/>
  <c r="I66" i="20"/>
  <c r="G66" i="20"/>
  <c r="K63" i="20"/>
  <c r="K62" i="20"/>
  <c r="K61" i="20"/>
  <c r="K60" i="20"/>
  <c r="K59" i="20"/>
  <c r="G59" i="20"/>
  <c r="K58" i="20"/>
  <c r="K57" i="20"/>
  <c r="K56" i="20"/>
  <c r="K55" i="20"/>
  <c r="K54" i="20"/>
  <c r="K53" i="20"/>
  <c r="K52" i="20"/>
  <c r="K51" i="20"/>
  <c r="K50" i="20"/>
  <c r="K49" i="20"/>
  <c r="G49" i="20"/>
  <c r="K48" i="20"/>
  <c r="K47" i="20"/>
  <c r="K46" i="20"/>
  <c r="K45" i="20"/>
  <c r="K44" i="20"/>
  <c r="K43" i="20"/>
  <c r="J42" i="20"/>
  <c r="J76" i="20" s="1"/>
  <c r="I42" i="20"/>
  <c r="I76" i="20" s="1"/>
  <c r="G42" i="20"/>
  <c r="K41" i="20"/>
  <c r="K40" i="20"/>
  <c r="K39" i="20"/>
  <c r="K38" i="20"/>
  <c r="K37" i="20"/>
  <c r="K36" i="20"/>
  <c r="K35" i="20"/>
  <c r="K34" i="20"/>
  <c r="K33" i="20"/>
  <c r="K32" i="20"/>
  <c r="K31" i="20"/>
  <c r="K30" i="20"/>
  <c r="G30" i="20"/>
  <c r="G25" i="20" s="1"/>
  <c r="K29" i="20"/>
  <c r="K28" i="20"/>
  <c r="K27" i="20"/>
  <c r="G27" i="20"/>
  <c r="K26" i="20"/>
  <c r="J25" i="20"/>
  <c r="I25" i="20"/>
  <c r="K24" i="20"/>
  <c r="K23" i="20"/>
  <c r="K22" i="20"/>
  <c r="K21" i="20"/>
  <c r="K20" i="20"/>
  <c r="K19" i="20"/>
  <c r="K18" i="20"/>
  <c r="K17" i="20"/>
  <c r="K16" i="20"/>
  <c r="K15" i="20"/>
  <c r="K14" i="20"/>
  <c r="K13" i="20"/>
  <c r="K12" i="20"/>
  <c r="G12" i="20"/>
  <c r="K11" i="20"/>
  <c r="G11" i="20"/>
  <c r="G8" i="20" s="1"/>
  <c r="K10" i="20"/>
  <c r="K9" i="20"/>
  <c r="J8" i="20"/>
  <c r="I8" i="20"/>
  <c r="A4" i="20"/>
  <c r="G76" i="20" l="1"/>
  <c r="J77" i="20" s="1"/>
  <c r="J83" i="20"/>
  <c r="K76" i="20"/>
  <c r="I77" i="20" l="1"/>
  <c r="I83" i="19" l="1"/>
  <c r="G77" i="19"/>
  <c r="K73" i="19"/>
  <c r="K72" i="19"/>
  <c r="K71" i="19"/>
  <c r="J70" i="19"/>
  <c r="I70" i="19"/>
  <c r="G70" i="19"/>
  <c r="K69" i="19"/>
  <c r="K68" i="19"/>
  <c r="K67" i="19"/>
  <c r="J66" i="19"/>
  <c r="I66" i="19"/>
  <c r="G66" i="19"/>
  <c r="K63" i="19"/>
  <c r="K62" i="19"/>
  <c r="K61" i="19"/>
  <c r="K60" i="19"/>
  <c r="K59" i="19"/>
  <c r="K58" i="19"/>
  <c r="K57" i="19"/>
  <c r="K56" i="19"/>
  <c r="K55" i="19"/>
  <c r="K54" i="19"/>
  <c r="K53" i="19"/>
  <c r="K52" i="19"/>
  <c r="K51" i="19"/>
  <c r="K50" i="19"/>
  <c r="K49" i="19"/>
  <c r="K48" i="19"/>
  <c r="K47" i="19"/>
  <c r="K46" i="19"/>
  <c r="K45" i="19"/>
  <c r="K44" i="19"/>
  <c r="K43" i="19"/>
  <c r="J42" i="19"/>
  <c r="I42" i="19"/>
  <c r="G42" i="19"/>
  <c r="K41" i="19"/>
  <c r="K40" i="19"/>
  <c r="K39" i="19"/>
  <c r="K38" i="19"/>
  <c r="K37" i="19"/>
  <c r="K36" i="19"/>
  <c r="K35" i="19"/>
  <c r="K34" i="19"/>
  <c r="K33" i="19"/>
  <c r="K32" i="19"/>
  <c r="K31" i="19"/>
  <c r="K30" i="19"/>
  <c r="K29" i="19"/>
  <c r="K28" i="19"/>
  <c r="K27" i="19"/>
  <c r="K26" i="19"/>
  <c r="J25" i="19"/>
  <c r="I25" i="19"/>
  <c r="G25" i="19"/>
  <c r="K24" i="19"/>
  <c r="K23" i="19"/>
  <c r="K22" i="19"/>
  <c r="K21" i="19"/>
  <c r="K20" i="19"/>
  <c r="K19" i="19"/>
  <c r="K18" i="19"/>
  <c r="K17" i="19"/>
  <c r="K16" i="19"/>
  <c r="K15" i="19"/>
  <c r="K14" i="19"/>
  <c r="K13" i="19"/>
  <c r="K12" i="19"/>
  <c r="K11" i="19"/>
  <c r="K10" i="19"/>
  <c r="K9" i="19"/>
  <c r="J8" i="19"/>
  <c r="J76" i="19" s="1"/>
  <c r="I8" i="19"/>
  <c r="I76" i="19" s="1"/>
  <c r="G8" i="19"/>
  <c r="G76" i="19" s="1"/>
  <c r="A4" i="19"/>
  <c r="J77" i="19" l="1"/>
  <c r="J83" i="19"/>
  <c r="K76" i="19"/>
  <c r="I77" i="19"/>
  <c r="I83" i="29" l="1"/>
  <c r="G77" i="29"/>
  <c r="K73" i="29"/>
  <c r="K72" i="29"/>
  <c r="K71" i="29"/>
  <c r="J70" i="29"/>
  <c r="I70" i="29"/>
  <c r="G70" i="29"/>
  <c r="K69" i="29"/>
  <c r="K68" i="29"/>
  <c r="K67" i="29"/>
  <c r="J66" i="29"/>
  <c r="I66" i="29"/>
  <c r="G66" i="29"/>
  <c r="K63" i="29"/>
  <c r="K62" i="29"/>
  <c r="K61" i="29"/>
  <c r="K60" i="29"/>
  <c r="K59" i="29"/>
  <c r="K58" i="29"/>
  <c r="K57" i="29"/>
  <c r="K56" i="29"/>
  <c r="K55" i="29"/>
  <c r="K54" i="29"/>
  <c r="K53" i="29"/>
  <c r="K52" i="29"/>
  <c r="K51" i="29"/>
  <c r="K50" i="29"/>
  <c r="K49" i="29"/>
  <c r="K48" i="29"/>
  <c r="K47" i="29"/>
  <c r="K46" i="29"/>
  <c r="K45" i="29"/>
  <c r="K44" i="29"/>
  <c r="K43" i="29"/>
  <c r="J42" i="29"/>
  <c r="I42" i="29"/>
  <c r="G42" i="29"/>
  <c r="K41" i="29"/>
  <c r="K40" i="29"/>
  <c r="K39" i="29"/>
  <c r="K38" i="29"/>
  <c r="K37" i="29"/>
  <c r="K36" i="29"/>
  <c r="K35" i="29"/>
  <c r="K34" i="29"/>
  <c r="K33" i="29"/>
  <c r="K32" i="29"/>
  <c r="K31" i="29"/>
  <c r="K30" i="29"/>
  <c r="K29" i="29"/>
  <c r="K28" i="29"/>
  <c r="K27" i="29"/>
  <c r="K26" i="29"/>
  <c r="J25" i="29"/>
  <c r="I25" i="29"/>
  <c r="G25" i="29"/>
  <c r="K24" i="29"/>
  <c r="K23" i="29"/>
  <c r="K22" i="29"/>
  <c r="K21" i="29"/>
  <c r="K20" i="29"/>
  <c r="K19" i="29"/>
  <c r="K18" i="29"/>
  <c r="K17" i="29"/>
  <c r="K16" i="29"/>
  <c r="K15" i="29"/>
  <c r="K14" i="29"/>
  <c r="K13" i="29"/>
  <c r="K12" i="29"/>
  <c r="K11" i="29"/>
  <c r="K10" i="29"/>
  <c r="K9" i="29"/>
  <c r="J8" i="29"/>
  <c r="J76" i="29" s="1"/>
  <c r="I8" i="29"/>
  <c r="I76" i="29" s="1"/>
  <c r="G8" i="29"/>
  <c r="G76" i="29" s="1"/>
  <c r="A4" i="29"/>
  <c r="I83" i="17"/>
  <c r="G77" i="17"/>
  <c r="K73" i="17"/>
  <c r="K72" i="17"/>
  <c r="K71" i="17"/>
  <c r="J70" i="17"/>
  <c r="I70" i="17"/>
  <c r="G70" i="17"/>
  <c r="K69" i="17"/>
  <c r="K68" i="17"/>
  <c r="K67" i="17"/>
  <c r="J66" i="17"/>
  <c r="I66" i="17"/>
  <c r="G66" i="17"/>
  <c r="K63" i="17"/>
  <c r="K62" i="17"/>
  <c r="K61" i="17"/>
  <c r="K60" i="17"/>
  <c r="K59" i="17"/>
  <c r="K58" i="17"/>
  <c r="K57" i="17"/>
  <c r="K56" i="17"/>
  <c r="K55" i="17"/>
  <c r="K54" i="17"/>
  <c r="K53" i="17"/>
  <c r="K52" i="17"/>
  <c r="K51" i="17"/>
  <c r="K50" i="17"/>
  <c r="K49" i="17"/>
  <c r="K48" i="17"/>
  <c r="K47" i="17"/>
  <c r="K46" i="17"/>
  <c r="K45" i="17"/>
  <c r="K44" i="17"/>
  <c r="K43" i="17"/>
  <c r="J42" i="17"/>
  <c r="I42" i="17"/>
  <c r="G42" i="17"/>
  <c r="K41" i="17"/>
  <c r="K40" i="17"/>
  <c r="K39" i="17"/>
  <c r="K38" i="17"/>
  <c r="K37" i="17"/>
  <c r="K36" i="17"/>
  <c r="K35" i="17"/>
  <c r="K34" i="17"/>
  <c r="K33" i="17"/>
  <c r="K32" i="17"/>
  <c r="K31" i="17"/>
  <c r="K30" i="17"/>
  <c r="K29" i="17"/>
  <c r="K28" i="17"/>
  <c r="K27" i="17"/>
  <c r="K26" i="17"/>
  <c r="J25" i="17"/>
  <c r="I25" i="17"/>
  <c r="G25" i="17"/>
  <c r="K24" i="17"/>
  <c r="K23" i="17"/>
  <c r="K22" i="17"/>
  <c r="K21" i="17"/>
  <c r="K20" i="17"/>
  <c r="K19" i="17"/>
  <c r="K18" i="17"/>
  <c r="K17" i="17"/>
  <c r="K16" i="17"/>
  <c r="K15" i="17"/>
  <c r="K14" i="17"/>
  <c r="K13" i="17"/>
  <c r="K12" i="17"/>
  <c r="K11" i="17"/>
  <c r="K10" i="17"/>
  <c r="K9" i="17"/>
  <c r="J8" i="17"/>
  <c r="J76" i="17" s="1"/>
  <c r="J77" i="17" s="1"/>
  <c r="I8" i="17"/>
  <c r="I76" i="17" s="1"/>
  <c r="G8" i="17"/>
  <c r="G76" i="17" s="1"/>
  <c r="A4" i="17"/>
  <c r="J83" i="29" l="1"/>
  <c r="I77" i="29"/>
  <c r="K76" i="29"/>
  <c r="J77" i="29"/>
  <c r="J83" i="17"/>
  <c r="I77" i="17"/>
  <c r="K76" i="17"/>
  <c r="I37" i="32" l="1"/>
  <c r="I38" i="32" l="1"/>
  <c r="I39" i="32" s="1"/>
  <c r="J13" i="33" l="1"/>
  <c r="E34" i="32"/>
  <c r="J34" i="32" s="1"/>
  <c r="K13" i="33" s="1"/>
  <c r="E33" i="32" l="1"/>
  <c r="J33" i="32" s="1"/>
  <c r="K10" i="33" s="1"/>
  <c r="J10" i="33"/>
  <c r="J29" i="33" l="1"/>
  <c r="E32" i="32"/>
  <c r="J32" i="32" s="1"/>
  <c r="K29" i="33" s="1"/>
  <c r="E31" i="32" l="1"/>
  <c r="J31" i="32" s="1"/>
  <c r="K25" i="33" s="1"/>
  <c r="J25" i="33"/>
  <c r="J12" i="33" l="1"/>
  <c r="E30" i="32"/>
  <c r="J30" i="32" s="1"/>
  <c r="K12" i="33" s="1"/>
  <c r="E29" i="32" l="1"/>
  <c r="J29" i="32" s="1"/>
  <c r="K34" i="33" s="1"/>
  <c r="J34" i="33"/>
  <c r="J26" i="33" l="1"/>
  <c r="E28" i="32"/>
  <c r="J28" i="32" s="1"/>
  <c r="K26" i="33" s="1"/>
  <c r="J24" i="33" l="1"/>
  <c r="E27" i="32"/>
  <c r="J27" i="32" s="1"/>
  <c r="K24" i="33" s="1"/>
  <c r="E26" i="32" l="1"/>
  <c r="J26" i="32" s="1"/>
  <c r="K23" i="33" s="1"/>
  <c r="J23" i="33"/>
  <c r="J11" i="33" l="1"/>
  <c r="E25" i="32"/>
  <c r="J25" i="32" s="1"/>
  <c r="K11" i="33" s="1"/>
  <c r="E24" i="32" l="1"/>
  <c r="J24" i="32" s="1"/>
  <c r="K14" i="33" s="1"/>
  <c r="J14" i="33"/>
  <c r="J21" i="33" l="1"/>
  <c r="E22" i="32"/>
  <c r="J22" i="32" s="1"/>
  <c r="K21" i="33" s="1"/>
  <c r="J32" i="33" l="1"/>
  <c r="E23" i="32"/>
  <c r="J23" i="32" s="1"/>
  <c r="K32" i="33" s="1"/>
  <c r="E21" i="32" l="1"/>
  <c r="J21" i="32" s="1"/>
  <c r="K15" i="33" s="1"/>
  <c r="J15" i="33"/>
  <c r="J17" i="33" l="1"/>
  <c r="E20" i="32"/>
  <c r="J20" i="32" s="1"/>
  <c r="K17" i="33" s="1"/>
  <c r="E19" i="32" l="1"/>
  <c r="J19" i="32" s="1"/>
  <c r="K28" i="33" s="1"/>
  <c r="J28" i="33"/>
  <c r="J35" i="33" l="1"/>
  <c r="E18" i="32"/>
  <c r="J18" i="32" s="1"/>
  <c r="K35" i="33" s="1"/>
  <c r="E17" i="32" l="1"/>
  <c r="J17" i="32" s="1"/>
  <c r="K20" i="33" s="1"/>
  <c r="J20" i="33"/>
  <c r="J31" i="33" l="1"/>
  <c r="E16" i="32"/>
  <c r="J16" i="32" s="1"/>
  <c r="K31" i="33" s="1"/>
  <c r="E15" i="32" l="1"/>
  <c r="J15" i="32" s="1"/>
  <c r="K16" i="33" s="1"/>
  <c r="J16" i="33"/>
  <c r="J33" i="33" l="1"/>
  <c r="E14" i="32"/>
  <c r="J14" i="32" s="1"/>
  <c r="K33" i="33" s="1"/>
  <c r="J9" i="33" l="1"/>
  <c r="E13" i="32"/>
  <c r="J13" i="32" s="1"/>
  <c r="K9" i="33" s="1"/>
  <c r="E12" i="32" l="1"/>
  <c r="J12" i="32" s="1"/>
  <c r="K22" i="33" s="1"/>
  <c r="J22" i="33"/>
  <c r="J27" i="33" l="1"/>
  <c r="E11" i="32"/>
  <c r="J11" i="32" s="1"/>
  <c r="K27" i="33" s="1"/>
  <c r="E10" i="32" l="1"/>
  <c r="J10" i="32" s="1"/>
  <c r="K30" i="33" s="1"/>
  <c r="J30" i="33"/>
  <c r="J7" i="33" l="1"/>
  <c r="E9" i="32"/>
  <c r="J9" i="32" s="1"/>
  <c r="K7" i="33" s="1"/>
  <c r="E8" i="32" l="1"/>
  <c r="J8" i="32" s="1"/>
  <c r="K19" i="33" s="1"/>
  <c r="J19" i="33"/>
  <c r="H83" i="1"/>
  <c r="G77" i="1"/>
  <c r="J8" i="33" l="1"/>
  <c r="E7" i="32"/>
  <c r="J7" i="32" s="1"/>
  <c r="K8" i="33" s="1"/>
  <c r="C34" i="32"/>
  <c r="C33" i="32"/>
  <c r="C32" i="32"/>
  <c r="C31" i="32"/>
  <c r="C30" i="32"/>
  <c r="C29" i="32"/>
  <c r="C28" i="32"/>
  <c r="C27" i="32"/>
  <c r="C26" i="32"/>
  <c r="C25" i="32"/>
  <c r="C24" i="32"/>
  <c r="C23" i="32"/>
  <c r="C22" i="32"/>
  <c r="C21" i="32"/>
  <c r="C20" i="32"/>
  <c r="C19" i="32"/>
  <c r="C18" i="32"/>
  <c r="C17" i="32"/>
  <c r="C16" i="32"/>
  <c r="C15" i="32"/>
  <c r="C14" i="32"/>
  <c r="C13" i="32"/>
  <c r="C12" i="32"/>
  <c r="C11" i="32"/>
  <c r="C10" i="32"/>
  <c r="C9" i="32"/>
  <c r="C8" i="32"/>
  <c r="C7" i="32"/>
  <c r="C35" i="32" l="1"/>
  <c r="F11" i="33" l="1"/>
  <c r="F23" i="33"/>
  <c r="F13" i="33"/>
  <c r="F24" i="33"/>
  <c r="F17" i="33"/>
  <c r="F27" i="33"/>
  <c r="F18" i="33"/>
  <c r="F30" i="33"/>
  <c r="F12" i="33"/>
  <c r="F28" i="33"/>
  <c r="F29" i="33"/>
  <c r="F22" i="33"/>
  <c r="F7" i="33"/>
  <c r="F16" i="33"/>
  <c r="F33" i="33"/>
  <c r="F19" i="33"/>
  <c r="F35" i="33"/>
  <c r="F20" i="33"/>
  <c r="F15" i="33"/>
  <c r="F31" i="33"/>
  <c r="F14" i="33"/>
  <c r="F25" i="33"/>
  <c r="F10" i="33"/>
  <c r="F32" i="33"/>
  <c r="F9" i="33"/>
  <c r="F8" i="33" l="1"/>
  <c r="F38" i="32" l="1"/>
  <c r="F37" i="32"/>
  <c r="F39" i="32" l="1"/>
  <c r="G34" i="32"/>
  <c r="G9" i="33" s="1"/>
  <c r="G33" i="32"/>
  <c r="G7" i="33" s="1"/>
  <c r="G32" i="32"/>
  <c r="G32" i="33" s="1"/>
  <c r="G31" i="32"/>
  <c r="G22" i="33" s="1"/>
  <c r="G30" i="32"/>
  <c r="G10" i="33" s="1"/>
  <c r="G29" i="32"/>
  <c r="G29" i="33" s="1"/>
  <c r="G27" i="32"/>
  <c r="G28" i="33" s="1"/>
  <c r="G26" i="32"/>
  <c r="G25" i="33" s="1"/>
  <c r="G25" i="32"/>
  <c r="G12" i="33" s="1"/>
  <c r="G24" i="32"/>
  <c r="G14" i="33" s="1"/>
  <c r="G23" i="32"/>
  <c r="G30" i="33" s="1"/>
  <c r="G22" i="32"/>
  <c r="G31" i="33" s="1"/>
  <c r="G21" i="32"/>
  <c r="G18" i="33" s="1"/>
  <c r="G20" i="32"/>
  <c r="G15" i="33" s="1"/>
  <c r="G17" i="32"/>
  <c r="G17" i="33" s="1"/>
  <c r="G16" i="32"/>
  <c r="G20" i="33" s="1"/>
  <c r="G15" i="32"/>
  <c r="G24" i="33" s="1"/>
  <c r="G14" i="32"/>
  <c r="G35" i="33" s="1"/>
  <c r="G13" i="32"/>
  <c r="G13" i="33" s="1"/>
  <c r="G12" i="32"/>
  <c r="G19" i="33" s="1"/>
  <c r="G11" i="32"/>
  <c r="G23" i="33" s="1"/>
  <c r="G8" i="32"/>
  <c r="G16" i="33" s="1"/>
  <c r="G7" i="32"/>
  <c r="G8" i="33" s="1"/>
  <c r="F35" i="32"/>
  <c r="Y76" i="36" l="1"/>
  <c r="Y75" i="36"/>
  <c r="Y74" i="36"/>
  <c r="Y73" i="36"/>
  <c r="Y72" i="36"/>
  <c r="Y71" i="36"/>
  <c r="Y70" i="36"/>
  <c r="Y69" i="36"/>
  <c r="Y68" i="36"/>
  <c r="Y67" i="36"/>
  <c r="Y66" i="36"/>
  <c r="Y65" i="36"/>
  <c r="Y64" i="36"/>
  <c r="Y63" i="36"/>
  <c r="Y62" i="36"/>
  <c r="Y61" i="36"/>
  <c r="Y60" i="36"/>
  <c r="Y59" i="36"/>
  <c r="Y58" i="36"/>
  <c r="Y57" i="36"/>
  <c r="Y56" i="36"/>
  <c r="Y55" i="36"/>
  <c r="Y54" i="36"/>
  <c r="Y53" i="36"/>
  <c r="Y52" i="36"/>
  <c r="Y51" i="36"/>
  <c r="Y50" i="36"/>
  <c r="Y49" i="36"/>
  <c r="Y48" i="36"/>
  <c r="Y47" i="36"/>
  <c r="Y46" i="36"/>
  <c r="Y45" i="36"/>
  <c r="Y44" i="36"/>
  <c r="Y43" i="36"/>
  <c r="Y42" i="36"/>
  <c r="Y41" i="36"/>
  <c r="Y40" i="36"/>
  <c r="Y39" i="36"/>
  <c r="Y38" i="36"/>
  <c r="Y37" i="36"/>
  <c r="Y36" i="36"/>
  <c r="Y35" i="36"/>
  <c r="Y34" i="36"/>
  <c r="Y33" i="36"/>
  <c r="Y32" i="36"/>
  <c r="Y31" i="36"/>
  <c r="Y30" i="36"/>
  <c r="Y29" i="36"/>
  <c r="Y28" i="36"/>
  <c r="Y27" i="36"/>
  <c r="Y26" i="36"/>
  <c r="Y25" i="36"/>
  <c r="Y24" i="36"/>
  <c r="Y23" i="36"/>
  <c r="Y22" i="36"/>
  <c r="Y21" i="36"/>
  <c r="Y20" i="36"/>
  <c r="Y19" i="36"/>
  <c r="Y18" i="36"/>
  <c r="Y17" i="36"/>
  <c r="Y16" i="36"/>
  <c r="Y15" i="36"/>
  <c r="Y14" i="36"/>
  <c r="Y13" i="36"/>
  <c r="Y12" i="36"/>
  <c r="Y11" i="36"/>
  <c r="Y10" i="36"/>
  <c r="G58" i="36" l="1"/>
  <c r="H58" i="36"/>
  <c r="I58" i="36"/>
  <c r="J58" i="36"/>
  <c r="K58" i="36"/>
  <c r="L58" i="36"/>
  <c r="M58" i="36"/>
  <c r="N58" i="36"/>
  <c r="O58" i="36"/>
  <c r="P58" i="36"/>
  <c r="Q58" i="36"/>
  <c r="R58" i="36"/>
  <c r="S58" i="36"/>
  <c r="T58" i="36"/>
  <c r="U58" i="36"/>
  <c r="V58" i="36"/>
  <c r="W58" i="36"/>
  <c r="X58" i="36"/>
  <c r="Z58" i="36"/>
  <c r="AA58" i="36"/>
  <c r="AB58" i="36"/>
  <c r="AC58" i="36"/>
  <c r="AD58" i="36"/>
  <c r="AE58" i="36"/>
  <c r="AF58" i="36"/>
  <c r="AG58" i="36"/>
  <c r="AH58" i="36"/>
  <c r="G59" i="36"/>
  <c r="H59" i="36"/>
  <c r="I59" i="36"/>
  <c r="J59" i="36"/>
  <c r="K59" i="36"/>
  <c r="L59" i="36"/>
  <c r="M59" i="36"/>
  <c r="N59" i="36"/>
  <c r="O59" i="36"/>
  <c r="P59" i="36"/>
  <c r="Q59" i="36"/>
  <c r="R59" i="36"/>
  <c r="S59" i="36"/>
  <c r="T59" i="36"/>
  <c r="U59" i="36"/>
  <c r="V59" i="36"/>
  <c r="W59" i="36"/>
  <c r="X59" i="36"/>
  <c r="Z59" i="36"/>
  <c r="AA59" i="36"/>
  <c r="AB59" i="36"/>
  <c r="AC59" i="36"/>
  <c r="AD59" i="36"/>
  <c r="AE59" i="36"/>
  <c r="AF59" i="36"/>
  <c r="AG59" i="36"/>
  <c r="AH59" i="36"/>
  <c r="G60" i="36"/>
  <c r="H60" i="36"/>
  <c r="I60" i="36"/>
  <c r="J60" i="36"/>
  <c r="K60" i="36"/>
  <c r="L60" i="36"/>
  <c r="M60" i="36"/>
  <c r="N60" i="36"/>
  <c r="O60" i="36"/>
  <c r="P60" i="36"/>
  <c r="Q60" i="36"/>
  <c r="R60" i="36"/>
  <c r="S60" i="36"/>
  <c r="T60" i="36"/>
  <c r="U60" i="36"/>
  <c r="V60" i="36"/>
  <c r="W60" i="36"/>
  <c r="X60" i="36"/>
  <c r="Z60" i="36"/>
  <c r="AA60" i="36"/>
  <c r="AB60" i="36"/>
  <c r="AC60" i="36"/>
  <c r="AD60" i="36"/>
  <c r="AE60" i="36"/>
  <c r="AF60" i="36"/>
  <c r="AG60" i="36"/>
  <c r="AH60" i="36"/>
  <c r="G61" i="36"/>
  <c r="H61" i="36"/>
  <c r="I61" i="36"/>
  <c r="J61" i="36"/>
  <c r="K61" i="36"/>
  <c r="L61" i="36"/>
  <c r="M61" i="36"/>
  <c r="N61" i="36"/>
  <c r="O61" i="36"/>
  <c r="P61" i="36"/>
  <c r="Q61" i="36"/>
  <c r="R61" i="36"/>
  <c r="S61" i="36"/>
  <c r="T61" i="36"/>
  <c r="U61" i="36"/>
  <c r="V61" i="36"/>
  <c r="W61" i="36"/>
  <c r="X61" i="36"/>
  <c r="Z61" i="36"/>
  <c r="AA61" i="36"/>
  <c r="AB61" i="36"/>
  <c r="AC61" i="36"/>
  <c r="AD61" i="36"/>
  <c r="AE61" i="36"/>
  <c r="AF61" i="36"/>
  <c r="AG61" i="36"/>
  <c r="AH61" i="36"/>
  <c r="G62" i="36"/>
  <c r="H62" i="36"/>
  <c r="I62" i="36"/>
  <c r="J62" i="36"/>
  <c r="K62" i="36"/>
  <c r="L62" i="36"/>
  <c r="M62" i="36"/>
  <c r="N62" i="36"/>
  <c r="O62" i="36"/>
  <c r="P62" i="36"/>
  <c r="Q62" i="36"/>
  <c r="R62" i="36"/>
  <c r="S62" i="36"/>
  <c r="T62" i="36"/>
  <c r="U62" i="36"/>
  <c r="V62" i="36"/>
  <c r="W62" i="36"/>
  <c r="X62" i="36"/>
  <c r="Z62" i="36"/>
  <c r="AA62" i="36"/>
  <c r="AB62" i="36"/>
  <c r="AC62" i="36"/>
  <c r="AD62" i="36"/>
  <c r="AE62" i="36"/>
  <c r="AF62" i="36"/>
  <c r="AG62" i="36"/>
  <c r="AH62" i="36"/>
  <c r="G63" i="36"/>
  <c r="H63" i="36"/>
  <c r="I63" i="36"/>
  <c r="J63" i="36"/>
  <c r="K63" i="36"/>
  <c r="L63" i="36"/>
  <c r="M63" i="36"/>
  <c r="N63" i="36"/>
  <c r="O63" i="36"/>
  <c r="P63" i="36"/>
  <c r="Q63" i="36"/>
  <c r="R63" i="36"/>
  <c r="S63" i="36"/>
  <c r="T63" i="36"/>
  <c r="U63" i="36"/>
  <c r="V63" i="36"/>
  <c r="W63" i="36"/>
  <c r="X63" i="36"/>
  <c r="Z63" i="36"/>
  <c r="AA63" i="36"/>
  <c r="AB63" i="36"/>
  <c r="AC63" i="36"/>
  <c r="AD63" i="36"/>
  <c r="AE63" i="36"/>
  <c r="AF63" i="36"/>
  <c r="AG63" i="36"/>
  <c r="AH63" i="36"/>
  <c r="G64" i="36"/>
  <c r="H64" i="36"/>
  <c r="I64" i="36"/>
  <c r="J64" i="36"/>
  <c r="K64" i="36"/>
  <c r="L64" i="36"/>
  <c r="M64" i="36"/>
  <c r="N64" i="36"/>
  <c r="O64" i="36"/>
  <c r="P64" i="36"/>
  <c r="Q64" i="36"/>
  <c r="R64" i="36"/>
  <c r="S64" i="36"/>
  <c r="T64" i="36"/>
  <c r="U64" i="36"/>
  <c r="V64" i="36"/>
  <c r="W64" i="36"/>
  <c r="X64" i="36"/>
  <c r="Z64" i="36"/>
  <c r="AA64" i="36"/>
  <c r="AB64" i="36"/>
  <c r="AC64" i="36"/>
  <c r="AD64" i="36"/>
  <c r="AE64" i="36"/>
  <c r="AF64" i="36"/>
  <c r="AG64" i="36"/>
  <c r="AH64" i="36"/>
  <c r="G65" i="36"/>
  <c r="H65" i="36"/>
  <c r="I65" i="36"/>
  <c r="J65" i="36"/>
  <c r="K65" i="36"/>
  <c r="L65" i="36"/>
  <c r="M65" i="36"/>
  <c r="N65" i="36"/>
  <c r="O65" i="36"/>
  <c r="P65" i="36"/>
  <c r="Q65" i="36"/>
  <c r="R65" i="36"/>
  <c r="S65" i="36"/>
  <c r="T65" i="36"/>
  <c r="U65" i="36"/>
  <c r="V65" i="36"/>
  <c r="W65" i="36"/>
  <c r="X65" i="36"/>
  <c r="Z65" i="36"/>
  <c r="AA65" i="36"/>
  <c r="AB65" i="36"/>
  <c r="AC65" i="36"/>
  <c r="AD65" i="36"/>
  <c r="AE65" i="36"/>
  <c r="AF65" i="36"/>
  <c r="AG65" i="36"/>
  <c r="AH65" i="36"/>
  <c r="G66" i="36"/>
  <c r="H66" i="36"/>
  <c r="I66" i="36"/>
  <c r="J66" i="36"/>
  <c r="K66" i="36"/>
  <c r="L66" i="36"/>
  <c r="M66" i="36"/>
  <c r="N66" i="36"/>
  <c r="O66" i="36"/>
  <c r="P66" i="36"/>
  <c r="Q66" i="36"/>
  <c r="R66" i="36"/>
  <c r="S66" i="36"/>
  <c r="T66" i="36"/>
  <c r="U66" i="36"/>
  <c r="V66" i="36"/>
  <c r="W66" i="36"/>
  <c r="X66" i="36"/>
  <c r="Z66" i="36"/>
  <c r="AA66" i="36"/>
  <c r="AB66" i="36"/>
  <c r="AC66" i="36"/>
  <c r="AD66" i="36"/>
  <c r="AE66" i="36"/>
  <c r="AF66" i="36"/>
  <c r="AG66" i="36"/>
  <c r="AH66" i="36"/>
  <c r="G67" i="36"/>
  <c r="H67" i="36"/>
  <c r="I67" i="36"/>
  <c r="J67" i="36"/>
  <c r="K67" i="36"/>
  <c r="L67" i="36"/>
  <c r="M67" i="36"/>
  <c r="N67" i="36"/>
  <c r="O67" i="36"/>
  <c r="P67" i="36"/>
  <c r="Q67" i="36"/>
  <c r="R67" i="36"/>
  <c r="S67" i="36"/>
  <c r="T67" i="36"/>
  <c r="U67" i="36"/>
  <c r="V67" i="36"/>
  <c r="W67" i="36"/>
  <c r="X67" i="36"/>
  <c r="Z67" i="36"/>
  <c r="AA67" i="36"/>
  <c r="AB67" i="36"/>
  <c r="AC67" i="36"/>
  <c r="AD67" i="36"/>
  <c r="AE67" i="36"/>
  <c r="AF67" i="36"/>
  <c r="AG67" i="36"/>
  <c r="AH67" i="36"/>
  <c r="G68" i="36"/>
  <c r="H68" i="36"/>
  <c r="I68" i="36"/>
  <c r="J68" i="36"/>
  <c r="K68" i="36"/>
  <c r="L68" i="36"/>
  <c r="M68" i="36"/>
  <c r="N68" i="36"/>
  <c r="O68" i="36"/>
  <c r="P68" i="36"/>
  <c r="Q68" i="36"/>
  <c r="R68" i="36"/>
  <c r="S68" i="36"/>
  <c r="T68" i="36"/>
  <c r="U68" i="36"/>
  <c r="V68" i="36"/>
  <c r="W68" i="36"/>
  <c r="X68" i="36"/>
  <c r="Z68" i="36"/>
  <c r="AA68" i="36"/>
  <c r="AB68" i="36"/>
  <c r="AC68" i="36"/>
  <c r="AD68" i="36"/>
  <c r="AE68" i="36"/>
  <c r="AF68" i="36"/>
  <c r="AG68" i="36"/>
  <c r="AH68" i="36"/>
  <c r="G69" i="36"/>
  <c r="H69" i="36"/>
  <c r="I69" i="36"/>
  <c r="J69" i="36"/>
  <c r="K69" i="36"/>
  <c r="L69" i="36"/>
  <c r="M69" i="36"/>
  <c r="N69" i="36"/>
  <c r="O69" i="36"/>
  <c r="P69" i="36"/>
  <c r="Q69" i="36"/>
  <c r="R69" i="36"/>
  <c r="S69" i="36"/>
  <c r="T69" i="36"/>
  <c r="U69" i="36"/>
  <c r="V69" i="36"/>
  <c r="W69" i="36"/>
  <c r="X69" i="36"/>
  <c r="Z69" i="36"/>
  <c r="AA69" i="36"/>
  <c r="AB69" i="36"/>
  <c r="AC69" i="36"/>
  <c r="AD69" i="36"/>
  <c r="AE69" i="36"/>
  <c r="AF69" i="36"/>
  <c r="AG69" i="36"/>
  <c r="AH69" i="36"/>
  <c r="G70" i="36"/>
  <c r="H70" i="36"/>
  <c r="I70" i="36"/>
  <c r="J70" i="36"/>
  <c r="K70" i="36"/>
  <c r="L70" i="36"/>
  <c r="M70" i="36"/>
  <c r="N70" i="36"/>
  <c r="O70" i="36"/>
  <c r="P70" i="36"/>
  <c r="Q70" i="36"/>
  <c r="R70" i="36"/>
  <c r="S70" i="36"/>
  <c r="T70" i="36"/>
  <c r="U70" i="36"/>
  <c r="V70" i="36"/>
  <c r="W70" i="36"/>
  <c r="X70" i="36"/>
  <c r="Z70" i="36"/>
  <c r="AA70" i="36"/>
  <c r="AB70" i="36"/>
  <c r="AC70" i="36"/>
  <c r="AD70" i="36"/>
  <c r="AE70" i="36"/>
  <c r="AF70" i="36"/>
  <c r="AG70" i="36"/>
  <c r="AH70" i="36"/>
  <c r="G71" i="36"/>
  <c r="H71" i="36"/>
  <c r="I71" i="36"/>
  <c r="J71" i="36"/>
  <c r="K71" i="36"/>
  <c r="L71" i="36"/>
  <c r="M71" i="36"/>
  <c r="N71" i="36"/>
  <c r="O71" i="36"/>
  <c r="P71" i="36"/>
  <c r="Q71" i="36"/>
  <c r="R71" i="36"/>
  <c r="S71" i="36"/>
  <c r="T71" i="36"/>
  <c r="U71" i="36"/>
  <c r="V71" i="36"/>
  <c r="W71" i="36"/>
  <c r="X71" i="36"/>
  <c r="Z71" i="36"/>
  <c r="AA71" i="36"/>
  <c r="AB71" i="36"/>
  <c r="AC71" i="36"/>
  <c r="AD71" i="36"/>
  <c r="AE71" i="36"/>
  <c r="AF71" i="36"/>
  <c r="AG71" i="36"/>
  <c r="AH71" i="36"/>
  <c r="G72" i="36"/>
  <c r="H72" i="36"/>
  <c r="I72" i="36"/>
  <c r="J72" i="36"/>
  <c r="K72" i="36"/>
  <c r="L72" i="36"/>
  <c r="M72" i="36"/>
  <c r="N72" i="36"/>
  <c r="O72" i="36"/>
  <c r="P72" i="36"/>
  <c r="Q72" i="36"/>
  <c r="R72" i="36"/>
  <c r="S72" i="36"/>
  <c r="T72" i="36"/>
  <c r="U72" i="36"/>
  <c r="V72" i="36"/>
  <c r="W72" i="36"/>
  <c r="X72" i="36"/>
  <c r="Z72" i="36"/>
  <c r="AA72" i="36"/>
  <c r="AB72" i="36"/>
  <c r="AC72" i="36"/>
  <c r="AD72" i="36"/>
  <c r="AE72" i="36"/>
  <c r="AF72" i="36"/>
  <c r="AG72" i="36"/>
  <c r="AH72" i="36"/>
  <c r="G73" i="36"/>
  <c r="H73" i="36"/>
  <c r="I73" i="36"/>
  <c r="J73" i="36"/>
  <c r="K73" i="36"/>
  <c r="L73" i="36"/>
  <c r="M73" i="36"/>
  <c r="N73" i="36"/>
  <c r="O73" i="36"/>
  <c r="P73" i="36"/>
  <c r="Q73" i="36"/>
  <c r="R73" i="36"/>
  <c r="S73" i="36"/>
  <c r="T73" i="36"/>
  <c r="U73" i="36"/>
  <c r="V73" i="36"/>
  <c r="W73" i="36"/>
  <c r="X73" i="36"/>
  <c r="Z73" i="36"/>
  <c r="AA73" i="36"/>
  <c r="AB73" i="36"/>
  <c r="AC73" i="36"/>
  <c r="AD73" i="36"/>
  <c r="AE73" i="36"/>
  <c r="AF73" i="36"/>
  <c r="AG73" i="36"/>
  <c r="AH73" i="36"/>
  <c r="G74" i="36"/>
  <c r="H74" i="36"/>
  <c r="I74" i="36"/>
  <c r="J74" i="36"/>
  <c r="K74" i="36"/>
  <c r="L74" i="36"/>
  <c r="M74" i="36"/>
  <c r="N74" i="36"/>
  <c r="O74" i="36"/>
  <c r="P74" i="36"/>
  <c r="Q74" i="36"/>
  <c r="R74" i="36"/>
  <c r="S74" i="36"/>
  <c r="T74" i="36"/>
  <c r="U74" i="36"/>
  <c r="V74" i="36"/>
  <c r="W74" i="36"/>
  <c r="X74" i="36"/>
  <c r="Z74" i="36"/>
  <c r="AA74" i="36"/>
  <c r="AB74" i="36"/>
  <c r="AC74" i="36"/>
  <c r="AD74" i="36"/>
  <c r="AE74" i="36"/>
  <c r="AF74" i="36"/>
  <c r="AG74" i="36"/>
  <c r="AH74" i="36"/>
  <c r="G75" i="36"/>
  <c r="H75" i="36"/>
  <c r="I75" i="36"/>
  <c r="J75" i="36"/>
  <c r="K75" i="36"/>
  <c r="L75" i="36"/>
  <c r="M75" i="36"/>
  <c r="N75" i="36"/>
  <c r="O75" i="36"/>
  <c r="P75" i="36"/>
  <c r="Q75" i="36"/>
  <c r="R75" i="36"/>
  <c r="S75" i="36"/>
  <c r="T75" i="36"/>
  <c r="U75" i="36"/>
  <c r="V75" i="36"/>
  <c r="W75" i="36"/>
  <c r="X75" i="36"/>
  <c r="Z75" i="36"/>
  <c r="AA75" i="36"/>
  <c r="AB75" i="36"/>
  <c r="AC75" i="36"/>
  <c r="AD75" i="36"/>
  <c r="AE75" i="36"/>
  <c r="AF75" i="36"/>
  <c r="AG75" i="36"/>
  <c r="AH75" i="36"/>
  <c r="G76" i="36"/>
  <c r="H76" i="36"/>
  <c r="I76" i="36"/>
  <c r="J76" i="36"/>
  <c r="K76" i="36"/>
  <c r="L76" i="36"/>
  <c r="M76" i="36"/>
  <c r="N76" i="36"/>
  <c r="O76" i="36"/>
  <c r="P76" i="36"/>
  <c r="Q76" i="36"/>
  <c r="R76" i="36"/>
  <c r="S76" i="36"/>
  <c r="T76" i="36"/>
  <c r="U76" i="36"/>
  <c r="V76" i="36"/>
  <c r="W76" i="36"/>
  <c r="X76" i="36"/>
  <c r="Z76" i="36"/>
  <c r="AA76" i="36"/>
  <c r="AB76" i="36"/>
  <c r="AC76" i="36"/>
  <c r="AD76" i="36"/>
  <c r="AE76" i="36"/>
  <c r="AF76" i="36"/>
  <c r="AG76" i="36"/>
  <c r="AH76" i="36"/>
  <c r="G82" i="36"/>
  <c r="H82" i="36"/>
  <c r="K82" i="36"/>
  <c r="M82" i="36"/>
  <c r="N82" i="36"/>
  <c r="P82" i="36"/>
  <c r="Q82" i="36"/>
  <c r="U82" i="36"/>
  <c r="V82" i="36"/>
  <c r="Z82" i="36"/>
  <c r="AA82" i="36"/>
  <c r="AC82" i="36"/>
  <c r="AD82" i="36"/>
  <c r="AG82" i="36"/>
  <c r="AH82" i="36"/>
  <c r="G83" i="36"/>
  <c r="H83" i="36"/>
  <c r="I83" i="36"/>
  <c r="J83" i="36"/>
  <c r="K83" i="36"/>
  <c r="L83" i="36"/>
  <c r="M83" i="36"/>
  <c r="N83" i="36"/>
  <c r="O83" i="36"/>
  <c r="P83" i="36"/>
  <c r="Q83" i="36"/>
  <c r="R83" i="36"/>
  <c r="S83" i="36"/>
  <c r="T83" i="36"/>
  <c r="U83" i="36"/>
  <c r="V83" i="36"/>
  <c r="W83" i="36"/>
  <c r="X83" i="36"/>
  <c r="Y83" i="36"/>
  <c r="Z83" i="36"/>
  <c r="AA83" i="36"/>
  <c r="AB83" i="36"/>
  <c r="AC83" i="36"/>
  <c r="AD83" i="36"/>
  <c r="AE83" i="36"/>
  <c r="AF83" i="36"/>
  <c r="AG83" i="36"/>
  <c r="AH83" i="36"/>
  <c r="G84" i="36"/>
  <c r="H84" i="36"/>
  <c r="I84" i="36"/>
  <c r="J84" i="36"/>
  <c r="K84" i="36"/>
  <c r="L84" i="36"/>
  <c r="M84" i="36"/>
  <c r="N84" i="36"/>
  <c r="O84" i="36"/>
  <c r="P84" i="36"/>
  <c r="Q84" i="36"/>
  <c r="R84" i="36"/>
  <c r="S84" i="36"/>
  <c r="T84" i="36"/>
  <c r="U84" i="36"/>
  <c r="V84" i="36"/>
  <c r="W84" i="36"/>
  <c r="X84" i="36"/>
  <c r="Y84" i="36"/>
  <c r="Z84" i="36"/>
  <c r="AA84" i="36"/>
  <c r="AB84" i="36"/>
  <c r="AC84" i="36"/>
  <c r="AD84" i="36"/>
  <c r="AE84" i="36"/>
  <c r="AF84" i="36"/>
  <c r="AG84" i="36"/>
  <c r="AH84" i="36"/>
  <c r="G85" i="36"/>
  <c r="H85" i="36"/>
  <c r="I85" i="36"/>
  <c r="J85" i="36"/>
  <c r="K85" i="36"/>
  <c r="L85" i="36"/>
  <c r="M85" i="36"/>
  <c r="N85" i="36"/>
  <c r="O85" i="36"/>
  <c r="P85" i="36"/>
  <c r="Q85" i="36"/>
  <c r="R85" i="36"/>
  <c r="S85" i="36"/>
  <c r="T85" i="36"/>
  <c r="U85" i="36"/>
  <c r="V85" i="36"/>
  <c r="W85" i="36"/>
  <c r="X85" i="36"/>
  <c r="Y85" i="36"/>
  <c r="Z85" i="36"/>
  <c r="AA85" i="36"/>
  <c r="AB85" i="36"/>
  <c r="AC85" i="36"/>
  <c r="AD85" i="36"/>
  <c r="AE85" i="36"/>
  <c r="AF85" i="36"/>
  <c r="AG85" i="36"/>
  <c r="AH85" i="36"/>
  <c r="G25" i="36"/>
  <c r="H25" i="36"/>
  <c r="I25" i="36"/>
  <c r="J25" i="36"/>
  <c r="K25" i="36"/>
  <c r="L25" i="36"/>
  <c r="M25" i="36"/>
  <c r="N25" i="36"/>
  <c r="O25" i="36"/>
  <c r="P25" i="36"/>
  <c r="Q25" i="36"/>
  <c r="R25" i="36"/>
  <c r="S25" i="36"/>
  <c r="T25" i="36"/>
  <c r="U25" i="36"/>
  <c r="V25" i="36"/>
  <c r="W25" i="36"/>
  <c r="X25" i="36"/>
  <c r="Z25" i="36"/>
  <c r="AA25" i="36"/>
  <c r="AB25" i="36"/>
  <c r="AC25" i="36"/>
  <c r="AD25" i="36"/>
  <c r="AE25" i="36"/>
  <c r="AF25" i="36"/>
  <c r="AG25" i="36"/>
  <c r="AH25" i="36"/>
  <c r="G26" i="36"/>
  <c r="H26" i="36"/>
  <c r="I26" i="36"/>
  <c r="J26" i="36"/>
  <c r="K26" i="36"/>
  <c r="L26" i="36"/>
  <c r="M26" i="36"/>
  <c r="N26" i="36"/>
  <c r="O26" i="36"/>
  <c r="P26" i="36"/>
  <c r="Q26" i="36"/>
  <c r="R26" i="36"/>
  <c r="S26" i="36"/>
  <c r="T26" i="36"/>
  <c r="U26" i="36"/>
  <c r="V26" i="36"/>
  <c r="W26" i="36"/>
  <c r="X26" i="36"/>
  <c r="Z26" i="36"/>
  <c r="AA26" i="36"/>
  <c r="AB26" i="36"/>
  <c r="AC26" i="36"/>
  <c r="AD26" i="36"/>
  <c r="AE26" i="36"/>
  <c r="AF26" i="36"/>
  <c r="AG26" i="36"/>
  <c r="AH26" i="36"/>
  <c r="G27" i="36"/>
  <c r="H27" i="36"/>
  <c r="I27" i="36"/>
  <c r="J27" i="36"/>
  <c r="K27" i="36"/>
  <c r="L27" i="36"/>
  <c r="M27" i="36"/>
  <c r="N27" i="36"/>
  <c r="O27" i="36"/>
  <c r="P27" i="36"/>
  <c r="Q27" i="36"/>
  <c r="R27" i="36"/>
  <c r="S27" i="36"/>
  <c r="T27" i="36"/>
  <c r="U27" i="36"/>
  <c r="V27" i="36"/>
  <c r="W27" i="36"/>
  <c r="X27" i="36"/>
  <c r="Z27" i="36"/>
  <c r="AA27" i="36"/>
  <c r="AB27" i="36"/>
  <c r="AC27" i="36"/>
  <c r="AD27" i="36"/>
  <c r="AE27" i="36"/>
  <c r="AF27" i="36"/>
  <c r="AG27" i="36"/>
  <c r="AH27" i="36"/>
  <c r="G28" i="36"/>
  <c r="H28" i="36"/>
  <c r="I28" i="36"/>
  <c r="J28" i="36"/>
  <c r="K28" i="36"/>
  <c r="L28" i="36"/>
  <c r="M28" i="36"/>
  <c r="N28" i="36"/>
  <c r="O28" i="36"/>
  <c r="P28" i="36"/>
  <c r="Q28" i="36"/>
  <c r="R28" i="36"/>
  <c r="S28" i="36"/>
  <c r="T28" i="36"/>
  <c r="U28" i="36"/>
  <c r="V28" i="36"/>
  <c r="W28" i="36"/>
  <c r="X28" i="36"/>
  <c r="Z28" i="36"/>
  <c r="AA28" i="36"/>
  <c r="AB28" i="36"/>
  <c r="AC28" i="36"/>
  <c r="AD28" i="36"/>
  <c r="AE28" i="36"/>
  <c r="AF28" i="36"/>
  <c r="AG28" i="36"/>
  <c r="AH28" i="36"/>
  <c r="G29" i="36"/>
  <c r="H29" i="36"/>
  <c r="I29" i="36"/>
  <c r="J29" i="36"/>
  <c r="K29" i="36"/>
  <c r="L29" i="36"/>
  <c r="M29" i="36"/>
  <c r="N29" i="36"/>
  <c r="O29" i="36"/>
  <c r="P29" i="36"/>
  <c r="Q29" i="36"/>
  <c r="R29" i="36"/>
  <c r="S29" i="36"/>
  <c r="T29" i="36"/>
  <c r="U29" i="36"/>
  <c r="V29" i="36"/>
  <c r="W29" i="36"/>
  <c r="X29" i="36"/>
  <c r="Z29" i="36"/>
  <c r="AA29" i="36"/>
  <c r="AB29" i="36"/>
  <c r="AC29" i="36"/>
  <c r="AD29" i="36"/>
  <c r="AE29" i="36"/>
  <c r="AF29" i="36"/>
  <c r="AG29" i="36"/>
  <c r="AH29" i="36"/>
  <c r="G30" i="36"/>
  <c r="H30" i="36"/>
  <c r="I30" i="36"/>
  <c r="J30" i="36"/>
  <c r="K30" i="36"/>
  <c r="L30" i="36"/>
  <c r="M30" i="36"/>
  <c r="N30" i="36"/>
  <c r="O30" i="36"/>
  <c r="P30" i="36"/>
  <c r="Q30" i="36"/>
  <c r="R30" i="36"/>
  <c r="S30" i="36"/>
  <c r="T30" i="36"/>
  <c r="U30" i="36"/>
  <c r="V30" i="36"/>
  <c r="W30" i="36"/>
  <c r="X30" i="36"/>
  <c r="Z30" i="36"/>
  <c r="AA30" i="36"/>
  <c r="AB30" i="36"/>
  <c r="AC30" i="36"/>
  <c r="AD30" i="36"/>
  <c r="AE30" i="36"/>
  <c r="AF30" i="36"/>
  <c r="AG30" i="36"/>
  <c r="AH30" i="36"/>
  <c r="G31" i="36"/>
  <c r="H31" i="36"/>
  <c r="I31" i="36"/>
  <c r="J31" i="36"/>
  <c r="K31" i="36"/>
  <c r="L31" i="36"/>
  <c r="M31" i="36"/>
  <c r="N31" i="36"/>
  <c r="O31" i="36"/>
  <c r="P31" i="36"/>
  <c r="Q31" i="36"/>
  <c r="R31" i="36"/>
  <c r="S31" i="36"/>
  <c r="T31" i="36"/>
  <c r="U31" i="36"/>
  <c r="V31" i="36"/>
  <c r="W31" i="36"/>
  <c r="X31" i="36"/>
  <c r="Z31" i="36"/>
  <c r="AA31" i="36"/>
  <c r="AB31" i="36"/>
  <c r="AC31" i="36"/>
  <c r="AD31" i="36"/>
  <c r="AE31" i="36"/>
  <c r="AF31" i="36"/>
  <c r="AG31" i="36"/>
  <c r="AH31" i="36"/>
  <c r="G32" i="36"/>
  <c r="H32" i="36"/>
  <c r="I32" i="36"/>
  <c r="J32" i="36"/>
  <c r="K32" i="36"/>
  <c r="L32" i="36"/>
  <c r="M32" i="36"/>
  <c r="N32" i="36"/>
  <c r="O32" i="36"/>
  <c r="P32" i="36"/>
  <c r="Q32" i="36"/>
  <c r="R32" i="36"/>
  <c r="S32" i="36"/>
  <c r="T32" i="36"/>
  <c r="U32" i="36"/>
  <c r="V32" i="36"/>
  <c r="W32" i="36"/>
  <c r="X32" i="36"/>
  <c r="Z32" i="36"/>
  <c r="AA32" i="36"/>
  <c r="AB32" i="36"/>
  <c r="AC32" i="36"/>
  <c r="AD32" i="36"/>
  <c r="AE32" i="36"/>
  <c r="AF32" i="36"/>
  <c r="AG32" i="36"/>
  <c r="AH32" i="36"/>
  <c r="G33" i="36"/>
  <c r="H33" i="36"/>
  <c r="I33" i="36"/>
  <c r="J33" i="36"/>
  <c r="K33" i="36"/>
  <c r="L33" i="36"/>
  <c r="M33" i="36"/>
  <c r="N33" i="36"/>
  <c r="O33" i="36"/>
  <c r="P33" i="36"/>
  <c r="Q33" i="36"/>
  <c r="R33" i="36"/>
  <c r="S33" i="36"/>
  <c r="T33" i="36"/>
  <c r="U33" i="36"/>
  <c r="V33" i="36"/>
  <c r="W33" i="36"/>
  <c r="X33" i="36"/>
  <c r="Z33" i="36"/>
  <c r="AA33" i="36"/>
  <c r="AB33" i="36"/>
  <c r="AC33" i="36"/>
  <c r="AD33" i="36"/>
  <c r="AE33" i="36"/>
  <c r="AF33" i="36"/>
  <c r="AG33" i="36"/>
  <c r="AH33" i="36"/>
  <c r="G34" i="36"/>
  <c r="H34" i="36"/>
  <c r="I34" i="36"/>
  <c r="J34" i="36"/>
  <c r="K34" i="36"/>
  <c r="L34" i="36"/>
  <c r="M34" i="36"/>
  <c r="N34" i="36"/>
  <c r="O34" i="36"/>
  <c r="P34" i="36"/>
  <c r="Q34" i="36"/>
  <c r="R34" i="36"/>
  <c r="S34" i="36"/>
  <c r="T34" i="36"/>
  <c r="U34" i="36"/>
  <c r="V34" i="36"/>
  <c r="W34" i="36"/>
  <c r="X34" i="36"/>
  <c r="Z34" i="36"/>
  <c r="AA34" i="36"/>
  <c r="AB34" i="36"/>
  <c r="AC34" i="36"/>
  <c r="AD34" i="36"/>
  <c r="AE34" i="36"/>
  <c r="AF34" i="36"/>
  <c r="AG34" i="36"/>
  <c r="AH34" i="36"/>
  <c r="G35" i="36"/>
  <c r="H35" i="36"/>
  <c r="I35" i="36"/>
  <c r="J35" i="36"/>
  <c r="K35" i="36"/>
  <c r="L35" i="36"/>
  <c r="M35" i="36"/>
  <c r="N35" i="36"/>
  <c r="O35" i="36"/>
  <c r="P35" i="36"/>
  <c r="Q35" i="36"/>
  <c r="R35" i="36"/>
  <c r="S35" i="36"/>
  <c r="T35" i="36"/>
  <c r="U35" i="36"/>
  <c r="V35" i="36"/>
  <c r="W35" i="36"/>
  <c r="X35" i="36"/>
  <c r="Z35" i="36"/>
  <c r="AA35" i="36"/>
  <c r="AB35" i="36"/>
  <c r="AC35" i="36"/>
  <c r="AD35" i="36"/>
  <c r="AE35" i="36"/>
  <c r="AF35" i="36"/>
  <c r="AG35" i="36"/>
  <c r="AH35" i="36"/>
  <c r="G36" i="36"/>
  <c r="H36" i="36"/>
  <c r="I36" i="36"/>
  <c r="J36" i="36"/>
  <c r="K36" i="36"/>
  <c r="L36" i="36"/>
  <c r="M36" i="36"/>
  <c r="N36" i="36"/>
  <c r="O36" i="36"/>
  <c r="P36" i="36"/>
  <c r="Q36" i="36"/>
  <c r="R36" i="36"/>
  <c r="S36" i="36"/>
  <c r="T36" i="36"/>
  <c r="U36" i="36"/>
  <c r="V36" i="36"/>
  <c r="W36" i="36"/>
  <c r="X36" i="36"/>
  <c r="Z36" i="36"/>
  <c r="AA36" i="36"/>
  <c r="AB36" i="36"/>
  <c r="AC36" i="36"/>
  <c r="AD36" i="36"/>
  <c r="AE36" i="36"/>
  <c r="AF36" i="36"/>
  <c r="AG36" i="36"/>
  <c r="AH36" i="36"/>
  <c r="G37" i="36"/>
  <c r="H37" i="36"/>
  <c r="I37" i="36"/>
  <c r="J37" i="36"/>
  <c r="K37" i="36"/>
  <c r="L37" i="36"/>
  <c r="M37" i="36"/>
  <c r="N37" i="36"/>
  <c r="O37" i="36"/>
  <c r="P37" i="36"/>
  <c r="Q37" i="36"/>
  <c r="R37" i="36"/>
  <c r="S37" i="36"/>
  <c r="T37" i="36"/>
  <c r="U37" i="36"/>
  <c r="V37" i="36"/>
  <c r="W37" i="36"/>
  <c r="X37" i="36"/>
  <c r="Z37" i="36"/>
  <c r="AA37" i="36"/>
  <c r="AB37" i="36"/>
  <c r="AC37" i="36"/>
  <c r="AD37" i="36"/>
  <c r="AE37" i="36"/>
  <c r="AF37" i="36"/>
  <c r="AG37" i="36"/>
  <c r="AH37" i="36"/>
  <c r="G38" i="36"/>
  <c r="H38" i="36"/>
  <c r="I38" i="36"/>
  <c r="J38" i="36"/>
  <c r="K38" i="36"/>
  <c r="L38" i="36"/>
  <c r="M38" i="36"/>
  <c r="N38" i="36"/>
  <c r="O38" i="36"/>
  <c r="P38" i="36"/>
  <c r="Q38" i="36"/>
  <c r="R38" i="36"/>
  <c r="S38" i="36"/>
  <c r="T38" i="36"/>
  <c r="U38" i="36"/>
  <c r="V38" i="36"/>
  <c r="W38" i="36"/>
  <c r="X38" i="36"/>
  <c r="Z38" i="36"/>
  <c r="AA38" i="36"/>
  <c r="AB38" i="36"/>
  <c r="AC38" i="36"/>
  <c r="AD38" i="36"/>
  <c r="AE38" i="36"/>
  <c r="AF38" i="36"/>
  <c r="AG38" i="36"/>
  <c r="AH38" i="36"/>
  <c r="G39" i="36"/>
  <c r="H39" i="36"/>
  <c r="I39" i="36"/>
  <c r="J39" i="36"/>
  <c r="K39" i="36"/>
  <c r="L39" i="36"/>
  <c r="M39" i="36"/>
  <c r="N39" i="36"/>
  <c r="O39" i="36"/>
  <c r="P39" i="36"/>
  <c r="Q39" i="36"/>
  <c r="R39" i="36"/>
  <c r="S39" i="36"/>
  <c r="T39" i="36"/>
  <c r="U39" i="36"/>
  <c r="V39" i="36"/>
  <c r="W39" i="36"/>
  <c r="X39" i="36"/>
  <c r="Z39" i="36"/>
  <c r="AA39" i="36"/>
  <c r="AB39" i="36"/>
  <c r="AC39" i="36"/>
  <c r="AD39" i="36"/>
  <c r="AE39" i="36"/>
  <c r="AF39" i="36"/>
  <c r="AG39" i="36"/>
  <c r="AH39" i="36"/>
  <c r="G40" i="36"/>
  <c r="H40" i="36"/>
  <c r="I40" i="36"/>
  <c r="J40" i="36"/>
  <c r="K40" i="36"/>
  <c r="L40" i="36"/>
  <c r="M40" i="36"/>
  <c r="N40" i="36"/>
  <c r="O40" i="36"/>
  <c r="P40" i="36"/>
  <c r="Q40" i="36"/>
  <c r="R40" i="36"/>
  <c r="S40" i="36"/>
  <c r="T40" i="36"/>
  <c r="U40" i="36"/>
  <c r="V40" i="36"/>
  <c r="W40" i="36"/>
  <c r="X40" i="36"/>
  <c r="Z40" i="36"/>
  <c r="AA40" i="36"/>
  <c r="AB40" i="36"/>
  <c r="AC40" i="36"/>
  <c r="AD40" i="36"/>
  <c r="AE40" i="36"/>
  <c r="AF40" i="36"/>
  <c r="AG40" i="36"/>
  <c r="AH40" i="36"/>
  <c r="G41" i="36"/>
  <c r="H41" i="36"/>
  <c r="I41" i="36"/>
  <c r="J41" i="36"/>
  <c r="K41" i="36"/>
  <c r="L41" i="36"/>
  <c r="M41" i="36"/>
  <c r="N41" i="36"/>
  <c r="O41" i="36"/>
  <c r="P41" i="36"/>
  <c r="Q41" i="36"/>
  <c r="R41" i="36"/>
  <c r="S41" i="36"/>
  <c r="T41" i="36"/>
  <c r="U41" i="36"/>
  <c r="V41" i="36"/>
  <c r="W41" i="36"/>
  <c r="X41" i="36"/>
  <c r="Z41" i="36"/>
  <c r="AA41" i="36"/>
  <c r="AB41" i="36"/>
  <c r="AC41" i="36"/>
  <c r="AD41" i="36"/>
  <c r="AE41" i="36"/>
  <c r="AF41" i="36"/>
  <c r="AG41" i="36"/>
  <c r="AH41" i="36"/>
  <c r="G42" i="36"/>
  <c r="H42" i="36"/>
  <c r="I42" i="36"/>
  <c r="J42" i="36"/>
  <c r="K42" i="36"/>
  <c r="L42" i="36"/>
  <c r="M42" i="36"/>
  <c r="N42" i="36"/>
  <c r="O42" i="36"/>
  <c r="P42" i="36"/>
  <c r="Q42" i="36"/>
  <c r="R42" i="36"/>
  <c r="S42" i="36"/>
  <c r="T42" i="36"/>
  <c r="U42" i="36"/>
  <c r="V42" i="36"/>
  <c r="W42" i="36"/>
  <c r="X42" i="36"/>
  <c r="Z42" i="36"/>
  <c r="AA42" i="36"/>
  <c r="AB42" i="36"/>
  <c r="AC42" i="36"/>
  <c r="AD42" i="36"/>
  <c r="AE42" i="36"/>
  <c r="AF42" i="36"/>
  <c r="AG42" i="36"/>
  <c r="AH42" i="36"/>
  <c r="G43" i="36"/>
  <c r="H43" i="36"/>
  <c r="I43" i="36"/>
  <c r="J43" i="36"/>
  <c r="K43" i="36"/>
  <c r="L43" i="36"/>
  <c r="M43" i="36"/>
  <c r="N43" i="36"/>
  <c r="O43" i="36"/>
  <c r="P43" i="36"/>
  <c r="Q43" i="36"/>
  <c r="R43" i="36"/>
  <c r="S43" i="36"/>
  <c r="T43" i="36"/>
  <c r="U43" i="36"/>
  <c r="V43" i="36"/>
  <c r="W43" i="36"/>
  <c r="X43" i="36"/>
  <c r="Z43" i="36"/>
  <c r="AA43" i="36"/>
  <c r="AB43" i="36"/>
  <c r="AC43" i="36"/>
  <c r="AD43" i="36"/>
  <c r="AE43" i="36"/>
  <c r="AF43" i="36"/>
  <c r="AG43" i="36"/>
  <c r="AH43" i="36"/>
  <c r="G44" i="36"/>
  <c r="H44" i="36"/>
  <c r="I44" i="36"/>
  <c r="J44" i="36"/>
  <c r="K44" i="36"/>
  <c r="L44" i="36"/>
  <c r="M44" i="36"/>
  <c r="N44" i="36"/>
  <c r="O44" i="36"/>
  <c r="P44" i="36"/>
  <c r="Q44" i="36"/>
  <c r="R44" i="36"/>
  <c r="S44" i="36"/>
  <c r="T44" i="36"/>
  <c r="U44" i="36"/>
  <c r="V44" i="36"/>
  <c r="W44" i="36"/>
  <c r="X44" i="36"/>
  <c r="Z44" i="36"/>
  <c r="AA44" i="36"/>
  <c r="AB44" i="36"/>
  <c r="AC44" i="36"/>
  <c r="AD44" i="36"/>
  <c r="AE44" i="36"/>
  <c r="AF44" i="36"/>
  <c r="AG44" i="36"/>
  <c r="AH44" i="36"/>
  <c r="G45" i="36"/>
  <c r="H45" i="36"/>
  <c r="I45" i="36"/>
  <c r="J45" i="36"/>
  <c r="K45" i="36"/>
  <c r="L45" i="36"/>
  <c r="M45" i="36"/>
  <c r="N45" i="36"/>
  <c r="O45" i="36"/>
  <c r="P45" i="36"/>
  <c r="Q45" i="36"/>
  <c r="R45" i="36"/>
  <c r="S45" i="36"/>
  <c r="T45" i="36"/>
  <c r="U45" i="36"/>
  <c r="V45" i="36"/>
  <c r="W45" i="36"/>
  <c r="X45" i="36"/>
  <c r="Z45" i="36"/>
  <c r="AA45" i="36"/>
  <c r="AB45" i="36"/>
  <c r="AC45" i="36"/>
  <c r="AD45" i="36"/>
  <c r="AE45" i="36"/>
  <c r="AF45" i="36"/>
  <c r="AG45" i="36"/>
  <c r="AH45" i="36"/>
  <c r="G46" i="36"/>
  <c r="H46" i="36"/>
  <c r="I46" i="36"/>
  <c r="J46" i="36"/>
  <c r="K46" i="36"/>
  <c r="L46" i="36"/>
  <c r="M46" i="36"/>
  <c r="N46" i="36"/>
  <c r="O46" i="36"/>
  <c r="P46" i="36"/>
  <c r="Q46" i="36"/>
  <c r="R46" i="36"/>
  <c r="S46" i="36"/>
  <c r="T46" i="36"/>
  <c r="U46" i="36"/>
  <c r="V46" i="36"/>
  <c r="W46" i="36"/>
  <c r="X46" i="36"/>
  <c r="Z46" i="36"/>
  <c r="AA46" i="36"/>
  <c r="AB46" i="36"/>
  <c r="AC46" i="36"/>
  <c r="AD46" i="36"/>
  <c r="AE46" i="36"/>
  <c r="AF46" i="36"/>
  <c r="AG46" i="36"/>
  <c r="AH46" i="36"/>
  <c r="G47" i="36"/>
  <c r="H47" i="36"/>
  <c r="I47" i="36"/>
  <c r="J47" i="36"/>
  <c r="K47" i="36"/>
  <c r="L47" i="36"/>
  <c r="M47" i="36"/>
  <c r="N47" i="36"/>
  <c r="O47" i="36"/>
  <c r="P47" i="36"/>
  <c r="Q47" i="36"/>
  <c r="R47" i="36"/>
  <c r="S47" i="36"/>
  <c r="T47" i="36"/>
  <c r="U47" i="36"/>
  <c r="V47" i="36"/>
  <c r="W47" i="36"/>
  <c r="X47" i="36"/>
  <c r="Z47" i="36"/>
  <c r="AA47" i="36"/>
  <c r="AB47" i="36"/>
  <c r="AC47" i="36"/>
  <c r="AD47" i="36"/>
  <c r="AE47" i="36"/>
  <c r="AF47" i="36"/>
  <c r="AG47" i="36"/>
  <c r="AH47" i="36"/>
  <c r="G48" i="36"/>
  <c r="H48" i="36"/>
  <c r="I48" i="36"/>
  <c r="J48" i="36"/>
  <c r="K48" i="36"/>
  <c r="L48" i="36"/>
  <c r="M48" i="36"/>
  <c r="N48" i="36"/>
  <c r="O48" i="36"/>
  <c r="P48" i="36"/>
  <c r="Q48" i="36"/>
  <c r="R48" i="36"/>
  <c r="S48" i="36"/>
  <c r="T48" i="36"/>
  <c r="U48" i="36"/>
  <c r="V48" i="36"/>
  <c r="W48" i="36"/>
  <c r="X48" i="36"/>
  <c r="Z48" i="36"/>
  <c r="AA48" i="36"/>
  <c r="AB48" i="36"/>
  <c r="AC48" i="36"/>
  <c r="AD48" i="36"/>
  <c r="AE48" i="36"/>
  <c r="AF48" i="36"/>
  <c r="AG48" i="36"/>
  <c r="AH48" i="36"/>
  <c r="G49" i="36"/>
  <c r="H49" i="36"/>
  <c r="I49" i="36"/>
  <c r="J49" i="36"/>
  <c r="K49" i="36"/>
  <c r="L49" i="36"/>
  <c r="M49" i="36"/>
  <c r="N49" i="36"/>
  <c r="O49" i="36"/>
  <c r="P49" i="36"/>
  <c r="Q49" i="36"/>
  <c r="R49" i="36"/>
  <c r="S49" i="36"/>
  <c r="T49" i="36"/>
  <c r="U49" i="36"/>
  <c r="V49" i="36"/>
  <c r="W49" i="36"/>
  <c r="X49" i="36"/>
  <c r="Z49" i="36"/>
  <c r="AA49" i="36"/>
  <c r="AB49" i="36"/>
  <c r="AC49" i="36"/>
  <c r="AD49" i="36"/>
  <c r="AE49" i="36"/>
  <c r="AF49" i="36"/>
  <c r="AG49" i="36"/>
  <c r="AH49" i="36"/>
  <c r="G50" i="36"/>
  <c r="H50" i="36"/>
  <c r="I50" i="36"/>
  <c r="J50" i="36"/>
  <c r="K50" i="36"/>
  <c r="L50" i="36"/>
  <c r="M50" i="36"/>
  <c r="N50" i="36"/>
  <c r="O50" i="36"/>
  <c r="P50" i="36"/>
  <c r="Q50" i="36"/>
  <c r="R50" i="36"/>
  <c r="S50" i="36"/>
  <c r="T50" i="36"/>
  <c r="U50" i="36"/>
  <c r="V50" i="36"/>
  <c r="W50" i="36"/>
  <c r="X50" i="36"/>
  <c r="Z50" i="36"/>
  <c r="AA50" i="36"/>
  <c r="AB50" i="36"/>
  <c r="AC50" i="36"/>
  <c r="AD50" i="36"/>
  <c r="AE50" i="36"/>
  <c r="AF50" i="36"/>
  <c r="AG50" i="36"/>
  <c r="AH50" i="36"/>
  <c r="G51" i="36"/>
  <c r="H51" i="36"/>
  <c r="I51" i="36"/>
  <c r="J51" i="36"/>
  <c r="K51" i="36"/>
  <c r="L51" i="36"/>
  <c r="M51" i="36"/>
  <c r="N51" i="36"/>
  <c r="O51" i="36"/>
  <c r="P51" i="36"/>
  <c r="Q51" i="36"/>
  <c r="R51" i="36"/>
  <c r="S51" i="36"/>
  <c r="T51" i="36"/>
  <c r="U51" i="36"/>
  <c r="V51" i="36"/>
  <c r="W51" i="36"/>
  <c r="X51" i="36"/>
  <c r="Z51" i="36"/>
  <c r="AA51" i="36"/>
  <c r="AB51" i="36"/>
  <c r="AC51" i="36"/>
  <c r="AD51" i="36"/>
  <c r="AE51" i="36"/>
  <c r="AF51" i="36"/>
  <c r="AG51" i="36"/>
  <c r="AH51" i="36"/>
  <c r="G52" i="36"/>
  <c r="H52" i="36"/>
  <c r="I52" i="36"/>
  <c r="J52" i="36"/>
  <c r="K52" i="36"/>
  <c r="L52" i="36"/>
  <c r="M52" i="36"/>
  <c r="N52" i="36"/>
  <c r="O52" i="36"/>
  <c r="P52" i="36"/>
  <c r="Q52" i="36"/>
  <c r="R52" i="36"/>
  <c r="S52" i="36"/>
  <c r="T52" i="36"/>
  <c r="U52" i="36"/>
  <c r="V52" i="36"/>
  <c r="W52" i="36"/>
  <c r="X52" i="36"/>
  <c r="Z52" i="36"/>
  <c r="AA52" i="36"/>
  <c r="AB52" i="36"/>
  <c r="AC52" i="36"/>
  <c r="AD52" i="36"/>
  <c r="AE52" i="36"/>
  <c r="AF52" i="36"/>
  <c r="AG52" i="36"/>
  <c r="AH52" i="36"/>
  <c r="G20" i="36"/>
  <c r="H20" i="36"/>
  <c r="I20" i="36"/>
  <c r="J20" i="36"/>
  <c r="K20" i="36"/>
  <c r="L20" i="36"/>
  <c r="M20" i="36"/>
  <c r="N20" i="36"/>
  <c r="O20" i="36"/>
  <c r="P20" i="36"/>
  <c r="Q20" i="36"/>
  <c r="R20" i="36"/>
  <c r="S20" i="36"/>
  <c r="T20" i="36"/>
  <c r="U20" i="36"/>
  <c r="V20" i="36"/>
  <c r="W20" i="36"/>
  <c r="X20" i="36"/>
  <c r="Z20" i="36"/>
  <c r="AA20" i="36"/>
  <c r="AB20" i="36"/>
  <c r="AC20" i="36"/>
  <c r="AD20" i="36"/>
  <c r="AE20" i="36"/>
  <c r="AF20" i="36"/>
  <c r="AG20" i="36"/>
  <c r="AH20" i="36"/>
  <c r="AK58" i="36" l="1"/>
  <c r="AL49" i="36"/>
  <c r="AL33" i="36"/>
  <c r="AL74" i="36"/>
  <c r="AK66" i="36"/>
  <c r="AL58" i="36"/>
  <c r="AL37" i="36"/>
  <c r="AL25" i="36"/>
  <c r="AL62" i="36"/>
  <c r="AL41" i="36"/>
  <c r="AL29" i="36"/>
  <c r="AL66" i="36"/>
  <c r="AK62" i="36"/>
  <c r="AM65" i="36"/>
  <c r="AM61" i="36"/>
  <c r="AK74" i="36"/>
  <c r="AM73" i="36"/>
  <c r="AK71" i="36"/>
  <c r="AK67" i="36"/>
  <c r="AK75" i="36"/>
  <c r="AL70" i="36"/>
  <c r="AK70" i="36"/>
  <c r="AM69" i="36"/>
  <c r="AK63" i="36"/>
  <c r="AK59" i="36"/>
  <c r="AM60" i="36"/>
  <c r="AM76" i="36"/>
  <c r="AM72" i="36"/>
  <c r="AM68" i="36"/>
  <c r="AM64" i="36"/>
  <c r="AL51" i="36"/>
  <c r="AL47" i="36"/>
  <c r="AL43" i="36"/>
  <c r="AL35" i="36"/>
  <c r="AL27" i="36"/>
  <c r="AL39" i="36"/>
  <c r="AL31" i="36"/>
  <c r="AL76" i="36"/>
  <c r="AL72" i="36"/>
  <c r="AL68" i="36"/>
  <c r="AL64" i="36"/>
  <c r="AL60" i="36"/>
  <c r="AL45" i="36"/>
  <c r="AK41" i="36"/>
  <c r="AK49" i="36"/>
  <c r="AK33" i="36"/>
  <c r="AK45" i="36"/>
  <c r="AK37" i="36"/>
  <c r="AK29" i="36"/>
  <c r="AL75" i="36"/>
  <c r="AL73" i="36"/>
  <c r="AL71" i="36"/>
  <c r="AL69" i="36"/>
  <c r="AL67" i="36"/>
  <c r="AL65" i="36"/>
  <c r="AL63" i="36"/>
  <c r="AL61" i="36"/>
  <c r="AL59" i="36"/>
  <c r="AM75" i="36"/>
  <c r="AK73" i="36"/>
  <c r="AM71" i="36"/>
  <c r="AK69" i="36"/>
  <c r="AM67" i="36"/>
  <c r="AK65" i="36"/>
  <c r="AM63" i="36"/>
  <c r="AK61" i="36"/>
  <c r="AM59" i="36"/>
  <c r="AM47" i="36"/>
  <c r="AM51" i="36"/>
  <c r="AM43" i="36"/>
  <c r="AM39" i="36"/>
  <c r="AM35" i="36"/>
  <c r="AM31" i="36"/>
  <c r="AM27" i="36"/>
  <c r="AL52" i="36"/>
  <c r="AL50" i="36"/>
  <c r="AL44" i="36"/>
  <c r="AL42" i="36"/>
  <c r="AL48" i="36"/>
  <c r="AL46" i="36"/>
  <c r="AK46" i="36"/>
  <c r="AL40" i="36"/>
  <c r="AL38" i="36"/>
  <c r="AL36" i="36"/>
  <c r="AL34" i="36"/>
  <c r="AL32" i="36"/>
  <c r="AL30" i="36"/>
  <c r="AL28" i="36"/>
  <c r="AL26" i="36"/>
  <c r="AK52" i="36"/>
  <c r="AK48" i="36"/>
  <c r="AK50" i="36"/>
  <c r="AK44" i="36"/>
  <c r="AK42" i="36"/>
  <c r="AK40" i="36"/>
  <c r="AK38" i="36"/>
  <c r="AK36" i="36"/>
  <c r="AK34" i="36"/>
  <c r="AK32" i="36"/>
  <c r="AK30" i="36"/>
  <c r="AK28" i="36"/>
  <c r="AK26" i="36"/>
  <c r="AM52" i="36"/>
  <c r="AM50" i="36"/>
  <c r="AM48" i="36"/>
  <c r="AM46" i="36"/>
  <c r="AM44" i="36"/>
  <c r="AM42" i="36"/>
  <c r="AM40" i="36"/>
  <c r="AM38" i="36"/>
  <c r="AM36" i="36"/>
  <c r="AM34" i="36"/>
  <c r="AM32" i="36"/>
  <c r="AM30" i="36"/>
  <c r="AM28" i="36"/>
  <c r="AM26" i="36"/>
  <c r="AK76" i="36"/>
  <c r="AM74" i="36"/>
  <c r="AK72" i="36"/>
  <c r="AM70" i="36"/>
  <c r="AK68" i="36"/>
  <c r="AM66" i="36"/>
  <c r="AK64" i="36"/>
  <c r="AM62" i="36"/>
  <c r="AK60" i="36"/>
  <c r="AM58" i="36"/>
  <c r="AK51" i="36"/>
  <c r="AM49" i="36"/>
  <c r="AK47" i="36"/>
  <c r="AM45" i="36"/>
  <c r="AK43" i="36"/>
  <c r="AM41" i="36"/>
  <c r="AK39" i="36"/>
  <c r="AM37" i="36"/>
  <c r="AK35" i="36"/>
  <c r="AM33" i="36"/>
  <c r="AK31" i="36"/>
  <c r="AM29" i="36"/>
  <c r="AK27" i="36"/>
  <c r="AM25" i="36"/>
  <c r="AK20" i="36"/>
  <c r="AM20" i="36"/>
  <c r="AK25" i="36"/>
  <c r="AL20" i="36"/>
  <c r="AH86" i="36"/>
  <c r="AH87" i="36"/>
  <c r="AH88" i="36"/>
  <c r="AH89" i="36"/>
  <c r="AH90" i="36"/>
  <c r="AH91" i="36"/>
  <c r="AH92" i="36"/>
  <c r="AH93" i="36"/>
  <c r="AH94" i="36"/>
  <c r="AH95" i="36"/>
  <c r="AH96" i="36"/>
  <c r="AH97" i="36"/>
  <c r="AH98" i="36"/>
  <c r="AH99" i="36"/>
  <c r="AH100" i="36"/>
  <c r="AH101" i="36"/>
  <c r="AH102" i="36"/>
  <c r="AH103" i="36"/>
  <c r="AH104" i="36"/>
  <c r="AH105" i="36"/>
  <c r="AH106" i="36"/>
  <c r="AH107" i="36"/>
  <c r="AH108" i="36"/>
  <c r="AH109" i="36"/>
  <c r="AH110" i="36"/>
  <c r="AH111" i="36"/>
  <c r="AH112" i="36"/>
  <c r="AH113" i="36"/>
  <c r="AH114" i="36"/>
  <c r="AH115" i="36"/>
  <c r="AH116" i="36"/>
  <c r="AH117" i="36"/>
  <c r="AH118" i="36"/>
  <c r="AH119" i="36"/>
  <c r="AH120" i="36"/>
  <c r="AH121" i="36"/>
  <c r="AH122" i="36"/>
  <c r="AH123" i="36"/>
  <c r="AH124" i="36"/>
  <c r="AH125" i="36"/>
  <c r="AH126" i="36"/>
  <c r="AH127" i="36"/>
  <c r="AH128" i="36"/>
  <c r="AH129" i="36"/>
  <c r="AH130" i="36"/>
  <c r="AH131" i="36"/>
  <c r="AH132" i="36"/>
  <c r="AH133" i="36"/>
  <c r="AH134" i="36"/>
  <c r="AH135" i="36"/>
  <c r="AH136" i="36"/>
  <c r="AH137" i="36"/>
  <c r="AH138" i="36"/>
  <c r="AH139" i="36"/>
  <c r="AH140" i="36"/>
  <c r="AH141" i="36"/>
  <c r="AH142" i="36"/>
  <c r="AH143" i="36"/>
  <c r="AH144" i="36"/>
  <c r="AH145" i="36"/>
  <c r="AH146" i="36"/>
  <c r="AH147" i="36"/>
  <c r="AH148" i="36"/>
  <c r="AH149" i="36"/>
  <c r="AH150" i="36"/>
  <c r="AG86" i="36"/>
  <c r="AG87" i="36"/>
  <c r="AG88" i="36"/>
  <c r="AG89" i="36"/>
  <c r="AG90" i="36"/>
  <c r="AG91" i="36"/>
  <c r="AG92" i="36"/>
  <c r="AG93" i="36"/>
  <c r="AG94" i="36"/>
  <c r="AG95" i="36"/>
  <c r="AG96" i="36"/>
  <c r="AG97" i="36"/>
  <c r="AG98" i="36"/>
  <c r="AG99" i="36"/>
  <c r="AG100" i="36"/>
  <c r="AG101" i="36"/>
  <c r="AG102" i="36"/>
  <c r="AG103" i="36"/>
  <c r="AG104" i="36"/>
  <c r="AG105" i="36"/>
  <c r="AG106" i="36"/>
  <c r="AG107" i="36"/>
  <c r="AG108" i="36"/>
  <c r="AG109" i="36"/>
  <c r="AG110" i="36"/>
  <c r="AG111" i="36"/>
  <c r="AG112" i="36"/>
  <c r="AG113" i="36"/>
  <c r="AG114" i="36"/>
  <c r="AG115" i="36"/>
  <c r="AG116" i="36"/>
  <c r="AG117" i="36"/>
  <c r="AG118" i="36"/>
  <c r="AG119" i="36"/>
  <c r="AG120" i="36"/>
  <c r="AG121" i="36"/>
  <c r="AG122" i="36"/>
  <c r="AG123" i="36"/>
  <c r="AG124" i="36"/>
  <c r="AG125" i="36"/>
  <c r="AG126" i="36"/>
  <c r="AG127" i="36"/>
  <c r="AG128" i="36"/>
  <c r="AG129" i="36"/>
  <c r="AG130" i="36"/>
  <c r="AG131" i="36"/>
  <c r="AG132" i="36"/>
  <c r="AG133" i="36"/>
  <c r="AG134" i="36"/>
  <c r="AG135" i="36"/>
  <c r="AG136" i="36"/>
  <c r="AG137" i="36"/>
  <c r="AG138" i="36"/>
  <c r="AG139" i="36"/>
  <c r="AG140" i="36"/>
  <c r="AG141" i="36"/>
  <c r="AG142" i="36"/>
  <c r="AG143" i="36"/>
  <c r="AG144" i="36"/>
  <c r="AG145" i="36"/>
  <c r="AG146" i="36"/>
  <c r="AG147" i="36"/>
  <c r="AG148" i="36"/>
  <c r="AG149" i="36"/>
  <c r="AG150" i="36"/>
  <c r="AF86" i="36"/>
  <c r="AF87" i="36"/>
  <c r="AF88" i="36"/>
  <c r="AF89" i="36"/>
  <c r="AF90" i="36"/>
  <c r="AF91" i="36"/>
  <c r="AF92" i="36"/>
  <c r="AF93" i="36"/>
  <c r="AF94" i="36"/>
  <c r="AF95" i="36"/>
  <c r="AF96" i="36"/>
  <c r="AF97" i="36"/>
  <c r="AF98" i="36"/>
  <c r="AF99" i="36"/>
  <c r="AF100" i="36"/>
  <c r="AF101" i="36"/>
  <c r="AF102" i="36"/>
  <c r="AF103" i="36"/>
  <c r="AF104" i="36"/>
  <c r="AF105" i="36"/>
  <c r="AF106" i="36"/>
  <c r="AF107" i="36"/>
  <c r="AF108" i="36"/>
  <c r="AF109" i="36"/>
  <c r="AF110" i="36"/>
  <c r="AF111" i="36"/>
  <c r="AF112" i="36"/>
  <c r="AF113" i="36"/>
  <c r="AF114" i="36"/>
  <c r="AF115" i="36"/>
  <c r="AF116" i="36"/>
  <c r="AF117" i="36"/>
  <c r="AF118" i="36"/>
  <c r="AF119" i="36"/>
  <c r="AF120" i="36"/>
  <c r="AF121" i="36"/>
  <c r="AF122" i="36"/>
  <c r="AF123" i="36"/>
  <c r="AF124" i="36"/>
  <c r="AF125" i="36"/>
  <c r="AF126" i="36"/>
  <c r="AF127" i="36"/>
  <c r="AF128" i="36"/>
  <c r="AF129" i="36"/>
  <c r="AF130" i="36"/>
  <c r="AF131" i="36"/>
  <c r="AF132" i="36"/>
  <c r="AF133" i="36"/>
  <c r="AF134" i="36"/>
  <c r="AF135" i="36"/>
  <c r="AF136" i="36"/>
  <c r="AF137" i="36"/>
  <c r="AF138" i="36"/>
  <c r="AF139" i="36"/>
  <c r="AF140" i="36"/>
  <c r="AF141" i="36"/>
  <c r="AF142" i="36"/>
  <c r="AF143" i="36"/>
  <c r="AF144" i="36"/>
  <c r="AF145" i="36"/>
  <c r="AF146" i="36"/>
  <c r="AF147" i="36"/>
  <c r="AF148" i="36"/>
  <c r="AF149" i="36"/>
  <c r="AE86" i="36"/>
  <c r="AE87" i="36"/>
  <c r="AE88" i="36"/>
  <c r="AE89" i="36"/>
  <c r="AE90" i="36"/>
  <c r="AE91" i="36"/>
  <c r="AE92" i="36"/>
  <c r="AE93" i="36"/>
  <c r="AE94" i="36"/>
  <c r="AE95" i="36"/>
  <c r="AE96" i="36"/>
  <c r="AE97" i="36"/>
  <c r="AE98" i="36"/>
  <c r="AE99" i="36"/>
  <c r="AE100" i="36"/>
  <c r="AE101" i="36"/>
  <c r="AE102" i="36"/>
  <c r="AE103" i="36"/>
  <c r="AE104" i="36"/>
  <c r="AE105" i="36"/>
  <c r="AE106" i="36"/>
  <c r="AE107" i="36"/>
  <c r="AE108" i="36"/>
  <c r="AE109" i="36"/>
  <c r="AE110" i="36"/>
  <c r="AE111" i="36"/>
  <c r="AE112" i="36"/>
  <c r="AE113" i="36"/>
  <c r="AE114" i="36"/>
  <c r="AE115" i="36"/>
  <c r="AE116" i="36"/>
  <c r="AE117" i="36"/>
  <c r="AE118" i="36"/>
  <c r="AE119" i="36"/>
  <c r="AE120" i="36"/>
  <c r="AE121" i="36"/>
  <c r="AE122" i="36"/>
  <c r="AE123" i="36"/>
  <c r="AE124" i="36"/>
  <c r="AE125" i="36"/>
  <c r="AE126" i="36"/>
  <c r="AE127" i="36"/>
  <c r="AE128" i="36"/>
  <c r="AE129" i="36"/>
  <c r="AE130" i="36"/>
  <c r="AE131" i="36"/>
  <c r="AE132" i="36"/>
  <c r="AE133" i="36"/>
  <c r="AE134" i="36"/>
  <c r="AE135" i="36"/>
  <c r="AE136" i="36"/>
  <c r="AE137" i="36"/>
  <c r="AE138" i="36"/>
  <c r="AE139" i="36"/>
  <c r="AE140" i="36"/>
  <c r="AE141" i="36"/>
  <c r="AE142" i="36"/>
  <c r="AE143" i="36"/>
  <c r="AE144" i="36"/>
  <c r="AE145" i="36"/>
  <c r="AE146" i="36"/>
  <c r="AE147" i="36"/>
  <c r="AE148" i="36"/>
  <c r="AE149" i="36"/>
  <c r="AD86" i="36"/>
  <c r="AD87" i="36"/>
  <c r="AD88" i="36"/>
  <c r="AD89" i="36"/>
  <c r="AD90" i="36"/>
  <c r="AD91" i="36"/>
  <c r="AD92" i="36"/>
  <c r="AD93" i="36"/>
  <c r="AD94" i="36"/>
  <c r="AD95" i="36"/>
  <c r="AD96" i="36"/>
  <c r="AD97" i="36"/>
  <c r="AD98" i="36"/>
  <c r="AD99" i="36"/>
  <c r="AD100" i="36"/>
  <c r="AD101" i="36"/>
  <c r="AD102" i="36"/>
  <c r="AD103" i="36"/>
  <c r="AD104" i="36"/>
  <c r="AD105" i="36"/>
  <c r="AD106" i="36"/>
  <c r="AD107" i="36"/>
  <c r="AD108" i="36"/>
  <c r="AD109" i="36"/>
  <c r="AD110" i="36"/>
  <c r="AD111" i="36"/>
  <c r="AD112" i="36"/>
  <c r="AD113" i="36"/>
  <c r="AD114" i="36"/>
  <c r="AD115" i="36"/>
  <c r="AD116" i="36"/>
  <c r="AD117" i="36"/>
  <c r="AD118" i="36"/>
  <c r="AD119" i="36"/>
  <c r="AD120" i="36"/>
  <c r="AD121" i="36"/>
  <c r="AD122" i="36"/>
  <c r="AD123" i="36"/>
  <c r="AD124" i="36"/>
  <c r="AD125" i="36"/>
  <c r="AD126" i="36"/>
  <c r="AD127" i="36"/>
  <c r="AD128" i="36"/>
  <c r="AD129" i="36"/>
  <c r="AD130" i="36"/>
  <c r="AD131" i="36"/>
  <c r="AD132" i="36"/>
  <c r="AD133" i="36"/>
  <c r="AD134" i="36"/>
  <c r="AD135" i="36"/>
  <c r="AD136" i="36"/>
  <c r="AD137" i="36"/>
  <c r="AD138" i="36"/>
  <c r="AD139" i="36"/>
  <c r="AD140" i="36"/>
  <c r="AD141" i="36"/>
  <c r="AD142" i="36"/>
  <c r="AD143" i="36"/>
  <c r="AD144" i="36"/>
  <c r="AD145" i="36"/>
  <c r="AD146" i="36"/>
  <c r="AD147" i="36"/>
  <c r="AD148" i="36"/>
  <c r="AD149" i="36"/>
  <c r="AD150" i="36"/>
  <c r="AC86" i="36"/>
  <c r="AC87" i="36"/>
  <c r="AC88" i="36"/>
  <c r="AC89" i="36"/>
  <c r="AC90" i="36"/>
  <c r="AC91" i="36"/>
  <c r="AC92" i="36"/>
  <c r="AC93" i="36"/>
  <c r="AC94" i="36"/>
  <c r="AC95" i="36"/>
  <c r="AC96" i="36"/>
  <c r="AC97" i="36"/>
  <c r="AC98" i="36"/>
  <c r="AC99" i="36"/>
  <c r="AC100" i="36"/>
  <c r="AC101" i="36"/>
  <c r="AC102" i="36"/>
  <c r="AC103" i="36"/>
  <c r="AC104" i="36"/>
  <c r="AC105" i="36"/>
  <c r="AC106" i="36"/>
  <c r="AC107" i="36"/>
  <c r="AC108" i="36"/>
  <c r="AC109" i="36"/>
  <c r="AC110" i="36"/>
  <c r="AC111" i="36"/>
  <c r="AC112" i="36"/>
  <c r="AC113" i="36"/>
  <c r="AC114" i="36"/>
  <c r="AC115" i="36"/>
  <c r="AC116" i="36"/>
  <c r="AC117" i="36"/>
  <c r="AC118" i="36"/>
  <c r="AC119" i="36"/>
  <c r="AC120" i="36"/>
  <c r="AC121" i="36"/>
  <c r="AC122" i="36"/>
  <c r="AC123" i="36"/>
  <c r="AC124" i="36"/>
  <c r="AC125" i="36"/>
  <c r="AC126" i="36"/>
  <c r="AC127" i="36"/>
  <c r="AC128" i="36"/>
  <c r="AC129" i="36"/>
  <c r="AC130" i="36"/>
  <c r="AC131" i="36"/>
  <c r="AC132" i="36"/>
  <c r="AC133" i="36"/>
  <c r="AC134" i="36"/>
  <c r="AC135" i="36"/>
  <c r="AC136" i="36"/>
  <c r="AC137" i="36"/>
  <c r="AC138" i="36"/>
  <c r="AC139" i="36"/>
  <c r="AC140" i="36"/>
  <c r="AC141" i="36"/>
  <c r="AC142" i="36"/>
  <c r="AC143" i="36"/>
  <c r="AC144" i="36"/>
  <c r="AC145" i="36"/>
  <c r="AC146" i="36"/>
  <c r="AC147" i="36"/>
  <c r="AC148" i="36"/>
  <c r="AC149" i="36"/>
  <c r="AC150" i="36"/>
  <c r="AB86" i="36"/>
  <c r="AB87" i="36"/>
  <c r="AB88" i="36"/>
  <c r="AB89" i="36"/>
  <c r="AB90" i="36"/>
  <c r="AB91" i="36"/>
  <c r="AB92" i="36"/>
  <c r="AB93" i="36"/>
  <c r="AB94" i="36"/>
  <c r="AB95" i="36"/>
  <c r="AB96" i="36"/>
  <c r="AB97" i="36"/>
  <c r="AB98" i="36"/>
  <c r="AB99" i="36"/>
  <c r="AB100" i="36"/>
  <c r="AB101" i="36"/>
  <c r="AB102" i="36"/>
  <c r="AB103" i="36"/>
  <c r="AB104" i="36"/>
  <c r="AB105" i="36"/>
  <c r="AB106" i="36"/>
  <c r="AB107" i="36"/>
  <c r="AB108" i="36"/>
  <c r="AB109" i="36"/>
  <c r="AB110" i="36"/>
  <c r="AB111" i="36"/>
  <c r="AB112" i="36"/>
  <c r="AB113" i="36"/>
  <c r="AB114" i="36"/>
  <c r="AB115" i="36"/>
  <c r="AB117" i="36"/>
  <c r="AB118" i="36"/>
  <c r="AB119" i="36"/>
  <c r="AB120" i="36"/>
  <c r="AB121" i="36"/>
  <c r="AB122" i="36"/>
  <c r="AB123" i="36"/>
  <c r="AB124" i="36"/>
  <c r="AB125" i="36"/>
  <c r="AB126" i="36"/>
  <c r="AB127" i="36"/>
  <c r="AB128" i="36"/>
  <c r="AB129" i="36"/>
  <c r="AB130" i="36"/>
  <c r="AB131" i="36"/>
  <c r="AB132" i="36"/>
  <c r="AB133" i="36"/>
  <c r="AB134" i="36"/>
  <c r="AB135" i="36"/>
  <c r="AB136" i="36"/>
  <c r="AB137" i="36"/>
  <c r="AB138" i="36"/>
  <c r="AB139" i="36"/>
  <c r="AB140" i="36"/>
  <c r="AB141" i="36"/>
  <c r="AB142" i="36"/>
  <c r="AB143" i="36"/>
  <c r="AB145" i="36"/>
  <c r="AB146" i="36"/>
  <c r="AB147" i="36"/>
  <c r="AB148" i="36"/>
  <c r="AB149" i="36"/>
  <c r="AA86" i="36"/>
  <c r="AA87" i="36"/>
  <c r="AA88" i="36"/>
  <c r="AA89" i="36"/>
  <c r="AA90" i="36"/>
  <c r="AA91" i="36"/>
  <c r="AA92" i="36"/>
  <c r="AA93" i="36"/>
  <c r="AA94" i="36"/>
  <c r="AA95" i="36"/>
  <c r="AA96" i="36"/>
  <c r="AA97" i="36"/>
  <c r="AA98" i="36"/>
  <c r="AA99" i="36"/>
  <c r="AA100" i="36"/>
  <c r="AA101" i="36"/>
  <c r="AA102" i="36"/>
  <c r="AA103" i="36"/>
  <c r="AA104" i="36"/>
  <c r="AA105" i="36"/>
  <c r="AA106" i="36"/>
  <c r="AA107" i="36"/>
  <c r="AA108" i="36"/>
  <c r="AA109" i="36"/>
  <c r="AA110" i="36"/>
  <c r="AA111" i="36"/>
  <c r="AA112" i="36"/>
  <c r="AA113" i="36"/>
  <c r="AA114" i="36"/>
  <c r="AA115" i="36"/>
  <c r="AA116" i="36"/>
  <c r="AA117" i="36"/>
  <c r="AA118" i="36"/>
  <c r="AA119" i="36"/>
  <c r="AA120" i="36"/>
  <c r="AA121" i="36"/>
  <c r="AA122" i="36"/>
  <c r="AA123" i="36"/>
  <c r="AA124" i="36"/>
  <c r="AA125" i="36"/>
  <c r="AA126" i="36"/>
  <c r="AA127" i="36"/>
  <c r="AA128" i="36"/>
  <c r="AA129" i="36"/>
  <c r="AA130" i="36"/>
  <c r="AA131" i="36"/>
  <c r="AA132" i="36"/>
  <c r="AA133" i="36"/>
  <c r="AA134" i="36"/>
  <c r="AA135" i="36"/>
  <c r="AA136" i="36"/>
  <c r="AA137" i="36"/>
  <c r="AA138" i="36"/>
  <c r="AA139" i="36"/>
  <c r="AA140" i="36"/>
  <c r="AA141" i="36"/>
  <c r="AA142" i="36"/>
  <c r="AA143" i="36"/>
  <c r="AA144" i="36"/>
  <c r="AA145" i="36"/>
  <c r="AA146" i="36"/>
  <c r="AA147" i="36"/>
  <c r="AA148" i="36"/>
  <c r="AA149" i="36"/>
  <c r="AA150" i="36"/>
  <c r="Z86" i="36"/>
  <c r="Z87" i="36"/>
  <c r="Z88" i="36"/>
  <c r="Z89" i="36"/>
  <c r="Z90" i="36"/>
  <c r="Z91" i="36"/>
  <c r="Z92" i="36"/>
  <c r="Z93" i="36"/>
  <c r="Z94" i="36"/>
  <c r="Z95" i="36"/>
  <c r="Z96" i="36"/>
  <c r="Z97" i="36"/>
  <c r="Z98" i="36"/>
  <c r="Z99" i="36"/>
  <c r="Z100" i="36"/>
  <c r="Z101" i="36"/>
  <c r="Z102" i="36"/>
  <c r="Z103" i="36"/>
  <c r="Z104" i="36"/>
  <c r="Z105" i="36"/>
  <c r="Z106" i="36"/>
  <c r="Z107" i="36"/>
  <c r="Z108" i="36"/>
  <c r="Z109" i="36"/>
  <c r="Z110" i="36"/>
  <c r="Z111" i="36"/>
  <c r="Z112" i="36"/>
  <c r="Z113" i="36"/>
  <c r="Z114" i="36"/>
  <c r="Z115" i="36"/>
  <c r="Z116" i="36"/>
  <c r="Z117" i="36"/>
  <c r="Z118" i="36"/>
  <c r="Z119" i="36"/>
  <c r="Z120" i="36"/>
  <c r="Z121" i="36"/>
  <c r="Z122" i="36"/>
  <c r="Z123" i="36"/>
  <c r="Z124" i="36"/>
  <c r="Z125" i="36"/>
  <c r="Z126" i="36"/>
  <c r="Z127" i="36"/>
  <c r="Z128" i="36"/>
  <c r="Z129" i="36"/>
  <c r="Z130" i="36"/>
  <c r="Z131" i="36"/>
  <c r="Z132" i="36"/>
  <c r="Z133" i="36"/>
  <c r="Z134" i="36"/>
  <c r="Z135" i="36"/>
  <c r="Z136" i="36"/>
  <c r="Z137" i="36"/>
  <c r="Z138" i="36"/>
  <c r="Z139" i="36"/>
  <c r="Z140" i="36"/>
  <c r="Z141" i="36"/>
  <c r="Z142" i="36"/>
  <c r="Z143" i="36"/>
  <c r="Z144" i="36"/>
  <c r="Z145" i="36"/>
  <c r="Z146" i="36"/>
  <c r="Z147" i="36"/>
  <c r="Z148" i="36"/>
  <c r="Z149" i="36"/>
  <c r="Z150" i="36"/>
  <c r="Y86" i="36"/>
  <c r="Y87" i="36"/>
  <c r="Y88" i="36"/>
  <c r="Y89" i="36"/>
  <c r="Y90" i="36"/>
  <c r="Y91" i="36"/>
  <c r="Y92" i="36"/>
  <c r="Y93" i="36"/>
  <c r="Y94" i="36"/>
  <c r="Y95" i="36"/>
  <c r="Y96" i="36"/>
  <c r="Y97" i="36"/>
  <c r="Y98" i="36"/>
  <c r="Y99" i="36"/>
  <c r="Y100" i="36"/>
  <c r="Y101" i="36"/>
  <c r="Y102" i="36"/>
  <c r="Y103" i="36"/>
  <c r="Y104" i="36"/>
  <c r="Y105" i="36"/>
  <c r="Y106" i="36"/>
  <c r="Y107" i="36"/>
  <c r="Y108" i="36"/>
  <c r="Y109" i="36"/>
  <c r="Y110" i="36"/>
  <c r="Y111" i="36"/>
  <c r="Y112" i="36"/>
  <c r="Y113" i="36"/>
  <c r="Y114" i="36"/>
  <c r="Y115" i="36"/>
  <c r="Y117" i="36"/>
  <c r="Y118" i="36"/>
  <c r="Y119" i="36"/>
  <c r="Y120" i="36"/>
  <c r="Y121" i="36"/>
  <c r="Y122" i="36"/>
  <c r="Y123" i="36"/>
  <c r="Y124" i="36"/>
  <c r="Y125" i="36"/>
  <c r="Y126" i="36"/>
  <c r="Y127" i="36"/>
  <c r="Y128" i="36"/>
  <c r="Y129" i="36"/>
  <c r="Y130" i="36"/>
  <c r="Y131" i="36"/>
  <c r="Y132" i="36"/>
  <c r="Y133" i="36"/>
  <c r="Y134" i="36"/>
  <c r="Y135" i="36"/>
  <c r="Y136" i="36"/>
  <c r="Y137" i="36"/>
  <c r="Y138" i="36"/>
  <c r="Y139" i="36"/>
  <c r="Y140" i="36"/>
  <c r="Y141" i="36"/>
  <c r="Y142" i="36"/>
  <c r="Y143" i="36"/>
  <c r="Y145" i="36"/>
  <c r="Y146" i="36"/>
  <c r="Y147" i="36"/>
  <c r="Y148" i="36"/>
  <c r="Y149" i="36"/>
  <c r="X86" i="36"/>
  <c r="X87" i="36"/>
  <c r="X88" i="36"/>
  <c r="X89" i="36"/>
  <c r="X90" i="36"/>
  <c r="X91" i="36"/>
  <c r="X92" i="36"/>
  <c r="X93" i="36"/>
  <c r="X94" i="36"/>
  <c r="X95" i="36"/>
  <c r="X96" i="36"/>
  <c r="X97" i="36"/>
  <c r="X98" i="36"/>
  <c r="X99" i="36"/>
  <c r="X100" i="36"/>
  <c r="X101" i="36"/>
  <c r="X102" i="36"/>
  <c r="X103" i="36"/>
  <c r="X104" i="36"/>
  <c r="X105" i="36"/>
  <c r="X106" i="36"/>
  <c r="X107" i="36"/>
  <c r="X108" i="36"/>
  <c r="X109" i="36"/>
  <c r="X110" i="36"/>
  <c r="X111" i="36"/>
  <c r="X112" i="36"/>
  <c r="X113" i="36"/>
  <c r="X114" i="36"/>
  <c r="X115" i="36"/>
  <c r="X117" i="36"/>
  <c r="X118" i="36"/>
  <c r="X119" i="36"/>
  <c r="X120" i="36"/>
  <c r="X121" i="36"/>
  <c r="X122" i="36"/>
  <c r="X123" i="36"/>
  <c r="X124" i="36"/>
  <c r="X125" i="36"/>
  <c r="X126" i="36"/>
  <c r="X127" i="36"/>
  <c r="X128" i="36"/>
  <c r="X129" i="36"/>
  <c r="X130" i="36"/>
  <c r="X131" i="36"/>
  <c r="X132" i="36"/>
  <c r="X133" i="36"/>
  <c r="X134" i="36"/>
  <c r="X135" i="36"/>
  <c r="X136" i="36"/>
  <c r="X137" i="36"/>
  <c r="X138" i="36"/>
  <c r="X139" i="36"/>
  <c r="X140" i="36"/>
  <c r="X141" i="36"/>
  <c r="X142" i="36"/>
  <c r="X143" i="36"/>
  <c r="X144" i="36"/>
  <c r="X145" i="36"/>
  <c r="X146" i="36"/>
  <c r="X147" i="36"/>
  <c r="X148" i="36"/>
  <c r="X149" i="36"/>
  <c r="W86" i="36"/>
  <c r="W87" i="36"/>
  <c r="W88" i="36"/>
  <c r="W89" i="36"/>
  <c r="W90" i="36"/>
  <c r="W91" i="36"/>
  <c r="W92" i="36"/>
  <c r="W93" i="36"/>
  <c r="W94" i="36"/>
  <c r="W95" i="36"/>
  <c r="W96" i="36"/>
  <c r="W97" i="36"/>
  <c r="W98" i="36"/>
  <c r="W99" i="36"/>
  <c r="W100" i="36"/>
  <c r="W101" i="36"/>
  <c r="W102" i="36"/>
  <c r="W103" i="36"/>
  <c r="W104" i="36"/>
  <c r="W105" i="36"/>
  <c r="W106" i="36"/>
  <c r="W107" i="36"/>
  <c r="W108" i="36"/>
  <c r="W109" i="36"/>
  <c r="W110" i="36"/>
  <c r="W111" i="36"/>
  <c r="W112" i="36"/>
  <c r="W113" i="36"/>
  <c r="W114" i="36"/>
  <c r="W115" i="36"/>
  <c r="W116" i="36"/>
  <c r="W117" i="36"/>
  <c r="W118" i="36"/>
  <c r="W119" i="36"/>
  <c r="W120" i="36"/>
  <c r="W121" i="36"/>
  <c r="W122" i="36"/>
  <c r="W123" i="36"/>
  <c r="W124" i="36"/>
  <c r="W125" i="36"/>
  <c r="W126" i="36"/>
  <c r="W127" i="36"/>
  <c r="W128" i="36"/>
  <c r="W129" i="36"/>
  <c r="W130" i="36"/>
  <c r="W131" i="36"/>
  <c r="W132" i="36"/>
  <c r="W133" i="36"/>
  <c r="W134" i="36"/>
  <c r="W135" i="36"/>
  <c r="W136" i="36"/>
  <c r="W137" i="36"/>
  <c r="W138" i="36"/>
  <c r="W139" i="36"/>
  <c r="W140" i="36"/>
  <c r="W141" i="36"/>
  <c r="W142" i="36"/>
  <c r="W143" i="36"/>
  <c r="W144" i="36"/>
  <c r="W145" i="36"/>
  <c r="W146" i="36"/>
  <c r="W147" i="36"/>
  <c r="W148" i="36"/>
  <c r="W149" i="36"/>
  <c r="V86" i="36"/>
  <c r="V87" i="36"/>
  <c r="V88" i="36"/>
  <c r="V89" i="36"/>
  <c r="V90" i="36"/>
  <c r="V91" i="36"/>
  <c r="V92" i="36"/>
  <c r="V93" i="36"/>
  <c r="V94" i="36"/>
  <c r="V95" i="36"/>
  <c r="V96" i="36"/>
  <c r="V97" i="36"/>
  <c r="V98" i="36"/>
  <c r="V99" i="36"/>
  <c r="V100" i="36"/>
  <c r="V101" i="36"/>
  <c r="V102" i="36"/>
  <c r="V103" i="36"/>
  <c r="V104" i="36"/>
  <c r="V105" i="36"/>
  <c r="V106" i="36"/>
  <c r="V107" i="36"/>
  <c r="V108" i="36"/>
  <c r="V109" i="36"/>
  <c r="V110" i="36"/>
  <c r="V111" i="36"/>
  <c r="V112" i="36"/>
  <c r="V113" i="36"/>
  <c r="V114" i="36"/>
  <c r="V115" i="36"/>
  <c r="V116" i="36"/>
  <c r="V117" i="36"/>
  <c r="V118" i="36"/>
  <c r="V119" i="36"/>
  <c r="V120" i="36"/>
  <c r="V121" i="36"/>
  <c r="V122" i="36"/>
  <c r="V123" i="36"/>
  <c r="V124" i="36"/>
  <c r="V125" i="36"/>
  <c r="V126" i="36"/>
  <c r="V127" i="36"/>
  <c r="V128" i="36"/>
  <c r="V129" i="36"/>
  <c r="V130" i="36"/>
  <c r="V131" i="36"/>
  <c r="V132" i="36"/>
  <c r="V133" i="36"/>
  <c r="V134" i="36"/>
  <c r="V135" i="36"/>
  <c r="V136" i="36"/>
  <c r="V137" i="36"/>
  <c r="V138" i="36"/>
  <c r="V139" i="36"/>
  <c r="V140" i="36"/>
  <c r="V141" i="36"/>
  <c r="V142" i="36"/>
  <c r="V143" i="36"/>
  <c r="V144" i="36"/>
  <c r="V145" i="36"/>
  <c r="V146" i="36"/>
  <c r="V147" i="36"/>
  <c r="V148" i="36"/>
  <c r="V149" i="36"/>
  <c r="V150" i="36"/>
  <c r="U86" i="36"/>
  <c r="U87" i="36"/>
  <c r="U88" i="36"/>
  <c r="U89" i="36"/>
  <c r="U90" i="36"/>
  <c r="U91" i="36"/>
  <c r="U92" i="36"/>
  <c r="U93" i="36"/>
  <c r="U94" i="36"/>
  <c r="U95" i="36"/>
  <c r="U96" i="36"/>
  <c r="U97" i="36"/>
  <c r="U98" i="36"/>
  <c r="U99" i="36"/>
  <c r="U100" i="36"/>
  <c r="U101" i="36"/>
  <c r="U102" i="36"/>
  <c r="U103" i="36"/>
  <c r="U104" i="36"/>
  <c r="U105" i="36"/>
  <c r="U106" i="36"/>
  <c r="U107" i="36"/>
  <c r="U108" i="36"/>
  <c r="U109" i="36"/>
  <c r="U110" i="36"/>
  <c r="U111" i="36"/>
  <c r="U112" i="36"/>
  <c r="U113" i="36"/>
  <c r="U114" i="36"/>
  <c r="U115" i="36"/>
  <c r="U116" i="36"/>
  <c r="U117" i="36"/>
  <c r="U118" i="36"/>
  <c r="U119" i="36"/>
  <c r="U120" i="36"/>
  <c r="U121" i="36"/>
  <c r="U122" i="36"/>
  <c r="U123" i="36"/>
  <c r="U124" i="36"/>
  <c r="U125" i="36"/>
  <c r="U126" i="36"/>
  <c r="U127" i="36"/>
  <c r="U128" i="36"/>
  <c r="U129" i="36"/>
  <c r="U130" i="36"/>
  <c r="U131" i="36"/>
  <c r="U132" i="36"/>
  <c r="U133" i="36"/>
  <c r="U134" i="36"/>
  <c r="U135" i="36"/>
  <c r="U136" i="36"/>
  <c r="U137" i="36"/>
  <c r="U138" i="36"/>
  <c r="U139" i="36"/>
  <c r="U140" i="36"/>
  <c r="U141" i="36"/>
  <c r="U142" i="36"/>
  <c r="U143" i="36"/>
  <c r="U144" i="36"/>
  <c r="U145" i="36"/>
  <c r="U146" i="36"/>
  <c r="U147" i="36"/>
  <c r="U148" i="36"/>
  <c r="U149" i="36"/>
  <c r="U150" i="36"/>
  <c r="T86" i="36"/>
  <c r="T87" i="36"/>
  <c r="T88" i="36"/>
  <c r="T89" i="36"/>
  <c r="T90" i="36"/>
  <c r="T91" i="36"/>
  <c r="T92" i="36"/>
  <c r="T93" i="36"/>
  <c r="T94" i="36"/>
  <c r="T95" i="36"/>
  <c r="T96" i="36"/>
  <c r="T97" i="36"/>
  <c r="T98" i="36"/>
  <c r="T99" i="36"/>
  <c r="T100" i="36"/>
  <c r="T101" i="36"/>
  <c r="T102" i="36"/>
  <c r="T103" i="36"/>
  <c r="T104" i="36"/>
  <c r="T105" i="36"/>
  <c r="T106" i="36"/>
  <c r="T107" i="36"/>
  <c r="T108" i="36"/>
  <c r="T109" i="36"/>
  <c r="T110" i="36"/>
  <c r="T111" i="36"/>
  <c r="T112" i="36"/>
  <c r="T113" i="36"/>
  <c r="T114" i="36"/>
  <c r="T115" i="36"/>
  <c r="T116" i="36"/>
  <c r="T117" i="36"/>
  <c r="T118" i="36"/>
  <c r="T119" i="36"/>
  <c r="T120" i="36"/>
  <c r="T121" i="36"/>
  <c r="T122" i="36"/>
  <c r="T123" i="36"/>
  <c r="T124" i="36"/>
  <c r="T125" i="36"/>
  <c r="T126" i="36"/>
  <c r="T127" i="36"/>
  <c r="T128" i="36"/>
  <c r="T129" i="36"/>
  <c r="T130" i="36"/>
  <c r="T131" i="36"/>
  <c r="T132" i="36"/>
  <c r="T133" i="36"/>
  <c r="T134" i="36"/>
  <c r="T135" i="36"/>
  <c r="T136" i="36"/>
  <c r="T137" i="36"/>
  <c r="T138" i="36"/>
  <c r="T139" i="36"/>
  <c r="T140" i="36"/>
  <c r="T141" i="36"/>
  <c r="T142" i="36"/>
  <c r="T143" i="36"/>
  <c r="T144" i="36"/>
  <c r="T145" i="36"/>
  <c r="T146" i="36"/>
  <c r="T147" i="36"/>
  <c r="T148" i="36"/>
  <c r="T149" i="36"/>
  <c r="S86" i="36"/>
  <c r="S87" i="36"/>
  <c r="S88" i="36"/>
  <c r="S89" i="36"/>
  <c r="S90" i="36"/>
  <c r="S91" i="36"/>
  <c r="S92" i="36"/>
  <c r="S93" i="36"/>
  <c r="S94" i="36"/>
  <c r="S95" i="36"/>
  <c r="S96" i="36"/>
  <c r="S97" i="36"/>
  <c r="S98" i="36"/>
  <c r="S99" i="36"/>
  <c r="S100" i="36"/>
  <c r="S101" i="36"/>
  <c r="S102" i="36"/>
  <c r="S103" i="36"/>
  <c r="S104" i="36"/>
  <c r="S105" i="36"/>
  <c r="S106" i="36"/>
  <c r="S107" i="36"/>
  <c r="S108" i="36"/>
  <c r="S109" i="36"/>
  <c r="S110" i="36"/>
  <c r="S111" i="36"/>
  <c r="S112" i="36"/>
  <c r="S113" i="36"/>
  <c r="S114" i="36"/>
  <c r="S115" i="36"/>
  <c r="S116" i="36"/>
  <c r="S117" i="36"/>
  <c r="S118" i="36"/>
  <c r="S119" i="36"/>
  <c r="S120" i="36"/>
  <c r="S121" i="36"/>
  <c r="S122" i="36"/>
  <c r="S123" i="36"/>
  <c r="S124" i="36"/>
  <c r="S125" i="36"/>
  <c r="S126" i="36"/>
  <c r="S127" i="36"/>
  <c r="S128" i="36"/>
  <c r="S129" i="36"/>
  <c r="S130" i="36"/>
  <c r="S131" i="36"/>
  <c r="S132" i="36"/>
  <c r="S133" i="36"/>
  <c r="S134" i="36"/>
  <c r="S135" i="36"/>
  <c r="S136" i="36"/>
  <c r="S137" i="36"/>
  <c r="S138" i="36"/>
  <c r="S139" i="36"/>
  <c r="S140" i="36"/>
  <c r="S141" i="36"/>
  <c r="S142" i="36"/>
  <c r="S143" i="36"/>
  <c r="S144" i="36"/>
  <c r="S145" i="36"/>
  <c r="S146" i="36"/>
  <c r="S147" i="36"/>
  <c r="S148" i="36"/>
  <c r="S149" i="36"/>
  <c r="R86" i="36"/>
  <c r="R87" i="36"/>
  <c r="R88" i="36"/>
  <c r="R89" i="36"/>
  <c r="R90" i="36"/>
  <c r="R91" i="36"/>
  <c r="R92" i="36"/>
  <c r="R93" i="36"/>
  <c r="R94" i="36"/>
  <c r="R95" i="36"/>
  <c r="R96" i="36"/>
  <c r="R97" i="36"/>
  <c r="R98" i="36"/>
  <c r="R99" i="36"/>
  <c r="R100" i="36"/>
  <c r="R101" i="36"/>
  <c r="R102" i="36"/>
  <c r="R103" i="36"/>
  <c r="R104" i="36"/>
  <c r="R105" i="36"/>
  <c r="R106" i="36"/>
  <c r="R107" i="36"/>
  <c r="R108" i="36"/>
  <c r="R109" i="36"/>
  <c r="R110" i="36"/>
  <c r="R111" i="36"/>
  <c r="R112" i="36"/>
  <c r="R113" i="36"/>
  <c r="R114" i="36"/>
  <c r="R115" i="36"/>
  <c r="R116" i="36"/>
  <c r="R117" i="36"/>
  <c r="R118" i="36"/>
  <c r="R119" i="36"/>
  <c r="R120" i="36"/>
  <c r="R121" i="36"/>
  <c r="R122" i="36"/>
  <c r="R123" i="36"/>
  <c r="R124" i="36"/>
  <c r="R125" i="36"/>
  <c r="R126" i="36"/>
  <c r="R127" i="36"/>
  <c r="R128" i="36"/>
  <c r="R129" i="36"/>
  <c r="R130" i="36"/>
  <c r="R131" i="36"/>
  <c r="R132" i="36"/>
  <c r="R133" i="36"/>
  <c r="R134" i="36"/>
  <c r="R135" i="36"/>
  <c r="R136" i="36"/>
  <c r="R137" i="36"/>
  <c r="R138" i="36"/>
  <c r="R139" i="36"/>
  <c r="R140" i="36"/>
  <c r="R141" i="36"/>
  <c r="R142" i="36"/>
  <c r="R143" i="36"/>
  <c r="R144" i="36"/>
  <c r="R145" i="36"/>
  <c r="R146" i="36"/>
  <c r="R147" i="36"/>
  <c r="R148" i="36"/>
  <c r="R149" i="36"/>
  <c r="Q86" i="36"/>
  <c r="Q87" i="36"/>
  <c r="Q88" i="36"/>
  <c r="Q89" i="36"/>
  <c r="Q90" i="36"/>
  <c r="Q91" i="36"/>
  <c r="Q92" i="36"/>
  <c r="Q93" i="36"/>
  <c r="Q94" i="36"/>
  <c r="Q95" i="36"/>
  <c r="Q96" i="36"/>
  <c r="Q97" i="36"/>
  <c r="Q98" i="36"/>
  <c r="Q99" i="36"/>
  <c r="Q100" i="36"/>
  <c r="Q101" i="36"/>
  <c r="Q102" i="36"/>
  <c r="Q103" i="36"/>
  <c r="Q104" i="36"/>
  <c r="Q105" i="36"/>
  <c r="Q106" i="36"/>
  <c r="Q107" i="36"/>
  <c r="Q108" i="36"/>
  <c r="Q109" i="36"/>
  <c r="Q110" i="36"/>
  <c r="Q111" i="36"/>
  <c r="Q112" i="36"/>
  <c r="Q113" i="36"/>
  <c r="Q114" i="36"/>
  <c r="Q115" i="36"/>
  <c r="Q116" i="36"/>
  <c r="Q117" i="36"/>
  <c r="Q118" i="36"/>
  <c r="Q119" i="36"/>
  <c r="Q120" i="36"/>
  <c r="Q121" i="36"/>
  <c r="Q122" i="36"/>
  <c r="Q123" i="36"/>
  <c r="Q124" i="36"/>
  <c r="Q125" i="36"/>
  <c r="Q126" i="36"/>
  <c r="Q127" i="36"/>
  <c r="Q128" i="36"/>
  <c r="Q129" i="36"/>
  <c r="Q130" i="36"/>
  <c r="Q131" i="36"/>
  <c r="Q132" i="36"/>
  <c r="Q133" i="36"/>
  <c r="Q134" i="36"/>
  <c r="Q135" i="36"/>
  <c r="Q136" i="36"/>
  <c r="Q137" i="36"/>
  <c r="Q138" i="36"/>
  <c r="Q139" i="36"/>
  <c r="Q140" i="36"/>
  <c r="Q141" i="36"/>
  <c r="Q142" i="36"/>
  <c r="Q143" i="36"/>
  <c r="Q144" i="36"/>
  <c r="Q145" i="36"/>
  <c r="Q146" i="36"/>
  <c r="Q147" i="36"/>
  <c r="Q148" i="36"/>
  <c r="Q149" i="36"/>
  <c r="Q150" i="36"/>
  <c r="P86" i="36"/>
  <c r="P87" i="36"/>
  <c r="P88" i="36"/>
  <c r="P89" i="36"/>
  <c r="P90" i="36"/>
  <c r="P91" i="36"/>
  <c r="P92" i="36"/>
  <c r="P93" i="36"/>
  <c r="P94" i="36"/>
  <c r="P95" i="36"/>
  <c r="P96" i="36"/>
  <c r="P97" i="36"/>
  <c r="P98" i="36"/>
  <c r="P99" i="36"/>
  <c r="P100" i="36"/>
  <c r="P101" i="36"/>
  <c r="P102" i="36"/>
  <c r="P103" i="36"/>
  <c r="P104" i="36"/>
  <c r="P105" i="36"/>
  <c r="P106" i="36"/>
  <c r="P107" i="36"/>
  <c r="P108" i="36"/>
  <c r="P109" i="36"/>
  <c r="P110" i="36"/>
  <c r="P111" i="36"/>
  <c r="P112" i="36"/>
  <c r="P113" i="36"/>
  <c r="P114" i="36"/>
  <c r="P115" i="36"/>
  <c r="P116" i="36"/>
  <c r="P117" i="36"/>
  <c r="P118" i="36"/>
  <c r="P119" i="36"/>
  <c r="P120" i="36"/>
  <c r="P121" i="36"/>
  <c r="P122" i="36"/>
  <c r="P123" i="36"/>
  <c r="P124" i="36"/>
  <c r="P125" i="36"/>
  <c r="P126" i="36"/>
  <c r="P127" i="36"/>
  <c r="P128" i="36"/>
  <c r="P129" i="36"/>
  <c r="P130" i="36"/>
  <c r="P131" i="36"/>
  <c r="P132" i="36"/>
  <c r="P133" i="36"/>
  <c r="P134" i="36"/>
  <c r="P135" i="36"/>
  <c r="P136" i="36"/>
  <c r="P137" i="36"/>
  <c r="P138" i="36"/>
  <c r="P139" i="36"/>
  <c r="P140" i="36"/>
  <c r="P141" i="36"/>
  <c r="P142" i="36"/>
  <c r="P143" i="36"/>
  <c r="P144" i="36"/>
  <c r="P145" i="36"/>
  <c r="P146" i="36"/>
  <c r="P147" i="36"/>
  <c r="P148" i="36"/>
  <c r="P149" i="36"/>
  <c r="P150" i="36"/>
  <c r="O86" i="36"/>
  <c r="O87" i="36"/>
  <c r="O88" i="36"/>
  <c r="O89" i="36"/>
  <c r="O90" i="36"/>
  <c r="O91" i="36"/>
  <c r="O92" i="36"/>
  <c r="O93" i="36"/>
  <c r="O94" i="36"/>
  <c r="O95" i="36"/>
  <c r="O96" i="36"/>
  <c r="O97" i="36"/>
  <c r="O98" i="36"/>
  <c r="O99" i="36"/>
  <c r="O100" i="36"/>
  <c r="O101" i="36"/>
  <c r="O102" i="36"/>
  <c r="O103" i="36"/>
  <c r="O104" i="36"/>
  <c r="O105" i="36"/>
  <c r="O106" i="36"/>
  <c r="O107" i="36"/>
  <c r="O108" i="36"/>
  <c r="O109" i="36"/>
  <c r="O110" i="36"/>
  <c r="O111" i="36"/>
  <c r="O112" i="36"/>
  <c r="O113" i="36"/>
  <c r="O114" i="36"/>
  <c r="O115" i="36"/>
  <c r="O116" i="36"/>
  <c r="O117" i="36"/>
  <c r="O118" i="36"/>
  <c r="O119" i="36"/>
  <c r="O120" i="36"/>
  <c r="O121" i="36"/>
  <c r="O122" i="36"/>
  <c r="O123" i="36"/>
  <c r="O124" i="36"/>
  <c r="O125" i="36"/>
  <c r="O126" i="36"/>
  <c r="O127" i="36"/>
  <c r="O128" i="36"/>
  <c r="O129" i="36"/>
  <c r="O130" i="36"/>
  <c r="O131" i="36"/>
  <c r="O132" i="36"/>
  <c r="O133" i="36"/>
  <c r="O134" i="36"/>
  <c r="O135" i="36"/>
  <c r="O136" i="36"/>
  <c r="O137" i="36"/>
  <c r="O138" i="36"/>
  <c r="O139" i="36"/>
  <c r="O140" i="36"/>
  <c r="O141" i="36"/>
  <c r="O142" i="36"/>
  <c r="O143" i="36"/>
  <c r="O144" i="36"/>
  <c r="O145" i="36"/>
  <c r="O146" i="36"/>
  <c r="O147" i="36"/>
  <c r="O148" i="36"/>
  <c r="O149" i="36"/>
  <c r="N86" i="36"/>
  <c r="N87" i="36"/>
  <c r="N88" i="36"/>
  <c r="N89" i="36"/>
  <c r="N90" i="36"/>
  <c r="N91" i="36"/>
  <c r="N92" i="36"/>
  <c r="N93" i="36"/>
  <c r="N94" i="36"/>
  <c r="N95" i="36"/>
  <c r="N96" i="36"/>
  <c r="N97" i="36"/>
  <c r="N98" i="36"/>
  <c r="N99" i="36"/>
  <c r="N100" i="36"/>
  <c r="N101" i="36"/>
  <c r="N102" i="36"/>
  <c r="N103" i="36"/>
  <c r="N104" i="36"/>
  <c r="N105" i="36"/>
  <c r="N106" i="36"/>
  <c r="N107" i="36"/>
  <c r="N108" i="36"/>
  <c r="N109" i="36"/>
  <c r="N110" i="36"/>
  <c r="N111" i="36"/>
  <c r="N112" i="36"/>
  <c r="N113" i="36"/>
  <c r="N114" i="36"/>
  <c r="N115" i="36"/>
  <c r="N116" i="36"/>
  <c r="N117" i="36"/>
  <c r="N118" i="36"/>
  <c r="N119" i="36"/>
  <c r="N120" i="36"/>
  <c r="N121" i="36"/>
  <c r="N122" i="36"/>
  <c r="N123" i="36"/>
  <c r="N124" i="36"/>
  <c r="N125" i="36"/>
  <c r="N126" i="36"/>
  <c r="N127" i="36"/>
  <c r="N128" i="36"/>
  <c r="N129" i="36"/>
  <c r="N130" i="36"/>
  <c r="N131" i="36"/>
  <c r="N132" i="36"/>
  <c r="N133" i="36"/>
  <c r="N134" i="36"/>
  <c r="N135" i="36"/>
  <c r="N136" i="36"/>
  <c r="N137" i="36"/>
  <c r="N138" i="36"/>
  <c r="N139" i="36"/>
  <c r="N140" i="36"/>
  <c r="N141" i="36"/>
  <c r="N142" i="36"/>
  <c r="N143" i="36"/>
  <c r="N144" i="36"/>
  <c r="N145" i="36"/>
  <c r="N146" i="36"/>
  <c r="N147" i="36"/>
  <c r="N148" i="36"/>
  <c r="N149" i="36"/>
  <c r="M86" i="36"/>
  <c r="M87" i="36"/>
  <c r="M88" i="36"/>
  <c r="M89" i="36"/>
  <c r="M90" i="36"/>
  <c r="M91" i="36"/>
  <c r="M92" i="36"/>
  <c r="M93" i="36"/>
  <c r="M94" i="36"/>
  <c r="M95" i="36"/>
  <c r="M96" i="36"/>
  <c r="M97" i="36"/>
  <c r="M98" i="36"/>
  <c r="M99" i="36"/>
  <c r="M100" i="36"/>
  <c r="M101" i="36"/>
  <c r="M102" i="36"/>
  <c r="M103" i="36"/>
  <c r="M104" i="36"/>
  <c r="M105" i="36"/>
  <c r="M106" i="36"/>
  <c r="M107" i="36"/>
  <c r="M108" i="36"/>
  <c r="M109" i="36"/>
  <c r="M110" i="36"/>
  <c r="M111" i="36"/>
  <c r="M112" i="36"/>
  <c r="M113" i="36"/>
  <c r="M114" i="36"/>
  <c r="M115" i="36"/>
  <c r="M116" i="36"/>
  <c r="M117" i="36"/>
  <c r="M118" i="36"/>
  <c r="M119" i="36"/>
  <c r="M120" i="36"/>
  <c r="M121" i="36"/>
  <c r="M122" i="36"/>
  <c r="M123" i="36"/>
  <c r="M124" i="36"/>
  <c r="M125" i="36"/>
  <c r="M126" i="36"/>
  <c r="M127" i="36"/>
  <c r="M128" i="36"/>
  <c r="M129" i="36"/>
  <c r="M130" i="36"/>
  <c r="M131" i="36"/>
  <c r="M132" i="36"/>
  <c r="M133" i="36"/>
  <c r="M134" i="36"/>
  <c r="M135" i="36"/>
  <c r="M136" i="36"/>
  <c r="M137" i="36"/>
  <c r="M138" i="36"/>
  <c r="M139" i="36"/>
  <c r="M140" i="36"/>
  <c r="M141" i="36"/>
  <c r="M142" i="36"/>
  <c r="M143" i="36"/>
  <c r="M144" i="36"/>
  <c r="M145" i="36"/>
  <c r="M146" i="36"/>
  <c r="M147" i="36"/>
  <c r="M148" i="36"/>
  <c r="M149" i="36"/>
  <c r="M150" i="36"/>
  <c r="L86" i="36"/>
  <c r="L87" i="36"/>
  <c r="L88" i="36"/>
  <c r="L89" i="36"/>
  <c r="L90" i="36"/>
  <c r="L91" i="36"/>
  <c r="L92" i="36"/>
  <c r="L93" i="36"/>
  <c r="L94" i="36"/>
  <c r="L95" i="36"/>
  <c r="L96" i="36"/>
  <c r="L97" i="36"/>
  <c r="L98" i="36"/>
  <c r="L99" i="36"/>
  <c r="L100" i="36"/>
  <c r="L101" i="36"/>
  <c r="L102" i="36"/>
  <c r="L103" i="36"/>
  <c r="L104" i="36"/>
  <c r="L105" i="36"/>
  <c r="L106" i="36"/>
  <c r="L107" i="36"/>
  <c r="L108" i="36"/>
  <c r="L109" i="36"/>
  <c r="L110" i="36"/>
  <c r="L111" i="36"/>
  <c r="L112" i="36"/>
  <c r="L113" i="36"/>
  <c r="L114" i="36"/>
  <c r="L115" i="36"/>
  <c r="L116" i="36"/>
  <c r="L117" i="36"/>
  <c r="L118" i="36"/>
  <c r="L119" i="36"/>
  <c r="L120" i="36"/>
  <c r="L121" i="36"/>
  <c r="L122" i="36"/>
  <c r="L123" i="36"/>
  <c r="L124" i="36"/>
  <c r="L125" i="36"/>
  <c r="L126" i="36"/>
  <c r="L127" i="36"/>
  <c r="L128" i="36"/>
  <c r="L129" i="36"/>
  <c r="L130" i="36"/>
  <c r="L131" i="36"/>
  <c r="L132" i="36"/>
  <c r="L133" i="36"/>
  <c r="L134" i="36"/>
  <c r="L135" i="36"/>
  <c r="L136" i="36"/>
  <c r="L137" i="36"/>
  <c r="L138" i="36"/>
  <c r="L139" i="36"/>
  <c r="L140" i="36"/>
  <c r="L141" i="36"/>
  <c r="L142" i="36"/>
  <c r="L143" i="36"/>
  <c r="L144" i="36"/>
  <c r="L145" i="36"/>
  <c r="L146" i="36"/>
  <c r="L147" i="36"/>
  <c r="L148" i="36"/>
  <c r="L149" i="36"/>
  <c r="K86" i="36"/>
  <c r="K87" i="36"/>
  <c r="K88" i="36"/>
  <c r="K89" i="36"/>
  <c r="K90" i="36"/>
  <c r="K91" i="36"/>
  <c r="K92" i="36"/>
  <c r="K93" i="36"/>
  <c r="K94" i="36"/>
  <c r="K95" i="36"/>
  <c r="K96" i="36"/>
  <c r="K97" i="36"/>
  <c r="K98" i="36"/>
  <c r="K99" i="36"/>
  <c r="K100" i="36"/>
  <c r="K101" i="36"/>
  <c r="K102" i="36"/>
  <c r="K103" i="36"/>
  <c r="K104" i="36"/>
  <c r="K105" i="36"/>
  <c r="K106" i="36"/>
  <c r="K107" i="36"/>
  <c r="K108" i="36"/>
  <c r="K109" i="36"/>
  <c r="K110" i="36"/>
  <c r="K111" i="36"/>
  <c r="K112" i="36"/>
  <c r="K113" i="36"/>
  <c r="K114" i="36"/>
  <c r="K115" i="36"/>
  <c r="K116" i="36"/>
  <c r="K117" i="36"/>
  <c r="K118" i="36"/>
  <c r="K119" i="36"/>
  <c r="K120" i="36"/>
  <c r="K121" i="36"/>
  <c r="K122" i="36"/>
  <c r="K123" i="36"/>
  <c r="K124" i="36"/>
  <c r="K125" i="36"/>
  <c r="K126" i="36"/>
  <c r="K127" i="36"/>
  <c r="K128" i="36"/>
  <c r="K129" i="36"/>
  <c r="K130" i="36"/>
  <c r="K131" i="36"/>
  <c r="K132" i="36"/>
  <c r="K133" i="36"/>
  <c r="K134" i="36"/>
  <c r="K135" i="36"/>
  <c r="K136" i="36"/>
  <c r="K137" i="36"/>
  <c r="K138" i="36"/>
  <c r="K139" i="36"/>
  <c r="K140" i="36"/>
  <c r="K141" i="36"/>
  <c r="K142" i="36"/>
  <c r="K143" i="36"/>
  <c r="K144" i="36"/>
  <c r="K145" i="36"/>
  <c r="K146" i="36"/>
  <c r="K147" i="36"/>
  <c r="K148" i="36"/>
  <c r="K149" i="36"/>
  <c r="K150" i="36"/>
  <c r="J86" i="36"/>
  <c r="J87" i="36"/>
  <c r="J88" i="36"/>
  <c r="J89" i="36"/>
  <c r="J90" i="36"/>
  <c r="J91" i="36"/>
  <c r="J93" i="36"/>
  <c r="J94" i="36"/>
  <c r="J95" i="36"/>
  <c r="J96" i="36"/>
  <c r="J97" i="36"/>
  <c r="J98" i="36"/>
  <c r="J100" i="36"/>
  <c r="J101" i="36"/>
  <c r="J102" i="36"/>
  <c r="J103" i="36"/>
  <c r="J105" i="36"/>
  <c r="J106" i="36"/>
  <c r="J107" i="36"/>
  <c r="J108" i="36"/>
  <c r="J109" i="36"/>
  <c r="J110" i="36"/>
  <c r="J111" i="36"/>
  <c r="J112" i="36"/>
  <c r="J113" i="36"/>
  <c r="J114" i="36"/>
  <c r="J115" i="36"/>
  <c r="J118" i="36"/>
  <c r="J119" i="36"/>
  <c r="J120" i="36"/>
  <c r="J122" i="36"/>
  <c r="J123" i="36"/>
  <c r="J124" i="36"/>
  <c r="J125" i="36"/>
  <c r="J126" i="36"/>
  <c r="J132" i="36"/>
  <c r="J134" i="36"/>
  <c r="J135" i="36"/>
  <c r="J138" i="36"/>
  <c r="J139" i="36"/>
  <c r="J141" i="36"/>
  <c r="J142" i="36"/>
  <c r="J143" i="36"/>
  <c r="J147" i="36"/>
  <c r="J148" i="36"/>
  <c r="J149" i="36"/>
  <c r="I86" i="36"/>
  <c r="I87" i="36"/>
  <c r="I88" i="36"/>
  <c r="I89" i="36"/>
  <c r="I90" i="36"/>
  <c r="I91" i="36"/>
  <c r="I92" i="36"/>
  <c r="I93" i="36"/>
  <c r="I94" i="36"/>
  <c r="I95" i="36"/>
  <c r="I96" i="36"/>
  <c r="I97" i="36"/>
  <c r="I98" i="36"/>
  <c r="I99" i="36"/>
  <c r="I100" i="36"/>
  <c r="I101" i="36"/>
  <c r="I102" i="36"/>
  <c r="I103" i="36"/>
  <c r="I104" i="36"/>
  <c r="I105" i="36"/>
  <c r="I106" i="36"/>
  <c r="I107" i="36"/>
  <c r="I108" i="36"/>
  <c r="I109" i="36"/>
  <c r="I110" i="36"/>
  <c r="I111" i="36"/>
  <c r="I112" i="36"/>
  <c r="I113" i="36"/>
  <c r="I114" i="36"/>
  <c r="I115" i="36"/>
  <c r="I116" i="36"/>
  <c r="I117" i="36"/>
  <c r="I118" i="36"/>
  <c r="I119" i="36"/>
  <c r="I120" i="36"/>
  <c r="I121" i="36"/>
  <c r="I122" i="36"/>
  <c r="I123" i="36"/>
  <c r="I124" i="36"/>
  <c r="I125" i="36"/>
  <c r="I126" i="36"/>
  <c r="I127" i="36"/>
  <c r="I128" i="36"/>
  <c r="I129" i="36"/>
  <c r="I130" i="36"/>
  <c r="I131" i="36"/>
  <c r="I132" i="36"/>
  <c r="I133" i="36"/>
  <c r="I134" i="36"/>
  <c r="I135" i="36"/>
  <c r="I136" i="36"/>
  <c r="I137" i="36"/>
  <c r="I138" i="36"/>
  <c r="I139" i="36"/>
  <c r="I140" i="36"/>
  <c r="I141" i="36"/>
  <c r="I142" i="36"/>
  <c r="I143" i="36"/>
  <c r="I144" i="36"/>
  <c r="I145" i="36"/>
  <c r="I146" i="36"/>
  <c r="I147" i="36"/>
  <c r="I148" i="36"/>
  <c r="I149" i="36"/>
  <c r="H86" i="36"/>
  <c r="H87" i="36"/>
  <c r="H88" i="36"/>
  <c r="H89" i="36"/>
  <c r="H90" i="36"/>
  <c r="H91" i="36"/>
  <c r="H92" i="36"/>
  <c r="H93" i="36"/>
  <c r="H94" i="36"/>
  <c r="H95" i="36"/>
  <c r="H96" i="36"/>
  <c r="H97" i="36"/>
  <c r="H98" i="36"/>
  <c r="H99" i="36"/>
  <c r="H100" i="36"/>
  <c r="H101" i="36"/>
  <c r="H102" i="36"/>
  <c r="H103" i="36"/>
  <c r="H104" i="36"/>
  <c r="H105" i="36"/>
  <c r="H106" i="36"/>
  <c r="H107" i="36"/>
  <c r="H108" i="36"/>
  <c r="H109" i="36"/>
  <c r="H110" i="36"/>
  <c r="H111" i="36"/>
  <c r="H112" i="36"/>
  <c r="H113" i="36"/>
  <c r="H114" i="36"/>
  <c r="H115" i="36"/>
  <c r="H116" i="36"/>
  <c r="H117" i="36"/>
  <c r="H118" i="36"/>
  <c r="H119" i="36"/>
  <c r="H120" i="36"/>
  <c r="H121" i="36"/>
  <c r="H122" i="36"/>
  <c r="H123" i="36"/>
  <c r="H124" i="36"/>
  <c r="H125" i="36"/>
  <c r="H126" i="36"/>
  <c r="H127" i="36"/>
  <c r="H128" i="36"/>
  <c r="H129" i="36"/>
  <c r="H130" i="36"/>
  <c r="H131" i="36"/>
  <c r="H132" i="36"/>
  <c r="H133" i="36"/>
  <c r="H134" i="36"/>
  <c r="H135" i="36"/>
  <c r="H136" i="36"/>
  <c r="H137" i="36"/>
  <c r="H138" i="36"/>
  <c r="H139" i="36"/>
  <c r="H140" i="36"/>
  <c r="H141" i="36"/>
  <c r="H142" i="36"/>
  <c r="H143" i="36"/>
  <c r="H144" i="36"/>
  <c r="H145" i="36"/>
  <c r="H146" i="36"/>
  <c r="H147" i="36"/>
  <c r="H148" i="36"/>
  <c r="H149" i="36"/>
  <c r="H150" i="36"/>
  <c r="G86" i="36"/>
  <c r="G87" i="36"/>
  <c r="G88" i="36"/>
  <c r="G89" i="36"/>
  <c r="G90" i="36"/>
  <c r="G91" i="36"/>
  <c r="G92" i="36"/>
  <c r="G93" i="36"/>
  <c r="G94" i="36"/>
  <c r="G95" i="36"/>
  <c r="G96" i="36"/>
  <c r="G97" i="36"/>
  <c r="G98" i="36"/>
  <c r="G99" i="36"/>
  <c r="G100" i="36"/>
  <c r="G101" i="36"/>
  <c r="G102" i="36"/>
  <c r="G103" i="36"/>
  <c r="G104" i="36"/>
  <c r="G105" i="36"/>
  <c r="G106" i="36"/>
  <c r="G107" i="36"/>
  <c r="G108" i="36"/>
  <c r="G109" i="36"/>
  <c r="G110" i="36"/>
  <c r="G111" i="36"/>
  <c r="G112" i="36"/>
  <c r="G113" i="36"/>
  <c r="G114" i="36"/>
  <c r="G115" i="36"/>
  <c r="G116" i="36"/>
  <c r="G117" i="36"/>
  <c r="G118" i="36"/>
  <c r="G119" i="36"/>
  <c r="G120" i="36"/>
  <c r="G121" i="36"/>
  <c r="G122" i="36"/>
  <c r="G123" i="36"/>
  <c r="G124" i="36"/>
  <c r="G125" i="36"/>
  <c r="G126" i="36"/>
  <c r="G127" i="36"/>
  <c r="G128" i="36"/>
  <c r="G129" i="36"/>
  <c r="G130" i="36"/>
  <c r="G131" i="36"/>
  <c r="G132" i="36"/>
  <c r="G133" i="36"/>
  <c r="G134" i="36"/>
  <c r="G135" i="36"/>
  <c r="G136" i="36"/>
  <c r="G137" i="36"/>
  <c r="G138" i="36"/>
  <c r="G139" i="36"/>
  <c r="G140" i="36"/>
  <c r="G141" i="36"/>
  <c r="G142" i="36"/>
  <c r="G143" i="36"/>
  <c r="G144" i="36"/>
  <c r="G145" i="36"/>
  <c r="G146" i="36"/>
  <c r="G147" i="36"/>
  <c r="G148" i="36"/>
  <c r="G149" i="36"/>
  <c r="G150" i="36"/>
  <c r="X11" i="36"/>
  <c r="X12" i="36"/>
  <c r="X13" i="36"/>
  <c r="X14" i="36"/>
  <c r="X15" i="36"/>
  <c r="X16" i="36"/>
  <c r="X17" i="36"/>
  <c r="X18" i="36"/>
  <c r="X19" i="36"/>
  <c r="X21" i="36"/>
  <c r="X22" i="36"/>
  <c r="X23" i="36"/>
  <c r="X24" i="36"/>
  <c r="X53" i="36"/>
  <c r="X54" i="36"/>
  <c r="X55" i="36"/>
  <c r="X56" i="36"/>
  <c r="X57" i="36"/>
  <c r="AH11" i="36"/>
  <c r="AH12" i="36"/>
  <c r="AH13" i="36"/>
  <c r="AH14" i="36"/>
  <c r="AH15" i="36"/>
  <c r="AH16" i="36"/>
  <c r="AH17" i="36"/>
  <c r="AH18" i="36"/>
  <c r="AH19" i="36"/>
  <c r="AH21" i="36"/>
  <c r="AH22" i="36"/>
  <c r="AH23" i="36"/>
  <c r="AH24" i="36"/>
  <c r="AH53" i="36"/>
  <c r="AH54" i="36"/>
  <c r="AH55" i="36"/>
  <c r="AH56" i="36"/>
  <c r="AH57" i="36"/>
  <c r="AH10" i="36"/>
  <c r="AG11" i="36"/>
  <c r="AG12" i="36"/>
  <c r="AG13" i="36"/>
  <c r="AG14" i="36"/>
  <c r="AG15" i="36"/>
  <c r="AG16" i="36"/>
  <c r="AG17" i="36"/>
  <c r="AG18" i="36"/>
  <c r="AG19" i="36"/>
  <c r="AG21" i="36"/>
  <c r="AG22" i="36"/>
  <c r="AG23" i="36"/>
  <c r="AG24" i="36"/>
  <c r="AG53" i="36"/>
  <c r="AG54" i="36"/>
  <c r="AG55" i="36"/>
  <c r="AG56" i="36"/>
  <c r="AG57" i="36"/>
  <c r="AG10" i="36"/>
  <c r="AF11" i="36"/>
  <c r="AF12" i="36"/>
  <c r="AF13" i="36"/>
  <c r="AF14" i="36"/>
  <c r="AF15" i="36"/>
  <c r="AF16" i="36"/>
  <c r="AF17" i="36"/>
  <c r="AF18" i="36"/>
  <c r="AF19" i="36"/>
  <c r="AF21" i="36"/>
  <c r="AF22" i="36"/>
  <c r="AF23" i="36"/>
  <c r="AF24" i="36"/>
  <c r="AF53" i="36"/>
  <c r="AF54" i="36"/>
  <c r="AF55" i="36"/>
  <c r="AF56" i="36"/>
  <c r="AF57" i="36"/>
  <c r="AF10" i="36"/>
  <c r="AE11" i="36"/>
  <c r="AE12" i="36"/>
  <c r="AE13" i="36"/>
  <c r="AE14" i="36"/>
  <c r="AE15" i="36"/>
  <c r="AE16" i="36"/>
  <c r="AE17" i="36"/>
  <c r="AE18" i="36"/>
  <c r="AE19" i="36"/>
  <c r="AE21" i="36"/>
  <c r="AE22" i="36"/>
  <c r="AE23" i="36"/>
  <c r="AE24" i="36"/>
  <c r="AE53" i="36"/>
  <c r="AE54" i="36"/>
  <c r="AE55" i="36"/>
  <c r="AE56" i="36"/>
  <c r="AE57" i="36"/>
  <c r="AE10" i="36"/>
  <c r="AD11" i="36"/>
  <c r="AD12" i="36"/>
  <c r="AD13" i="36"/>
  <c r="AD14" i="36"/>
  <c r="AD15" i="36"/>
  <c r="AD16" i="36"/>
  <c r="AD17" i="36"/>
  <c r="AD18" i="36"/>
  <c r="AD19" i="36"/>
  <c r="AD21" i="36"/>
  <c r="AD22" i="36"/>
  <c r="AD23" i="36"/>
  <c r="AD24" i="36"/>
  <c r="AD53" i="36"/>
  <c r="AD54" i="36"/>
  <c r="AD55" i="36"/>
  <c r="AD56" i="36"/>
  <c r="AD57" i="36"/>
  <c r="AD10" i="36"/>
  <c r="AC11" i="36"/>
  <c r="AC12" i="36"/>
  <c r="AC13" i="36"/>
  <c r="AC14" i="36"/>
  <c r="AC15" i="36"/>
  <c r="AC16" i="36"/>
  <c r="AC17" i="36"/>
  <c r="AC18" i="36"/>
  <c r="AC19" i="36"/>
  <c r="AC21" i="36"/>
  <c r="AC22" i="36"/>
  <c r="AC23" i="36"/>
  <c r="AC24" i="36"/>
  <c r="AC53" i="36"/>
  <c r="AC54" i="36"/>
  <c r="AC55" i="36"/>
  <c r="AC56" i="36"/>
  <c r="AC57" i="36"/>
  <c r="AC10" i="36"/>
  <c r="AB11" i="36"/>
  <c r="AB12" i="36"/>
  <c r="AB13" i="36"/>
  <c r="AB14" i="36"/>
  <c r="AB15" i="36"/>
  <c r="AB16" i="36"/>
  <c r="AB17" i="36"/>
  <c r="AB18" i="36"/>
  <c r="AB19" i="36"/>
  <c r="AB21" i="36"/>
  <c r="AB22" i="36"/>
  <c r="AB23" i="36"/>
  <c r="AB24" i="36"/>
  <c r="AB53" i="36"/>
  <c r="AB54" i="36"/>
  <c r="AB55" i="36"/>
  <c r="AB56" i="36"/>
  <c r="AB57" i="36"/>
  <c r="AB10" i="36"/>
  <c r="AA11" i="36"/>
  <c r="AA12" i="36"/>
  <c r="AA13" i="36"/>
  <c r="AA14" i="36"/>
  <c r="AA15" i="36"/>
  <c r="AA16" i="36"/>
  <c r="AA17" i="36"/>
  <c r="AA18" i="36"/>
  <c r="AA19" i="36"/>
  <c r="AA21" i="36"/>
  <c r="AA22" i="36"/>
  <c r="AA23" i="36"/>
  <c r="AA24" i="36"/>
  <c r="AA53" i="36"/>
  <c r="AA54" i="36"/>
  <c r="AA55" i="36"/>
  <c r="AA56" i="36"/>
  <c r="AA57" i="36"/>
  <c r="AA10" i="36"/>
  <c r="Z11" i="36"/>
  <c r="Z12" i="36"/>
  <c r="Z13" i="36"/>
  <c r="Z14" i="36"/>
  <c r="Z15" i="36"/>
  <c r="Z16" i="36"/>
  <c r="Z17" i="36"/>
  <c r="Z18" i="36"/>
  <c r="Z19" i="36"/>
  <c r="Z21" i="36"/>
  <c r="Z22" i="36"/>
  <c r="Z23" i="36"/>
  <c r="Z24" i="36"/>
  <c r="Z53" i="36"/>
  <c r="Z54" i="36"/>
  <c r="Z55" i="36"/>
  <c r="Z56" i="36"/>
  <c r="Z57" i="36"/>
  <c r="Z10" i="36"/>
  <c r="X10" i="36"/>
  <c r="W11" i="36"/>
  <c r="W12" i="36"/>
  <c r="W13" i="36"/>
  <c r="W14" i="36"/>
  <c r="W15" i="36"/>
  <c r="W16" i="36"/>
  <c r="W17" i="36"/>
  <c r="W18" i="36"/>
  <c r="W19" i="36"/>
  <c r="W21" i="36"/>
  <c r="W22" i="36"/>
  <c r="W23" i="36"/>
  <c r="W24" i="36"/>
  <c r="W53" i="36"/>
  <c r="W54" i="36"/>
  <c r="W55" i="36"/>
  <c r="W56" i="36"/>
  <c r="W57" i="36"/>
  <c r="W10" i="36"/>
  <c r="V11" i="36"/>
  <c r="V12" i="36"/>
  <c r="V13" i="36"/>
  <c r="V14" i="36"/>
  <c r="V15" i="36"/>
  <c r="V16" i="36"/>
  <c r="V17" i="36"/>
  <c r="V18" i="36"/>
  <c r="V19" i="36"/>
  <c r="V21" i="36"/>
  <c r="V22" i="36"/>
  <c r="V23" i="36"/>
  <c r="V24" i="36"/>
  <c r="V53" i="36"/>
  <c r="V54" i="36"/>
  <c r="V55" i="36"/>
  <c r="V56" i="36"/>
  <c r="V57" i="36"/>
  <c r="V10" i="36"/>
  <c r="U11" i="36"/>
  <c r="U12" i="36"/>
  <c r="U13" i="36"/>
  <c r="U14" i="36"/>
  <c r="U15" i="36"/>
  <c r="U16" i="36"/>
  <c r="U17" i="36"/>
  <c r="U18" i="36"/>
  <c r="U19" i="36"/>
  <c r="U21" i="36"/>
  <c r="U22" i="36"/>
  <c r="U23" i="36"/>
  <c r="U24" i="36"/>
  <c r="U53" i="36"/>
  <c r="U54" i="36"/>
  <c r="U55" i="36"/>
  <c r="U56" i="36"/>
  <c r="U57" i="36"/>
  <c r="U10" i="36"/>
  <c r="T11" i="36"/>
  <c r="T12" i="36"/>
  <c r="T13" i="36"/>
  <c r="T14" i="36"/>
  <c r="T15" i="36"/>
  <c r="T16" i="36"/>
  <c r="T17" i="36"/>
  <c r="T18" i="36"/>
  <c r="T19" i="36"/>
  <c r="T21" i="36"/>
  <c r="T22" i="36"/>
  <c r="T23" i="36"/>
  <c r="T24" i="36"/>
  <c r="T53" i="36"/>
  <c r="T54" i="36"/>
  <c r="T55" i="36"/>
  <c r="T56" i="36"/>
  <c r="T57" i="36"/>
  <c r="T10" i="36"/>
  <c r="S11" i="36"/>
  <c r="S12" i="36"/>
  <c r="S13" i="36"/>
  <c r="S14" i="36"/>
  <c r="S15" i="36"/>
  <c r="S16" i="36"/>
  <c r="S17" i="36"/>
  <c r="S18" i="36"/>
  <c r="S19" i="36"/>
  <c r="S21" i="36"/>
  <c r="S22" i="36"/>
  <c r="S23" i="36"/>
  <c r="S24" i="36"/>
  <c r="S53" i="36"/>
  <c r="S54" i="36"/>
  <c r="S55" i="36"/>
  <c r="S56" i="36"/>
  <c r="S57" i="36"/>
  <c r="S10" i="36"/>
  <c r="R11" i="36"/>
  <c r="R12" i="36"/>
  <c r="R13" i="36"/>
  <c r="R14" i="36"/>
  <c r="R15" i="36"/>
  <c r="R16" i="36"/>
  <c r="R17" i="36"/>
  <c r="R18" i="36"/>
  <c r="R19" i="36"/>
  <c r="R21" i="36"/>
  <c r="R22" i="36"/>
  <c r="R23" i="36"/>
  <c r="R24" i="36"/>
  <c r="R53" i="36"/>
  <c r="R54" i="36"/>
  <c r="R55" i="36"/>
  <c r="R56" i="36"/>
  <c r="R57" i="36"/>
  <c r="R10" i="36"/>
  <c r="Q11" i="36"/>
  <c r="Q12" i="36"/>
  <c r="Q13" i="36"/>
  <c r="Q14" i="36"/>
  <c r="Q15" i="36"/>
  <c r="Q16" i="36"/>
  <c r="Q17" i="36"/>
  <c r="Q18" i="36"/>
  <c r="Q19" i="36"/>
  <c r="Q21" i="36"/>
  <c r="Q22" i="36"/>
  <c r="Q23" i="36"/>
  <c r="Q24" i="36"/>
  <c r="Q53" i="36"/>
  <c r="Q54" i="36"/>
  <c r="Q55" i="36"/>
  <c r="Q56" i="36"/>
  <c r="Q57" i="36"/>
  <c r="Q10" i="36"/>
  <c r="P11" i="36"/>
  <c r="P12" i="36"/>
  <c r="P13" i="36"/>
  <c r="P14" i="36"/>
  <c r="P15" i="36"/>
  <c r="P16" i="36"/>
  <c r="P17" i="36"/>
  <c r="P18" i="36"/>
  <c r="P19" i="36"/>
  <c r="P21" i="36"/>
  <c r="P22" i="36"/>
  <c r="P23" i="36"/>
  <c r="P24" i="36"/>
  <c r="P53" i="36"/>
  <c r="P54" i="36"/>
  <c r="P55" i="36"/>
  <c r="P56" i="36"/>
  <c r="P57" i="36"/>
  <c r="P10" i="36"/>
  <c r="O11" i="36"/>
  <c r="O12" i="36"/>
  <c r="O13" i="36"/>
  <c r="O14" i="36"/>
  <c r="O15" i="36"/>
  <c r="O16" i="36"/>
  <c r="O17" i="36"/>
  <c r="O18" i="36"/>
  <c r="O19" i="36"/>
  <c r="O21" i="36"/>
  <c r="O22" i="36"/>
  <c r="O23" i="36"/>
  <c r="O24" i="36"/>
  <c r="O53" i="36"/>
  <c r="O54" i="36"/>
  <c r="O55" i="36"/>
  <c r="O56" i="36"/>
  <c r="O57" i="36"/>
  <c r="O10" i="36"/>
  <c r="N11" i="36"/>
  <c r="N12" i="36"/>
  <c r="N13" i="36"/>
  <c r="N14" i="36"/>
  <c r="N15" i="36"/>
  <c r="N16" i="36"/>
  <c r="N17" i="36"/>
  <c r="N18" i="36"/>
  <c r="N19" i="36"/>
  <c r="N21" i="36"/>
  <c r="N22" i="36"/>
  <c r="N23" i="36"/>
  <c r="N24" i="36"/>
  <c r="N53" i="36"/>
  <c r="N54" i="36"/>
  <c r="N55" i="36"/>
  <c r="N56" i="36"/>
  <c r="N57" i="36"/>
  <c r="N10" i="36"/>
  <c r="M11" i="36"/>
  <c r="M12" i="36"/>
  <c r="M13" i="36"/>
  <c r="M14" i="36"/>
  <c r="M15" i="36"/>
  <c r="M16" i="36"/>
  <c r="M17" i="36"/>
  <c r="M18" i="36"/>
  <c r="M19" i="36"/>
  <c r="M21" i="36"/>
  <c r="M22" i="36"/>
  <c r="M23" i="36"/>
  <c r="M24" i="36"/>
  <c r="M53" i="36"/>
  <c r="M54" i="36"/>
  <c r="M55" i="36"/>
  <c r="M56" i="36"/>
  <c r="M57" i="36"/>
  <c r="M10" i="36"/>
  <c r="L11" i="36"/>
  <c r="L12" i="36"/>
  <c r="L13" i="36"/>
  <c r="L14" i="36"/>
  <c r="L15" i="36"/>
  <c r="L16" i="36"/>
  <c r="L17" i="36"/>
  <c r="L18" i="36"/>
  <c r="L19" i="36"/>
  <c r="L21" i="36"/>
  <c r="L22" i="36"/>
  <c r="L23" i="36"/>
  <c r="L24" i="36"/>
  <c r="L53" i="36"/>
  <c r="L54" i="36"/>
  <c r="L55" i="36"/>
  <c r="L56" i="36"/>
  <c r="L57" i="36"/>
  <c r="L10" i="36"/>
  <c r="K11" i="36"/>
  <c r="K12" i="36"/>
  <c r="K13" i="36"/>
  <c r="K14" i="36"/>
  <c r="K15" i="36"/>
  <c r="K16" i="36"/>
  <c r="K17" i="36"/>
  <c r="K18" i="36"/>
  <c r="K19" i="36"/>
  <c r="K21" i="36"/>
  <c r="K22" i="36"/>
  <c r="K23" i="36"/>
  <c r="K24" i="36"/>
  <c r="K53" i="36"/>
  <c r="K54" i="36"/>
  <c r="K55" i="36"/>
  <c r="K56" i="36"/>
  <c r="K57" i="36"/>
  <c r="K10" i="36"/>
  <c r="J11" i="36"/>
  <c r="J12" i="36"/>
  <c r="J13" i="36"/>
  <c r="J14" i="36"/>
  <c r="J15" i="36"/>
  <c r="J16" i="36"/>
  <c r="J17" i="36"/>
  <c r="J18" i="36"/>
  <c r="J19" i="36"/>
  <c r="J21" i="36"/>
  <c r="J22" i="36"/>
  <c r="J23" i="36"/>
  <c r="J24" i="36"/>
  <c r="J53" i="36"/>
  <c r="J54" i="36"/>
  <c r="J55" i="36"/>
  <c r="J56" i="36"/>
  <c r="J57" i="36"/>
  <c r="J10" i="36"/>
  <c r="I11" i="36"/>
  <c r="I12" i="36"/>
  <c r="I13" i="36"/>
  <c r="I14" i="36"/>
  <c r="I15" i="36"/>
  <c r="I16" i="36"/>
  <c r="I17" i="36"/>
  <c r="I18" i="36"/>
  <c r="I19" i="36"/>
  <c r="I21" i="36"/>
  <c r="I22" i="36"/>
  <c r="I23" i="36"/>
  <c r="I24" i="36"/>
  <c r="I53" i="36"/>
  <c r="I54" i="36"/>
  <c r="I55" i="36"/>
  <c r="I56" i="36"/>
  <c r="I57" i="36"/>
  <c r="I10" i="36"/>
  <c r="H11" i="36"/>
  <c r="H12" i="36"/>
  <c r="H13" i="36"/>
  <c r="H14" i="36"/>
  <c r="H15" i="36"/>
  <c r="H16" i="36"/>
  <c r="H17" i="36"/>
  <c r="H18" i="36"/>
  <c r="H19" i="36"/>
  <c r="H21" i="36"/>
  <c r="H22" i="36"/>
  <c r="H23" i="36"/>
  <c r="H24" i="36"/>
  <c r="H53" i="36"/>
  <c r="H54" i="36"/>
  <c r="H55" i="36"/>
  <c r="H56" i="36"/>
  <c r="H57" i="36"/>
  <c r="H10" i="36"/>
  <c r="G57" i="36"/>
  <c r="G56" i="36"/>
  <c r="G55" i="36"/>
  <c r="G54" i="36"/>
  <c r="G53" i="36"/>
  <c r="G24" i="36"/>
  <c r="G23" i="36"/>
  <c r="G22" i="36"/>
  <c r="G21" i="36"/>
  <c r="G19" i="36"/>
  <c r="G18" i="36"/>
  <c r="G17" i="36"/>
  <c r="G16" i="36"/>
  <c r="G15" i="36"/>
  <c r="G14" i="36"/>
  <c r="G13" i="36"/>
  <c r="G12" i="36"/>
  <c r="G11" i="36"/>
  <c r="G10" i="36"/>
  <c r="AN31" i="36" l="1"/>
  <c r="AQ31" i="36" s="1"/>
  <c r="AN58" i="36"/>
  <c r="AQ58" i="36" s="1"/>
  <c r="AN41" i="36"/>
  <c r="AO41" i="36" s="1"/>
  <c r="AN62" i="36"/>
  <c r="AQ62" i="36" s="1"/>
  <c r="AN68" i="36"/>
  <c r="AQ68" i="36" s="1"/>
  <c r="AN72" i="36"/>
  <c r="AQ72" i="36" s="1"/>
  <c r="AN37" i="36"/>
  <c r="AP37" i="36" s="1"/>
  <c r="AN66" i="36"/>
  <c r="AQ66" i="36" s="1"/>
  <c r="AN74" i="36"/>
  <c r="AQ74" i="36" s="1"/>
  <c r="AN49" i="36"/>
  <c r="AO49" i="36" s="1"/>
  <c r="AN70" i="36"/>
  <c r="AQ70" i="36" s="1"/>
  <c r="AN51" i="36"/>
  <c r="AO51" i="36" s="1"/>
  <c r="AN29" i="36"/>
  <c r="AP29" i="36" s="1"/>
  <c r="AN65" i="36"/>
  <c r="AO65" i="36" s="1"/>
  <c r="AN45" i="36"/>
  <c r="AO45" i="36" s="1"/>
  <c r="AN39" i="36"/>
  <c r="AO39" i="36" s="1"/>
  <c r="AN73" i="36"/>
  <c r="AO73" i="36" s="1"/>
  <c r="AN60" i="36"/>
  <c r="AQ60" i="36" s="1"/>
  <c r="AN76" i="36"/>
  <c r="AQ76" i="36" s="1"/>
  <c r="AN64" i="36"/>
  <c r="AQ64" i="36" s="1"/>
  <c r="AN42" i="36"/>
  <c r="AQ42" i="36" s="1"/>
  <c r="AN50" i="36"/>
  <c r="AQ50" i="36" s="1"/>
  <c r="AN33" i="36"/>
  <c r="AP33" i="36" s="1"/>
  <c r="AN27" i="36"/>
  <c r="AP27" i="36" s="1"/>
  <c r="AN35" i="36"/>
  <c r="AQ35" i="36" s="1"/>
  <c r="AN43" i="36"/>
  <c r="AO43" i="36" s="1"/>
  <c r="AN47" i="36"/>
  <c r="AO47" i="36" s="1"/>
  <c r="AN75" i="36"/>
  <c r="AP75" i="36" s="1"/>
  <c r="AN25" i="36"/>
  <c r="AP25" i="36" s="1"/>
  <c r="AN59" i="36"/>
  <c r="AO59" i="36" s="1"/>
  <c r="AN63" i="36"/>
  <c r="AO63" i="36" s="1"/>
  <c r="AN67" i="36"/>
  <c r="AO67" i="36" s="1"/>
  <c r="AN71" i="36"/>
  <c r="AO71" i="36" s="1"/>
  <c r="AN61" i="36"/>
  <c r="AO61" i="36" s="1"/>
  <c r="AN69" i="36"/>
  <c r="AO69" i="36" s="1"/>
  <c r="AN32" i="36"/>
  <c r="AQ32" i="36" s="1"/>
  <c r="AN48" i="36"/>
  <c r="AQ48" i="36" s="1"/>
  <c r="AN52" i="36"/>
  <c r="AQ52" i="36" s="1"/>
  <c r="AN28" i="36"/>
  <c r="AQ28" i="36" s="1"/>
  <c r="AN36" i="36"/>
  <c r="AQ36" i="36" s="1"/>
  <c r="AN40" i="36"/>
  <c r="AQ40" i="36" s="1"/>
  <c r="AN44" i="36"/>
  <c r="AQ44" i="36" s="1"/>
  <c r="AN26" i="36"/>
  <c r="AO26" i="36" s="1"/>
  <c r="AN30" i="36"/>
  <c r="AO30" i="36" s="1"/>
  <c r="AN34" i="36"/>
  <c r="AO34" i="36" s="1"/>
  <c r="AN38" i="36"/>
  <c r="AO38" i="36" s="1"/>
  <c r="AN46" i="36"/>
  <c r="AQ46" i="36" s="1"/>
  <c r="AN20" i="36"/>
  <c r="AQ20" i="36" s="1"/>
  <c r="AP31" i="36"/>
  <c r="AK57" i="36"/>
  <c r="AM57" i="36"/>
  <c r="AL57" i="36"/>
  <c r="AK55" i="36"/>
  <c r="AM55" i="36"/>
  <c r="AL55" i="36"/>
  <c r="AK53" i="36"/>
  <c r="AM53" i="36"/>
  <c r="AL53" i="36"/>
  <c r="AK23" i="36"/>
  <c r="AM23" i="36"/>
  <c r="AL23" i="36"/>
  <c r="AK21" i="36"/>
  <c r="AM21" i="36"/>
  <c r="AL21" i="36"/>
  <c r="AK18" i="36"/>
  <c r="AM18" i="36"/>
  <c r="AL18" i="36"/>
  <c r="AK16" i="36"/>
  <c r="AM16" i="36"/>
  <c r="AL16" i="36"/>
  <c r="AL12" i="36"/>
  <c r="AK12" i="36"/>
  <c r="AM12" i="36"/>
  <c r="AM10" i="36"/>
  <c r="AK10" i="36"/>
  <c r="AL10" i="36"/>
  <c r="AL56" i="36"/>
  <c r="AK56" i="36"/>
  <c r="AM56" i="36"/>
  <c r="AL54" i="36"/>
  <c r="AK54" i="36"/>
  <c r="AM54" i="36"/>
  <c r="AL24" i="36"/>
  <c r="AK24" i="36"/>
  <c r="AM24" i="36"/>
  <c r="AL22" i="36"/>
  <c r="AK22" i="36"/>
  <c r="AM22" i="36"/>
  <c r="AL19" i="36"/>
  <c r="AK19" i="36"/>
  <c r="AM19" i="36"/>
  <c r="AL17" i="36"/>
  <c r="AK17" i="36"/>
  <c r="AM17" i="36"/>
  <c r="AL15" i="36"/>
  <c r="AK15" i="36"/>
  <c r="AM15" i="36"/>
  <c r="AK13" i="36"/>
  <c r="AM13" i="36"/>
  <c r="AL13" i="36"/>
  <c r="AK11" i="36"/>
  <c r="AM11" i="36"/>
  <c r="AL11" i="36"/>
  <c r="AL14" i="36"/>
  <c r="AK14" i="36"/>
  <c r="AM14" i="36"/>
  <c r="AO31" i="36" l="1"/>
  <c r="AO58" i="36"/>
  <c r="AO68" i="36"/>
  <c r="AO29" i="36"/>
  <c r="AQ41" i="36"/>
  <c r="AP58" i="36"/>
  <c r="AP32" i="36"/>
  <c r="AO64" i="36"/>
  <c r="AO20" i="36"/>
  <c r="AO62" i="36"/>
  <c r="AO74" i="36"/>
  <c r="AP41" i="36"/>
  <c r="AQ69" i="36"/>
  <c r="AP65" i="36"/>
  <c r="AQ65" i="36"/>
  <c r="AP49" i="36"/>
  <c r="AO37" i="36"/>
  <c r="AO72" i="36"/>
  <c r="AP43" i="36"/>
  <c r="AQ61" i="36"/>
  <c r="AO60" i="36"/>
  <c r="AP52" i="36"/>
  <c r="AQ49" i="36"/>
  <c r="AP62" i="36"/>
  <c r="AO28" i="36"/>
  <c r="AP47" i="36"/>
  <c r="AO33" i="36"/>
  <c r="AP69" i="36"/>
  <c r="AO46" i="36"/>
  <c r="AP74" i="36"/>
  <c r="AQ29" i="36"/>
  <c r="AP72" i="36"/>
  <c r="AQ37" i="36"/>
  <c r="AP45" i="36"/>
  <c r="AQ47" i="36"/>
  <c r="AO70" i="36"/>
  <c r="AP63" i="36"/>
  <c r="AQ63" i="36"/>
  <c r="AQ45" i="36"/>
  <c r="AP70" i="36"/>
  <c r="AP68" i="36"/>
  <c r="AQ67" i="36"/>
  <c r="AQ51" i="36"/>
  <c r="AP51" i="36"/>
  <c r="AO66" i="36"/>
  <c r="AP66" i="36"/>
  <c r="AP67" i="36"/>
  <c r="AQ39" i="36"/>
  <c r="AP39" i="36"/>
  <c r="AQ73" i="36"/>
  <c r="AP73" i="36"/>
  <c r="AQ71" i="36"/>
  <c r="AP44" i="36"/>
  <c r="AP61" i="36"/>
  <c r="AQ59" i="36"/>
  <c r="AQ34" i="36"/>
  <c r="AO50" i="36"/>
  <c r="AP59" i="36"/>
  <c r="AQ43" i="36"/>
  <c r="AQ75" i="36"/>
  <c r="AP64" i="36"/>
  <c r="AQ27" i="36"/>
  <c r="AO76" i="36"/>
  <c r="AP76" i="36"/>
  <c r="AQ33" i="36"/>
  <c r="AP71" i="36"/>
  <c r="AO48" i="36"/>
  <c r="AO75" i="36"/>
  <c r="AO27" i="36"/>
  <c r="AP20" i="36"/>
  <c r="AO25" i="36"/>
  <c r="AP48" i="36"/>
  <c r="AP50" i="36"/>
  <c r="AP60" i="36"/>
  <c r="AQ25" i="36"/>
  <c r="AO35" i="36"/>
  <c r="AP30" i="36"/>
  <c r="AO42" i="36"/>
  <c r="AP42" i="36"/>
  <c r="AP35" i="36"/>
  <c r="AO40" i="36"/>
  <c r="AP40" i="36"/>
  <c r="AP46" i="36"/>
  <c r="AO36" i="36"/>
  <c r="AO32" i="36"/>
  <c r="AQ26" i="36"/>
  <c r="AP36" i="36"/>
  <c r="AO44" i="36"/>
  <c r="AO52" i="36"/>
  <c r="AP38" i="36"/>
  <c r="AQ38" i="36"/>
  <c r="AQ30" i="36"/>
  <c r="AP28" i="36"/>
  <c r="AP34" i="36"/>
  <c r="AP26" i="36"/>
  <c r="AN15" i="36"/>
  <c r="AN12" i="36"/>
  <c r="AN13" i="36"/>
  <c r="AQ13" i="36" s="1"/>
  <c r="AN19" i="36"/>
  <c r="AO19" i="36" s="1"/>
  <c r="AN24" i="36"/>
  <c r="AN56" i="36"/>
  <c r="AN18" i="36"/>
  <c r="AN23" i="36"/>
  <c r="AP23" i="36" s="1"/>
  <c r="AN55" i="36"/>
  <c r="AN11" i="36"/>
  <c r="AQ11" i="36" s="1"/>
  <c r="AN17" i="36"/>
  <c r="AN22" i="36"/>
  <c r="AN54" i="36"/>
  <c r="AN10" i="36"/>
  <c r="AP10" i="36" s="1"/>
  <c r="AN16" i="36"/>
  <c r="AN21" i="36"/>
  <c r="AQ21" i="36" s="1"/>
  <c r="AN53" i="36"/>
  <c r="AN57" i="36"/>
  <c r="AN14" i="36"/>
  <c r="AQ23" i="36" l="1"/>
  <c r="AP19" i="36"/>
  <c r="AQ19" i="36"/>
  <c r="AP15" i="36"/>
  <c r="AO15" i="36"/>
  <c r="AQ15" i="36"/>
  <c r="AQ12" i="36"/>
  <c r="AO12" i="36"/>
  <c r="AP12" i="36"/>
  <c r="AO53" i="36"/>
  <c r="AP53" i="36"/>
  <c r="AQ53" i="36"/>
  <c r="AQ54" i="36"/>
  <c r="AO54" i="36"/>
  <c r="AP17" i="36"/>
  <c r="AO17" i="36"/>
  <c r="AO55" i="36"/>
  <c r="AQ55" i="36"/>
  <c r="AP55" i="36"/>
  <c r="AQ10" i="36"/>
  <c r="AQ56" i="36"/>
  <c r="AP56" i="36"/>
  <c r="AO56" i="36"/>
  <c r="AQ24" i="36"/>
  <c r="AO24" i="36"/>
  <c r="AP24" i="36"/>
  <c r="AP13" i="36"/>
  <c r="AO13" i="36"/>
  <c r="AP21" i="36"/>
  <c r="AO21" i="36"/>
  <c r="AO57" i="36"/>
  <c r="AQ57" i="36"/>
  <c r="AP57" i="36"/>
  <c r="AQ16" i="36"/>
  <c r="AO16" i="36"/>
  <c r="AP16" i="36"/>
  <c r="AO10" i="36"/>
  <c r="AO22" i="36"/>
  <c r="AP22" i="36"/>
  <c r="AQ22" i="36"/>
  <c r="AO11" i="36"/>
  <c r="AP11" i="36"/>
  <c r="AO23" i="36"/>
  <c r="AO18" i="36"/>
  <c r="AP18" i="36"/>
  <c r="AQ18" i="36"/>
  <c r="AP54" i="36"/>
  <c r="AQ17" i="36"/>
  <c r="AO14" i="36"/>
  <c r="AP14" i="36"/>
  <c r="AQ14" i="36"/>
  <c r="AB144" i="36" l="1"/>
  <c r="AB116" i="36"/>
  <c r="X116" i="36" l="1"/>
  <c r="Y144" i="36" l="1"/>
  <c r="Y116" i="36"/>
  <c r="G18" i="32" l="1"/>
  <c r="G34" i="33" s="1"/>
  <c r="R150" i="36"/>
  <c r="R82" i="36"/>
  <c r="F34" i="33" l="1"/>
  <c r="J145" i="36"/>
  <c r="J137" i="36"/>
  <c r="J136" i="36"/>
  <c r="J133" i="36"/>
  <c r="J131" i="36"/>
  <c r="J130" i="36"/>
  <c r="J129" i="36"/>
  <c r="J128" i="36"/>
  <c r="J127" i="36"/>
  <c r="J117" i="36"/>
  <c r="J99" i="36"/>
  <c r="J82" i="36" l="1"/>
  <c r="J92" i="36"/>
  <c r="G10" i="32"/>
  <c r="G33" i="33" s="1"/>
  <c r="J121" i="36"/>
  <c r="J140" i="36"/>
  <c r="J104" i="36"/>
  <c r="J116" i="36"/>
  <c r="J146" i="36" l="1"/>
  <c r="J150" i="36" l="1"/>
  <c r="J144" i="36"/>
  <c r="W82" i="36" l="1"/>
  <c r="W150" i="36" l="1"/>
  <c r="D33" i="32"/>
  <c r="C34" i="33" s="1"/>
  <c r="T150" i="36" l="1"/>
  <c r="T82" i="36"/>
  <c r="D20" i="32" l="1"/>
  <c r="C33" i="33" s="1"/>
  <c r="D27" i="32" l="1"/>
  <c r="C15" i="33" s="1"/>
  <c r="K75" i="1" l="1"/>
  <c r="J75" i="1"/>
  <c r="I75" i="1"/>
  <c r="G75" i="1"/>
  <c r="K74" i="1"/>
  <c r="J74" i="1"/>
  <c r="I74" i="1"/>
  <c r="G74" i="1"/>
  <c r="I73" i="1"/>
  <c r="I71" i="1"/>
  <c r="G71" i="1"/>
  <c r="K70" i="1"/>
  <c r="I69" i="1"/>
  <c r="G69" i="1"/>
  <c r="J68" i="1"/>
  <c r="I68" i="1"/>
  <c r="G68" i="1"/>
  <c r="J67" i="1"/>
  <c r="K66" i="1"/>
  <c r="K65" i="1"/>
  <c r="J65" i="1"/>
  <c r="I65" i="1"/>
  <c r="G65" i="1"/>
  <c r="K64" i="1"/>
  <c r="J64" i="1"/>
  <c r="I64" i="1"/>
  <c r="G64" i="1"/>
  <c r="I63" i="1"/>
  <c r="I60" i="1"/>
  <c r="G60" i="1"/>
  <c r="J58" i="1"/>
  <c r="G57" i="1"/>
  <c r="J52" i="1"/>
  <c r="I52" i="1"/>
  <c r="J51" i="1"/>
  <c r="I51" i="1"/>
  <c r="G51" i="1"/>
  <c r="J50" i="1"/>
  <c r="J49" i="1"/>
  <c r="J48" i="1"/>
  <c r="I48" i="1"/>
  <c r="G48" i="1"/>
  <c r="I46" i="1"/>
  <c r="G46" i="1"/>
  <c r="K42" i="1"/>
  <c r="I41" i="1"/>
  <c r="J39" i="1"/>
  <c r="I39" i="1"/>
  <c r="G39" i="1"/>
  <c r="J38" i="1"/>
  <c r="I38" i="1"/>
  <c r="G38" i="1"/>
  <c r="J37" i="1"/>
  <c r="G37" i="1"/>
  <c r="J36" i="1"/>
  <c r="G36" i="1"/>
  <c r="J34" i="1"/>
  <c r="I33" i="1"/>
  <c r="J31" i="1"/>
  <c r="J29" i="1"/>
  <c r="J26" i="1"/>
  <c r="K25" i="1"/>
  <c r="J24" i="1"/>
  <c r="I24" i="1"/>
  <c r="G24" i="1"/>
  <c r="G23" i="1"/>
  <c r="I22" i="1"/>
  <c r="I21" i="1"/>
  <c r="G21" i="1"/>
  <c r="J20" i="1"/>
  <c r="J19" i="1"/>
  <c r="I19" i="1"/>
  <c r="I18" i="1"/>
  <c r="I17" i="1"/>
  <c r="G17" i="1"/>
  <c r="J16" i="1"/>
  <c r="G16" i="1"/>
  <c r="J15" i="1"/>
  <c r="I15" i="1"/>
  <c r="J13" i="1"/>
  <c r="G12" i="1"/>
  <c r="J10" i="1"/>
  <c r="G10" i="1"/>
  <c r="J9" i="1"/>
  <c r="I9" i="1"/>
  <c r="G9" i="1"/>
  <c r="K8" i="1"/>
  <c r="AI148" i="36" l="1"/>
  <c r="AI149" i="36"/>
  <c r="AI84" i="36"/>
  <c r="AI83" i="36"/>
  <c r="AI90" i="36"/>
  <c r="AI112" i="36"/>
  <c r="AI122" i="36"/>
  <c r="AI98" i="36"/>
  <c r="AI110" i="36"/>
  <c r="AI111" i="36"/>
  <c r="AI113" i="36"/>
  <c r="AI125" i="36"/>
  <c r="AI138" i="36"/>
  <c r="AI139" i="36"/>
  <c r="AI142" i="36"/>
  <c r="J33" i="1"/>
  <c r="I37" i="1" l="1"/>
  <c r="J41" i="1"/>
  <c r="I58" i="1"/>
  <c r="I67" i="1"/>
  <c r="J69" i="1"/>
  <c r="AI143" i="36" s="1"/>
  <c r="D34" i="32" l="1"/>
  <c r="C16" i="33" s="1"/>
  <c r="I23" i="1" l="1"/>
  <c r="J61" i="1" l="1"/>
  <c r="AF82" i="36"/>
  <c r="J45" i="1"/>
  <c r="AF150" i="36"/>
  <c r="D32" i="32" l="1"/>
  <c r="C12" i="33" s="1"/>
  <c r="G62" i="1"/>
  <c r="AE82" i="36" l="1"/>
  <c r="G54" i="1"/>
  <c r="AE150" i="36" l="1"/>
  <c r="D30" i="32"/>
  <c r="C30" i="33" s="1"/>
  <c r="D31" i="32" l="1"/>
  <c r="C14" i="33" s="1"/>
  <c r="G67" i="1"/>
  <c r="AI141" i="36" s="1"/>
  <c r="G52" i="1"/>
  <c r="AI126" i="36" s="1"/>
  <c r="G45" i="1"/>
  <c r="AI119" i="36" s="1"/>
  <c r="G41" i="1"/>
  <c r="AI115" i="36" s="1"/>
  <c r="I40" i="1"/>
  <c r="G40" i="1"/>
  <c r="G35" i="1"/>
  <c r="G22" i="1"/>
  <c r="G18" i="1"/>
  <c r="AB82" i="36" l="1"/>
  <c r="AB150" i="36"/>
  <c r="G28" i="32" l="1"/>
  <c r="G26" i="33" s="1"/>
  <c r="D28" i="32"/>
  <c r="C17" i="33" s="1"/>
  <c r="D29" i="32"/>
  <c r="C7" i="33" s="1"/>
  <c r="D26" i="32"/>
  <c r="C29" i="33" s="1"/>
  <c r="X82" i="36"/>
  <c r="X150" i="36" l="1"/>
  <c r="F26" i="33" l="1"/>
  <c r="E38" i="32"/>
  <c r="E37" i="32"/>
  <c r="E39" i="32" l="1"/>
  <c r="D24" i="32"/>
  <c r="C19" i="33" s="1"/>
  <c r="G50" i="1"/>
  <c r="AI124" i="36" s="1"/>
  <c r="I32" i="1" l="1"/>
  <c r="G63" i="1"/>
  <c r="I14" i="1"/>
  <c r="D23" i="32" l="1"/>
  <c r="C24" i="33" s="1"/>
  <c r="D22" i="32" l="1"/>
  <c r="C18" i="33" s="1"/>
  <c r="D21" i="32" l="1"/>
  <c r="C28" i="33" s="1"/>
  <c r="S82" i="36" l="1"/>
  <c r="G19" i="32"/>
  <c r="G27" i="33" s="1"/>
  <c r="S150" i="36" l="1"/>
  <c r="D19" i="32" l="1"/>
  <c r="C25" i="33" s="1"/>
  <c r="D17" i="32"/>
  <c r="C9" i="33" s="1"/>
  <c r="G58" i="1"/>
  <c r="AI132" i="36" s="1"/>
  <c r="G43" i="1"/>
  <c r="G30" i="1"/>
  <c r="G28" i="1"/>
  <c r="G20" i="1"/>
  <c r="AI94" i="36" s="1"/>
  <c r="G19" i="1"/>
  <c r="AI93" i="36" s="1"/>
  <c r="G15" i="1"/>
  <c r="AI89" i="36" s="1"/>
  <c r="D16" i="32" l="1"/>
  <c r="C10" i="33" s="1"/>
  <c r="O82" i="36" l="1"/>
  <c r="J11" i="1"/>
  <c r="O150" i="36" l="1"/>
  <c r="I44" i="1"/>
  <c r="G61" i="1"/>
  <c r="AI135" i="36" s="1"/>
  <c r="D15" i="32" l="1"/>
  <c r="C23" i="33" s="1"/>
  <c r="N150" i="36"/>
  <c r="D14" i="32" l="1"/>
  <c r="C26" i="33" s="1"/>
  <c r="J40" i="1"/>
  <c r="AI114" i="36" s="1"/>
  <c r="J28" i="1"/>
  <c r="AI102" i="36" s="1"/>
  <c r="I62" i="1" l="1"/>
  <c r="D13" i="32"/>
  <c r="C27" i="33" s="1"/>
  <c r="I36" i="1"/>
  <c r="L82" i="36" l="1"/>
  <c r="I28" i="1"/>
  <c r="I54" i="1"/>
  <c r="J47" i="1"/>
  <c r="G47" i="1"/>
  <c r="J46" i="1"/>
  <c r="AI120" i="36" s="1"/>
  <c r="J35" i="1"/>
  <c r="AI109" i="36" s="1"/>
  <c r="J23" i="1"/>
  <c r="AI97" i="36" s="1"/>
  <c r="J21" i="1"/>
  <c r="AI95" i="36" s="1"/>
  <c r="J12" i="1"/>
  <c r="AI86" i="36" s="1"/>
  <c r="AI121" i="36" l="1"/>
  <c r="L150" i="36"/>
  <c r="I59" i="1"/>
  <c r="I16" i="1"/>
  <c r="J32" i="1"/>
  <c r="I34" i="1"/>
  <c r="G53" i="1"/>
  <c r="J17" i="1"/>
  <c r="AI91" i="36" s="1"/>
  <c r="G27" i="1"/>
  <c r="I31" i="1"/>
  <c r="G73" i="1"/>
  <c r="D12" i="32" l="1"/>
  <c r="C11" i="33" s="1"/>
  <c r="D11" i="32"/>
  <c r="C13" i="33" s="1"/>
  <c r="I35" i="1"/>
  <c r="I61" i="1" l="1"/>
  <c r="J57" i="1"/>
  <c r="AI131" i="36" s="1"/>
  <c r="J53" i="1"/>
  <c r="AI127" i="36" s="1"/>
  <c r="J43" i="1"/>
  <c r="AI117" i="36" s="1"/>
  <c r="J30" i="1"/>
  <c r="AI104" i="36" s="1"/>
  <c r="I53" i="1" l="1"/>
  <c r="J54" i="1"/>
  <c r="AI128" i="36" s="1"/>
  <c r="G72" i="1"/>
  <c r="J55" i="1"/>
  <c r="I57" i="1"/>
  <c r="D10" i="32"/>
  <c r="C20" i="33" s="1"/>
  <c r="I72" i="1"/>
  <c r="I30" i="1" l="1"/>
  <c r="G9" i="32" l="1"/>
  <c r="G11" i="33" l="1"/>
  <c r="G38" i="32"/>
  <c r="G37" i="32"/>
  <c r="I150" i="36"/>
  <c r="I82" i="36"/>
  <c r="D9" i="32"/>
  <c r="C35" i="33" s="1"/>
  <c r="G39" i="32" l="1"/>
  <c r="D8" i="32" l="1"/>
  <c r="C21" i="33" s="1"/>
  <c r="G29" i="1" l="1"/>
  <c r="AI103" i="36" s="1"/>
  <c r="I26" i="1"/>
  <c r="I20" i="1"/>
  <c r="G13" i="1"/>
  <c r="AI87" i="36" s="1"/>
  <c r="I12" i="1"/>
  <c r="I10" i="1" l="1"/>
  <c r="J14" i="1"/>
  <c r="G14" i="1"/>
  <c r="J18" i="1"/>
  <c r="AI92" i="36" s="1"/>
  <c r="G11" i="1"/>
  <c r="AI85" i="36" s="1"/>
  <c r="J22" i="1"/>
  <c r="AI96" i="36" s="1"/>
  <c r="I43" i="1"/>
  <c r="I45" i="1"/>
  <c r="I47" i="1"/>
  <c r="I49" i="1"/>
  <c r="G49" i="1"/>
  <c r="AI123" i="36" s="1"/>
  <c r="G55" i="1"/>
  <c r="AI129" i="36" s="1"/>
  <c r="G59" i="1"/>
  <c r="J63" i="1"/>
  <c r="AI137" i="36" s="1"/>
  <c r="J72" i="1"/>
  <c r="AI146" i="36" s="1"/>
  <c r="I27" i="1"/>
  <c r="J27" i="1"/>
  <c r="AI101" i="36" s="1"/>
  <c r="G44" i="1"/>
  <c r="I50" i="1"/>
  <c r="G56" i="1"/>
  <c r="J60" i="1"/>
  <c r="AI134" i="36" s="1"/>
  <c r="J62" i="1"/>
  <c r="AI136" i="36" s="1"/>
  <c r="J71" i="1"/>
  <c r="AI145" i="36" s="1"/>
  <c r="J73" i="1"/>
  <c r="AI147" i="36" s="1"/>
  <c r="AI88" i="36" l="1"/>
  <c r="J56" i="1"/>
  <c r="AI130" i="36" s="1"/>
  <c r="J59" i="1"/>
  <c r="AI133" i="36" s="1"/>
  <c r="I29" i="1"/>
  <c r="I13" i="1"/>
  <c r="I55" i="1"/>
  <c r="I11" i="1"/>
  <c r="I56" i="1" l="1"/>
  <c r="G34" i="1"/>
  <c r="AI108" i="36" s="1"/>
  <c r="G33" i="1"/>
  <c r="AI107" i="36" s="1"/>
  <c r="G32" i="1"/>
  <c r="AI106" i="36" s="1"/>
  <c r="G31" i="1"/>
  <c r="AI105" i="36" s="1"/>
  <c r="G26" i="1"/>
  <c r="AI100" i="36" s="1"/>
  <c r="D7" i="32" l="1"/>
  <c r="C31" i="33" s="1"/>
  <c r="J44" i="1"/>
  <c r="AI118" i="36" s="1"/>
  <c r="K73" i="1"/>
  <c r="K72" i="1"/>
  <c r="K71" i="1"/>
  <c r="J70" i="1"/>
  <c r="I70" i="1"/>
  <c r="G70" i="1"/>
  <c r="K69" i="1"/>
  <c r="K68" i="1"/>
  <c r="K67" i="1"/>
  <c r="J66" i="1"/>
  <c r="I66" i="1"/>
  <c r="G66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3" i="1"/>
  <c r="J42" i="1"/>
  <c r="G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J25" i="1"/>
  <c r="I25" i="1"/>
  <c r="G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Y150" i="36" l="1"/>
  <c r="Y82" i="36"/>
  <c r="AI116" i="36"/>
  <c r="AI140" i="36"/>
  <c r="AI144" i="36"/>
  <c r="AI99" i="36"/>
  <c r="K44" i="1"/>
  <c r="J76" i="1"/>
  <c r="G76" i="1"/>
  <c r="I76" i="1"/>
  <c r="I83" i="1" s="1"/>
  <c r="I8" i="1"/>
  <c r="J8" i="1"/>
  <c r="G8" i="1"/>
  <c r="J18" i="33" l="1"/>
  <c r="E35" i="32"/>
  <c r="J35" i="32" s="1"/>
  <c r="K18" i="33" s="1"/>
  <c r="G35" i="32"/>
  <c r="G21" i="33" s="1"/>
  <c r="AI82" i="36"/>
  <c r="AI150" i="36"/>
  <c r="D25" i="32"/>
  <c r="C32" i="33" s="1"/>
  <c r="D18" i="32"/>
  <c r="J77" i="1"/>
  <c r="I77" i="1"/>
  <c r="K76" i="1"/>
  <c r="F21" i="33" l="1"/>
  <c r="C8" i="33"/>
  <c r="D38" i="32"/>
  <c r="D37" i="32"/>
  <c r="D35" i="32"/>
  <c r="C22" i="33" s="1"/>
  <c r="D39" i="3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Nieto, Eve</author>
  </authors>
  <commentList>
    <comment ref="F6" authorId="0" shapeId="0" xr:uid="{ED6B97D1-C865-4DB4-ABF3-1A9B12E6D5D6}">
      <text>
        <r>
          <rPr>
            <b/>
            <sz val="9"/>
            <color indexed="81"/>
            <rFont val="Tahoma"/>
            <family val="2"/>
          </rPr>
          <t>Nieto, Eve:</t>
        </r>
        <r>
          <rPr>
            <sz val="9"/>
            <color indexed="81"/>
            <rFont val="Tahoma"/>
            <family val="2"/>
          </rPr>
          <t xml:space="preserve">
Source: J:\Daisy\from CCTCMIS\2022-23 FTE-3\CO3F29C Totals
</t>
        </r>
      </text>
    </comment>
    <comment ref="I6" authorId="0" shapeId="0" xr:uid="{2E34E775-3930-4ABB-8B4E-8DAB3D97770E}">
      <text>
        <r>
          <rPr>
            <b/>
            <sz val="9"/>
            <color indexed="81"/>
            <rFont val="Tahoma"/>
            <family val="2"/>
          </rPr>
          <t>Nieto, Eve:</t>
        </r>
        <r>
          <rPr>
            <sz val="9"/>
            <color indexed="81"/>
            <rFont val="Tahoma"/>
            <family val="2"/>
          </rPr>
          <t xml:space="preserve">
Use PY data from column E.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Florida Department of Education</author>
  </authors>
  <commentList>
    <comment ref="G6" authorId="0" shapeId="0" xr:uid="{00000000-0006-0000-0E00-000001000000}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total dollar amount of expenditures for each line item.</t>
        </r>
      </text>
    </comment>
    <comment ref="H6" authorId="0" shapeId="0" xr:uid="{00000000-0006-0000-0E00-000002000000}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Does this line item include any administrative expenses? Answer Yes, No, or Partial.</t>
        </r>
      </text>
    </comment>
    <comment ref="I6" authorId="0" shapeId="0" xr:uid="{00000000-0006-0000-0E00-000003000000}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portion of the amount entered in column G that represents administrative expense.</t>
        </r>
      </text>
    </comment>
    <comment ref="J6" authorId="0" shapeId="0" xr:uid="{00000000-0006-0000-0E00-000004000000}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portion of the amount entered in column G that does not represent administrative expense.</t>
        </r>
      </text>
    </comment>
    <comment ref="K6" authorId="0" shapeId="0" xr:uid="{00000000-0006-0000-0E00-000005000000}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Columns I plus J must equal Column G</t>
        </r>
      </text>
    </comment>
    <comment ref="L6" authorId="0" shapeId="0" xr:uid="{00000000-0006-0000-0E00-000006000000}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Provide additional details and / or justification for all exclusions.</t>
        </r>
      </text>
    </comment>
    <comment ref="G8" authorId="0" shapeId="0" xr:uid="{00000000-0006-0000-0E00-000007000000}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25" authorId="0" shapeId="0" xr:uid="{00000000-0006-0000-0E00-000008000000}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42" authorId="0" shapeId="0" xr:uid="{00000000-0006-0000-0E00-000009000000}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66" authorId="0" shapeId="0" xr:uid="{00000000-0006-0000-0E00-00000A000000}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70" authorId="0" shapeId="0" xr:uid="{00000000-0006-0000-0E00-00000B000000}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76" authorId="0" shapeId="0" xr:uid="{00000000-0006-0000-0E00-00000C000000}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total amount reported on the CA-2 for Institutional Support. Red shading indicates it does not.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Florida Department of Education</author>
  </authors>
  <commentList>
    <comment ref="G6" authorId="0" shapeId="0" xr:uid="{00000000-0006-0000-0F00-000001000000}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total dollar amount of expenditures for each line item.</t>
        </r>
      </text>
    </comment>
    <comment ref="H6" authorId="0" shapeId="0" xr:uid="{00000000-0006-0000-0F00-000002000000}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Does this line item include any administrative expenses? Answer Yes, No, or Partial.</t>
        </r>
      </text>
    </comment>
    <comment ref="I6" authorId="0" shapeId="0" xr:uid="{00000000-0006-0000-0F00-000003000000}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portion of the amount entered in column G that represents administrative expense.</t>
        </r>
      </text>
    </comment>
    <comment ref="J6" authorId="0" shapeId="0" xr:uid="{00000000-0006-0000-0F00-000004000000}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portion of the amount entered in column G that does not represent administrative expense.</t>
        </r>
      </text>
    </comment>
    <comment ref="K6" authorId="0" shapeId="0" xr:uid="{00000000-0006-0000-0F00-000005000000}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Columns I plus J must equal Column G</t>
        </r>
      </text>
    </comment>
    <comment ref="L6" authorId="0" shapeId="0" xr:uid="{00000000-0006-0000-0F00-000006000000}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Provide additional details and / or justification for all exclusions.</t>
        </r>
      </text>
    </comment>
    <comment ref="G8" authorId="0" shapeId="0" xr:uid="{00000000-0006-0000-0F00-000007000000}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25" authorId="0" shapeId="0" xr:uid="{00000000-0006-0000-0F00-000008000000}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42" authorId="0" shapeId="0" xr:uid="{00000000-0006-0000-0F00-000009000000}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66" authorId="0" shapeId="0" xr:uid="{00000000-0006-0000-0F00-00000A000000}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70" authorId="0" shapeId="0" xr:uid="{00000000-0006-0000-0F00-00000B000000}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76" authorId="0" shapeId="0" xr:uid="{00000000-0006-0000-0F00-00000C000000}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total amount reported on the CA-2 for Institutional Support. Red shading indicates it does not.</t>
        </r>
      </text>
    </comment>
  </commentList>
</comments>
</file>

<file path=xl/comments1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Florida Department of Education</author>
  </authors>
  <commentList>
    <comment ref="G6" authorId="0" shapeId="0" xr:uid="{00000000-0006-0000-1000-000001000000}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total dollar amount of expenditures for each line item.</t>
        </r>
      </text>
    </comment>
    <comment ref="H6" authorId="0" shapeId="0" xr:uid="{00000000-0006-0000-1000-000002000000}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Does this line item include any administrative expenses? Answer Yes, No, or Partial.</t>
        </r>
      </text>
    </comment>
    <comment ref="I6" authorId="0" shapeId="0" xr:uid="{00000000-0006-0000-1000-000003000000}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portion of the amount entered in column G that represents administrative expense.</t>
        </r>
      </text>
    </comment>
    <comment ref="J6" authorId="0" shapeId="0" xr:uid="{00000000-0006-0000-1000-000004000000}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portion of the amount entered in column G that does not represent administrative expense.</t>
        </r>
      </text>
    </comment>
    <comment ref="K6" authorId="0" shapeId="0" xr:uid="{00000000-0006-0000-1000-000005000000}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Columns I plus J must equal Column G</t>
        </r>
      </text>
    </comment>
    <comment ref="L6" authorId="0" shapeId="0" xr:uid="{00000000-0006-0000-1000-000006000000}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Provide additional details and / or justification for all exclusions.</t>
        </r>
      </text>
    </comment>
    <comment ref="G8" authorId="0" shapeId="0" xr:uid="{00000000-0006-0000-1000-000007000000}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25" authorId="0" shapeId="0" xr:uid="{00000000-0006-0000-1000-000008000000}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42" authorId="0" shapeId="0" xr:uid="{00000000-0006-0000-1000-000009000000}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66" authorId="0" shapeId="0" xr:uid="{00000000-0006-0000-1000-00000A000000}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70" authorId="0" shapeId="0" xr:uid="{00000000-0006-0000-1000-00000B000000}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76" authorId="0" shapeId="0" xr:uid="{00000000-0006-0000-1000-00000C000000}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total amount reported on the CA-2 for Institutional Support. Red shading indicates it does not.</t>
        </r>
      </text>
    </comment>
  </commentList>
</comments>
</file>

<file path=xl/comments1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Florida Department of Education</author>
  </authors>
  <commentList>
    <comment ref="G6" authorId="0" shapeId="0" xr:uid="{00000000-0006-0000-1100-000001000000}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total dollar amount of expenditures for each line item.</t>
        </r>
      </text>
    </comment>
    <comment ref="H6" authorId="0" shapeId="0" xr:uid="{00000000-0006-0000-1100-000002000000}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Does this line item include any administrative expenses? Answer Yes, No, or Partial.</t>
        </r>
      </text>
    </comment>
    <comment ref="I6" authorId="0" shapeId="0" xr:uid="{00000000-0006-0000-1100-000003000000}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portion of the amount entered in column G that represents administrative expense.</t>
        </r>
      </text>
    </comment>
    <comment ref="J6" authorId="0" shapeId="0" xr:uid="{00000000-0006-0000-1100-000004000000}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portion of the amount entered in column G that does not represent administrative expense.</t>
        </r>
      </text>
    </comment>
    <comment ref="K6" authorId="0" shapeId="0" xr:uid="{00000000-0006-0000-1100-000005000000}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Columns I plus J must equal Column G</t>
        </r>
      </text>
    </comment>
    <comment ref="L6" authorId="0" shapeId="0" xr:uid="{00000000-0006-0000-1100-000006000000}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Provide additional details and / or justification for all exclusions.</t>
        </r>
      </text>
    </comment>
    <comment ref="G8" authorId="0" shapeId="0" xr:uid="{00000000-0006-0000-1100-000007000000}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25" authorId="0" shapeId="0" xr:uid="{00000000-0006-0000-1100-000008000000}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42" authorId="0" shapeId="0" xr:uid="{00000000-0006-0000-1100-000009000000}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66" authorId="0" shapeId="0" xr:uid="{00000000-0006-0000-1100-00000A000000}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70" authorId="0" shapeId="0" xr:uid="{00000000-0006-0000-1100-00000B000000}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76" authorId="0" shapeId="0" xr:uid="{00000000-0006-0000-1100-00000C000000}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total amount reported on the CA-2 for Institutional Support. Red shading indicates it does not.</t>
        </r>
      </text>
    </comment>
  </commentList>
</comments>
</file>

<file path=xl/comments1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Florida Department of Education</author>
    <author>Ford, Shelly</author>
  </authors>
  <commentList>
    <comment ref="G6" authorId="0" shapeId="0" xr:uid="{00000000-0006-0000-1200-000001000000}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total dollar amount of expenditures for each line item.</t>
        </r>
      </text>
    </comment>
    <comment ref="H6" authorId="0" shapeId="0" xr:uid="{00000000-0006-0000-1200-000002000000}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Does this line item include any administrative expenses? Answer Yes, No, or Partial.</t>
        </r>
      </text>
    </comment>
    <comment ref="I6" authorId="0" shapeId="0" xr:uid="{00000000-0006-0000-1200-000003000000}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portion of the amount entered in column G that represents administrative expense.</t>
        </r>
      </text>
    </comment>
    <comment ref="J6" authorId="0" shapeId="0" xr:uid="{00000000-0006-0000-1200-000004000000}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portion of the amount entered in column G that does not represent administrative expense.</t>
        </r>
      </text>
    </comment>
    <comment ref="K6" authorId="0" shapeId="0" xr:uid="{00000000-0006-0000-1200-000005000000}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Columns I plus J must equal Column G</t>
        </r>
      </text>
    </comment>
    <comment ref="L6" authorId="0" shapeId="0" xr:uid="{00000000-0006-0000-1200-000006000000}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Provide additional details and / or justification for all exclusions.</t>
        </r>
      </text>
    </comment>
    <comment ref="G8" authorId="0" shapeId="0" xr:uid="{00000000-0006-0000-1200-000007000000}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25" authorId="0" shapeId="0" xr:uid="{00000000-0006-0000-1200-000008000000}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42" authorId="0" shapeId="0" xr:uid="{00000000-0006-0000-1200-000009000000}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66" authorId="0" shapeId="0" xr:uid="{00000000-0006-0000-1200-00000A000000}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70" authorId="0" shapeId="0" xr:uid="{00000000-0006-0000-1200-00000B000000}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76" authorId="0" shapeId="0" xr:uid="{00000000-0006-0000-1200-00000C000000}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total amount reported on the CA-2 for Institutional Support. Red shading indicates it does not.</t>
        </r>
      </text>
    </comment>
    <comment ref="I83" authorId="1" shapeId="0" xr:uid="{00000000-0006-0000-1200-00000D000000}">
      <text>
        <r>
          <rPr>
            <b/>
            <sz val="9"/>
            <color indexed="81"/>
            <rFont val="Tahoma"/>
            <family val="2"/>
          </rPr>
          <t>Ford, Shelly:</t>
        </r>
        <r>
          <rPr>
            <sz val="9"/>
            <color indexed="81"/>
            <rFont val="Tahoma"/>
            <family val="2"/>
          </rPr>
          <t xml:space="preserve">
CA2 Detail V121-I203</t>
        </r>
      </text>
    </comment>
  </commentList>
</comments>
</file>

<file path=xl/comments1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Florida Department of Education</author>
  </authors>
  <commentList>
    <comment ref="G6" authorId="0" shapeId="0" xr:uid="{0A3DE0E6-BFE6-46F1-B3AD-7AA6AA794974}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total dollar amount of expenditures for each line item.</t>
        </r>
      </text>
    </comment>
    <comment ref="H6" authorId="0" shapeId="0" xr:uid="{DD762947-54D3-4050-96A8-11A86ED6A3D8}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Does this line item include any administrative expenses? Answer Yes, No, or Partial.</t>
        </r>
      </text>
    </comment>
    <comment ref="I6" authorId="0" shapeId="0" xr:uid="{8862B79E-DFD7-4F5A-A15B-96432A2A3F65}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portion of the amount entered in column G that represents administrative expense.</t>
        </r>
      </text>
    </comment>
    <comment ref="J6" authorId="0" shapeId="0" xr:uid="{5F5072A3-65EB-4926-B4C9-C533FCBD0241}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portion of the amount entered in column G that does not represent administrative expense.</t>
        </r>
      </text>
    </comment>
    <comment ref="K6" authorId="0" shapeId="0" xr:uid="{F571E006-3A69-47CD-8CD6-04B24CF97EB0}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Columns I plus J must equal Column G</t>
        </r>
      </text>
    </comment>
    <comment ref="L6" authorId="0" shapeId="0" xr:uid="{CFEDE61F-90E2-4528-86DB-BB2A433266B1}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Provide additional details and / or justification for all exclusions.</t>
        </r>
      </text>
    </comment>
    <comment ref="G8" authorId="0" shapeId="0" xr:uid="{03257052-F94E-40B6-941F-8997FD7B3235}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25" authorId="0" shapeId="0" xr:uid="{B06CB13A-827D-4E9D-97A6-CD335720AF80}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42" authorId="0" shapeId="0" xr:uid="{CFF943B0-D52C-47A1-B96A-4F1F865AA83C}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66" authorId="0" shapeId="0" xr:uid="{3B7E980A-E0F6-4ECB-BF8A-BB2DE14D0B38}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70" authorId="0" shapeId="0" xr:uid="{35648A15-8BA7-45C1-8AF6-7A69B7CFA433}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76" authorId="0" shapeId="0" xr:uid="{19786EBA-E1C7-4465-88F7-AC17D95F4172}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total amount reported on the CA-2 for Institutional Support. Red shading indicates it does not.</t>
        </r>
      </text>
    </comment>
  </commentList>
</comments>
</file>

<file path=xl/comments1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Florida Department of Education</author>
  </authors>
  <commentList>
    <comment ref="G6" authorId="0" shapeId="0" xr:uid="{00000000-0006-0000-1400-000001000000}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total dollar amount of expenditures for each line item.</t>
        </r>
      </text>
    </comment>
    <comment ref="H6" authorId="0" shapeId="0" xr:uid="{00000000-0006-0000-1400-000002000000}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Does this line item include any administrative expenses? Answer Yes, No, or Partial.</t>
        </r>
      </text>
    </comment>
    <comment ref="I6" authorId="0" shapeId="0" xr:uid="{00000000-0006-0000-1400-000003000000}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portion of the amount entered in column G that represents administrative expense.</t>
        </r>
      </text>
    </comment>
    <comment ref="J6" authorId="0" shapeId="0" xr:uid="{00000000-0006-0000-1400-000004000000}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portion of the amount entered in column G that does not represent administrative expense.</t>
        </r>
      </text>
    </comment>
    <comment ref="K6" authorId="0" shapeId="0" xr:uid="{00000000-0006-0000-1400-000005000000}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Columns I plus J must equal Column G</t>
        </r>
      </text>
    </comment>
    <comment ref="L6" authorId="0" shapeId="0" xr:uid="{00000000-0006-0000-1400-000006000000}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Provide additional details and / or justification for all exclusions.</t>
        </r>
      </text>
    </comment>
    <comment ref="G8" authorId="0" shapeId="0" xr:uid="{00000000-0006-0000-1400-000007000000}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25" authorId="0" shapeId="0" xr:uid="{00000000-0006-0000-1400-000008000000}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42" authorId="0" shapeId="0" xr:uid="{00000000-0006-0000-1400-000009000000}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66" authorId="0" shapeId="0" xr:uid="{00000000-0006-0000-1400-00000A000000}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70" authorId="0" shapeId="0" xr:uid="{00000000-0006-0000-1400-00000B000000}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76" authorId="0" shapeId="0" xr:uid="{00000000-0006-0000-1400-00000C000000}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total amount reported on the CA-2 for Institutional Support. Red shading indicates it does not.</t>
        </r>
      </text>
    </comment>
  </commentList>
</comments>
</file>

<file path=xl/comments1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Florida Department of Education</author>
  </authors>
  <commentList>
    <comment ref="G6" authorId="0" shapeId="0" xr:uid="{728E4667-5B40-42A6-9829-716EA11E731F}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total dollar amount of expenditures for each line item.</t>
        </r>
      </text>
    </comment>
    <comment ref="H6" authorId="0" shapeId="0" xr:uid="{6968AA7B-FFCB-458A-AB24-081542C99FA1}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Does this line item include any administrative expenses? Answer Yes, No, or Partial.</t>
        </r>
      </text>
    </comment>
    <comment ref="I6" authorId="0" shapeId="0" xr:uid="{D0068C50-82D7-49FA-953B-22BAA80985FD}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portion of the amount entered in column G that represents administrative expense.</t>
        </r>
      </text>
    </comment>
    <comment ref="J6" authorId="0" shapeId="0" xr:uid="{A520E9DC-473F-4E9F-B36E-2EAC461AAC40}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portion of the amount entered in column G that does not represent administrative expense.</t>
        </r>
      </text>
    </comment>
    <comment ref="K6" authorId="0" shapeId="0" xr:uid="{53755FFC-D6C5-470E-B084-15953D01DDC4}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Columns I plus J must equal Column G</t>
        </r>
      </text>
    </comment>
    <comment ref="L6" authorId="0" shapeId="0" xr:uid="{78FCA841-AD20-40CB-82CA-DA51CC228E03}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Provide additional details and / or justification for all exclusions.</t>
        </r>
      </text>
    </comment>
    <comment ref="G8" authorId="0" shapeId="0" xr:uid="{B8B834F8-B496-4E19-95C7-B014B8E29DBF}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25" authorId="0" shapeId="0" xr:uid="{E0C126C9-13A0-4535-BB46-1656B6818D9A}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42" authorId="0" shapeId="0" xr:uid="{BA48A08F-4806-4CB0-814B-7750628B033B}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66" authorId="0" shapeId="0" xr:uid="{FF8B2C95-EA99-448F-A5BF-759AC2EF7E18}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70" authorId="0" shapeId="0" xr:uid="{BF034CCB-866D-4871-9828-8158987382F0}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76" authorId="0" shapeId="0" xr:uid="{877DFF11-C144-4354-B573-80CA6FDF7BC3}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total amount reported on the CA-2 for Institutional Support. Red shading indicates it does not.</t>
        </r>
      </text>
    </comment>
  </commentList>
</comments>
</file>

<file path=xl/comments1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Florida Department of Education</author>
  </authors>
  <commentList>
    <comment ref="G6" authorId="0" shapeId="0" xr:uid="{ADB12263-E4BF-49C5-B452-FDB1AC72D42B}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total dollar amount of expenditures for each line item.</t>
        </r>
      </text>
    </comment>
    <comment ref="H6" authorId="0" shapeId="0" xr:uid="{484C918E-0041-4A15-9548-280B219A9FF5}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Does this line item include any administrative expenses? Answer Yes, No, or Partial.</t>
        </r>
      </text>
    </comment>
    <comment ref="I6" authorId="0" shapeId="0" xr:uid="{8525D3DC-628D-4C1C-963A-43DA14C3C61B}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portion of the amount entered in column G that represents administrative expense.</t>
        </r>
      </text>
    </comment>
    <comment ref="J6" authorId="0" shapeId="0" xr:uid="{7B5874D7-2913-4FA6-9B17-9B8513CBA0B2}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portion of the amount entered in column G that does not represent administrative expense.</t>
        </r>
      </text>
    </comment>
    <comment ref="K6" authorId="0" shapeId="0" xr:uid="{184E6905-500A-4182-B5BD-8BDDA03D9D0C}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Columns I plus J must equal Column G</t>
        </r>
      </text>
    </comment>
    <comment ref="L6" authorId="0" shapeId="0" xr:uid="{88AA8BF7-0A23-44F6-83DF-B78875B71D74}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Provide additional details and / or justification for all exclusions.</t>
        </r>
      </text>
    </comment>
    <comment ref="G8" authorId="0" shapeId="0" xr:uid="{2882C4E3-E5EB-4200-906B-0EE1AFCD1E6D}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25" authorId="0" shapeId="0" xr:uid="{C6685D04-30EA-456E-ABED-A20CB412799F}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42" authorId="0" shapeId="0" xr:uid="{44A77DFA-5DD8-4C69-AAB3-4B2255C29102}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66" authorId="0" shapeId="0" xr:uid="{62B733C1-9EDC-4075-BC37-269BFB6C72EF}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70" authorId="0" shapeId="0" xr:uid="{E498BDAA-27C5-4586-9676-8D98BED59D11}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76" authorId="0" shapeId="0" xr:uid="{79F879F4-3D2E-4F5D-B391-BDA062C85298}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total amount reported on the CA-2 for Institutional Support. Red shading indicates it does not.</t>
        </r>
      </text>
    </comment>
  </commentList>
</comments>
</file>

<file path=xl/comments1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Florida Department of Education</author>
  </authors>
  <commentList>
    <comment ref="G6" authorId="0" shapeId="0" xr:uid="{4E61E0DC-0D41-4F61-8F4A-22612154B9DB}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total dollar amount of expenditures for each line item.</t>
        </r>
      </text>
    </comment>
    <comment ref="H6" authorId="0" shapeId="0" xr:uid="{833FFB47-49EB-4F25-8890-7F7C6988D479}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Does this line item include any administrative expenses? Answer Yes, No, or Partial.</t>
        </r>
      </text>
    </comment>
    <comment ref="I6" authorId="0" shapeId="0" xr:uid="{ACB3C450-2833-4C1A-9B79-8532DB1B812C}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portion of the amount entered in column G that represents administrative expense.</t>
        </r>
      </text>
    </comment>
    <comment ref="J6" authorId="0" shapeId="0" xr:uid="{3EAB587B-5644-40F9-9F80-D1463503CDEB}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portion of the amount entered in column G that does not represent administrative expense.</t>
        </r>
      </text>
    </comment>
    <comment ref="K6" authorId="0" shapeId="0" xr:uid="{5B70D215-3EDE-4793-A776-84C1D78B1343}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Columns I plus J must equal Column G</t>
        </r>
      </text>
    </comment>
    <comment ref="L6" authorId="0" shapeId="0" xr:uid="{1470C2F1-C378-4EF7-9D1A-830088CD09F8}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Provide additional details and / or justification for all exclusions.</t>
        </r>
      </text>
    </comment>
    <comment ref="G8" authorId="0" shapeId="0" xr:uid="{20195E6D-9075-4D10-8365-3FA395FA5C8D}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25" authorId="0" shapeId="0" xr:uid="{E19A7F62-8B49-448F-90F7-01A603A17704}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42" authorId="0" shapeId="0" xr:uid="{36ED61AF-1349-40E7-B17E-43FC8D91286E}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66" authorId="0" shapeId="0" xr:uid="{0C3632B7-4CA3-43D2-AE13-E179416FF1C3}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70" authorId="0" shapeId="0" xr:uid="{252B7A0A-A4B9-4495-92C9-F6FA1B2F31D2}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76" authorId="0" shapeId="0" xr:uid="{9C439127-8957-4186-8CD0-BE93D18EF688}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total amount reported on the CA-2 for Institutional Support. Red shading indicates it does not.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Florida Department of Education</author>
  </authors>
  <commentList>
    <comment ref="G6" authorId="0" shapeId="0" xr:uid="{00000000-0006-0000-0600-000001000000}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total dollar amount of expenditures for each line item.</t>
        </r>
      </text>
    </comment>
    <comment ref="H6" authorId="0" shapeId="0" xr:uid="{00000000-0006-0000-0600-000002000000}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Does this line item include any administrative expenses?</t>
        </r>
      </text>
    </comment>
    <comment ref="I6" authorId="0" shapeId="0" xr:uid="{00000000-0006-0000-0600-000003000000}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portion of the amount entered in column G that represents administrative expense.</t>
        </r>
      </text>
    </comment>
    <comment ref="J6" authorId="0" shapeId="0" xr:uid="{00000000-0006-0000-0600-000004000000}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portion of the amount entered in column G that does not represent administrative expense.</t>
        </r>
      </text>
    </comment>
    <comment ref="K6" authorId="0" shapeId="0" xr:uid="{00000000-0006-0000-0600-000005000000}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Columns I plus J must equal Column G</t>
        </r>
      </text>
    </comment>
    <comment ref="L6" authorId="0" shapeId="0" xr:uid="{00000000-0006-0000-0600-000006000000}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Provide any additional details and / or justification.</t>
        </r>
      </text>
    </comment>
  </commentList>
</comments>
</file>

<file path=xl/comments2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Florida Department of Education</author>
  </authors>
  <commentList>
    <comment ref="G6" authorId="0" shapeId="0" xr:uid="{A9A90EEE-5195-4BE4-9BAA-2535D55CB6CE}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total dollar amount of expenditures for each line item.</t>
        </r>
      </text>
    </comment>
    <comment ref="H6" authorId="0" shapeId="0" xr:uid="{E3095DDB-5B5A-4473-ADA4-0A3C7E96B3C0}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Does this line item include any administrative expenses? Answer Yes, No, or Partial.</t>
        </r>
      </text>
    </comment>
    <comment ref="I6" authorId="0" shapeId="0" xr:uid="{2F5E8C86-A352-4690-91B6-E3202DA3DDA0}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portion of the amount entered in column G that represents administrative expense.</t>
        </r>
      </text>
    </comment>
    <comment ref="J6" authorId="0" shapeId="0" xr:uid="{9DD4DD19-D8C9-434F-9866-AAEE7B5C1331}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portion of the amount entered in column G that does not represent administrative expense.</t>
        </r>
      </text>
    </comment>
    <comment ref="K6" authorId="0" shapeId="0" xr:uid="{FF987F0A-DBFC-48BC-ADF7-5C4845F3A284}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Columns I plus J must equal Column G</t>
        </r>
      </text>
    </comment>
    <comment ref="L6" authorId="0" shapeId="0" xr:uid="{3A80D1A3-DA13-4823-BA1A-6982EE50A922}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Provide additional details and / or justification for all exclusions.</t>
        </r>
      </text>
    </comment>
    <comment ref="G8" authorId="0" shapeId="0" xr:uid="{5E60A8B6-C0E1-41C7-B933-D0C05B896B0A}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25" authorId="0" shapeId="0" xr:uid="{ECEA7921-17C4-4A95-82EB-CE652E796882}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42" authorId="0" shapeId="0" xr:uid="{440C3896-8197-49B4-BB7E-8D9BFD8F786E}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66" authorId="0" shapeId="0" xr:uid="{75A28B42-CC85-4EF2-943F-94A734127E4D}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70" authorId="0" shapeId="0" xr:uid="{12990D29-FA26-4CBF-80F1-D8549491AA08}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76" authorId="0" shapeId="0" xr:uid="{C237018F-BC64-45C0-8726-AD764D3BA095}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total amount reported on the CA-2 for Institutional Support. Red shading indicates it does not.</t>
        </r>
      </text>
    </comment>
  </commentList>
</comments>
</file>

<file path=xl/comments2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Florida Department of Education</author>
  </authors>
  <commentList>
    <comment ref="G6" authorId="0" shapeId="0" xr:uid="{57BD790F-0BCD-47AB-B435-7AF03FECF7F5}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total dollar amount of expenditures for each line item.</t>
        </r>
      </text>
    </comment>
    <comment ref="H6" authorId="0" shapeId="0" xr:uid="{3F3BB414-696B-43F1-A75E-9FD6A4D70CF1}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Does this line item include any administrative expenses? Answer Yes, No, or Partial.</t>
        </r>
      </text>
    </comment>
    <comment ref="I6" authorId="0" shapeId="0" xr:uid="{50A45820-87BD-43EA-BBB3-2F657551C5C5}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portion of the amount entered in column G that represents administrative expense.</t>
        </r>
      </text>
    </comment>
    <comment ref="J6" authorId="0" shapeId="0" xr:uid="{DBE8466B-C04B-4FFF-A594-AD7838ABC487}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portion of the amount entered in column G that does not represent administrative expense.</t>
        </r>
      </text>
    </comment>
    <comment ref="K6" authorId="0" shapeId="0" xr:uid="{F4388CC3-53C0-41B9-8AB2-DC70201F1D5C}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Columns I plus J must equal Column G</t>
        </r>
      </text>
    </comment>
    <comment ref="L6" authorId="0" shapeId="0" xr:uid="{D7CA2839-D7D4-4C61-AE18-C092166E2AB0}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Provide additional details and / or justification for all exclusions.</t>
        </r>
      </text>
    </comment>
    <comment ref="G8" authorId="0" shapeId="0" xr:uid="{3B5ADD5D-8B52-482E-B8D0-60A1413E2896}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25" authorId="0" shapeId="0" xr:uid="{E8C57405-0B2C-4689-86D5-7595ED529A28}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42" authorId="0" shapeId="0" xr:uid="{964C0DC9-B898-4F84-B212-2CA367D26A6E}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66" authorId="0" shapeId="0" xr:uid="{4EC8CB44-0DA2-45AA-8FC5-50904E671D2E}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70" authorId="0" shapeId="0" xr:uid="{ABE76C89-62B3-44F1-B30E-1961ED64AF5F}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76" authorId="0" shapeId="0" xr:uid="{0C9F3A98-48C6-41DF-A69E-B562281B8F73}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total amount reported on the CA-2 for Institutional Support. Red shading indicates it does not.</t>
        </r>
      </text>
    </comment>
  </commentList>
</comments>
</file>

<file path=xl/comments2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Florida Department of Education</author>
  </authors>
  <commentList>
    <comment ref="G6" authorId="0" shapeId="0" xr:uid="{4BB6011B-10E8-46F6-8874-4DB0B12DB7B4}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total dollar amount of expenditures for each line item.</t>
        </r>
      </text>
    </comment>
    <comment ref="H6" authorId="0" shapeId="0" xr:uid="{1D7E7044-48E7-400F-B815-C05D07C911DC}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Does this line item include any administrative expenses? Answer Yes, No, or Partial.</t>
        </r>
      </text>
    </comment>
    <comment ref="I6" authorId="0" shapeId="0" xr:uid="{4641B84F-B5D5-4CC6-A2CA-FB296A1767B8}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portion of the amount entered in column G that represents administrative expense.</t>
        </r>
      </text>
    </comment>
    <comment ref="J6" authorId="0" shapeId="0" xr:uid="{0B8EEB8E-A602-471F-A9CC-D94EDF2C50C5}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portion of the amount entered in column G that does not represent administrative expense.</t>
        </r>
      </text>
    </comment>
    <comment ref="K6" authorId="0" shapeId="0" xr:uid="{90ED1576-FD6B-4804-8606-4A219E119551}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Columns I plus J must equal Column G</t>
        </r>
      </text>
    </comment>
    <comment ref="L6" authorId="0" shapeId="0" xr:uid="{8DFBEF30-9D2B-4E5A-B914-A36AEC292341}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Provide additional details and / or justification for all exclusions.</t>
        </r>
      </text>
    </comment>
    <comment ref="G8" authorId="0" shapeId="0" xr:uid="{A214CCBF-9A99-4DF6-9212-A66C035DA6B3}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25" authorId="0" shapeId="0" xr:uid="{C93233F4-E9F8-4B0B-9F6D-07F1DD65C346}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42" authorId="0" shapeId="0" xr:uid="{53332FD4-9BA6-48E5-9D6C-04D591317855}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66" authorId="0" shapeId="0" xr:uid="{1A18B813-E841-4530-B694-45014EB2A1A0}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70" authorId="0" shapeId="0" xr:uid="{7D958C89-BF1B-48D8-90A5-3BE70B31114D}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76" authorId="0" shapeId="0" xr:uid="{4D6E4701-C817-437B-9415-EEA4CA2DE82F}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total amount reported on the CA-2 for Institutional Support. Red shading indicates it does not.</t>
        </r>
      </text>
    </comment>
  </commentList>
</comments>
</file>

<file path=xl/comments2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Florida Department of Education</author>
  </authors>
  <commentList>
    <comment ref="G6" authorId="0" shapeId="0" xr:uid="{3894B585-8C94-4FB5-B50F-F3BB8AAF1D5B}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total dollar amount of expenditures for each line item.</t>
        </r>
      </text>
    </comment>
    <comment ref="H6" authorId="0" shapeId="0" xr:uid="{159C1541-1825-4014-8994-F32A667F22FE}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Does this line item include any administrative expenses? Answer Yes, No, or Partial.</t>
        </r>
      </text>
    </comment>
    <comment ref="I6" authorId="0" shapeId="0" xr:uid="{E2068783-D036-4CFB-989B-2768EDAC9FAB}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portion of the amount entered in column G that represents administrative expense.</t>
        </r>
      </text>
    </comment>
    <comment ref="J6" authorId="0" shapeId="0" xr:uid="{1C3CB159-3273-485B-9678-BABEB3FBF035}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portion of the amount entered in column G that does not represent administrative expense.</t>
        </r>
      </text>
    </comment>
    <comment ref="K6" authorId="0" shapeId="0" xr:uid="{3BD758F8-C590-4510-B42D-BD86B093B0A5}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Columns I plus J must equal Column G</t>
        </r>
      </text>
    </comment>
    <comment ref="L6" authorId="0" shapeId="0" xr:uid="{8B7EE3D2-9C7F-404B-A7BF-D9248BE41316}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Provide additional details and / or justification for all exclusions.</t>
        </r>
      </text>
    </comment>
    <comment ref="G8" authorId="0" shapeId="0" xr:uid="{CE895BFB-B0A9-4D66-933A-3BE8E81D05CE}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25" authorId="0" shapeId="0" xr:uid="{29EA9281-D6D1-4F38-AF02-8A56B35E49E6}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42" authorId="0" shapeId="0" xr:uid="{CB11CF0E-4CC0-4613-90E5-4DE33FB9A24A}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66" authorId="0" shapeId="0" xr:uid="{C767FFB0-130B-4760-ACB2-0D120F72C816}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70" authorId="0" shapeId="0" xr:uid="{F975F6F5-2CEF-448F-B1DD-EBFF39BCE480}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76" authorId="0" shapeId="0" xr:uid="{57EE28F3-813D-43E8-BFCE-C62B103DF850}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total amount reported on the CA-2 for Institutional Support. Red shading indicates it does not.</t>
        </r>
      </text>
    </comment>
  </commentList>
</comments>
</file>

<file path=xl/comments2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Florida Department of Education</author>
  </authors>
  <commentList>
    <comment ref="G6" authorId="0" shapeId="0" xr:uid="{B2461D26-2DFF-4876-AC19-03FE72C1C8B1}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total dollar amount of expenditures for each line item.</t>
        </r>
      </text>
    </comment>
    <comment ref="H6" authorId="0" shapeId="0" xr:uid="{7088D545-8344-43EF-AEF6-EA89372D58B1}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Does this line item include any administrative expenses? Answer Yes, No, or Partial.</t>
        </r>
      </text>
    </comment>
    <comment ref="I6" authorId="0" shapeId="0" xr:uid="{C5FA8DC1-5630-4FE7-BF9F-7F3D29EDC220}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portion of the amount entered in column G that represents administrative expense.</t>
        </r>
      </text>
    </comment>
    <comment ref="J6" authorId="0" shapeId="0" xr:uid="{3691B007-72BE-4C69-9DA2-3AEC32619F94}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portion of the amount entered in column G that does not represent administrative expense.</t>
        </r>
      </text>
    </comment>
    <comment ref="K6" authorId="0" shapeId="0" xr:uid="{AD730C4E-0AA8-4235-B363-FE8552CE0367}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Columns I plus J must equal Column G</t>
        </r>
      </text>
    </comment>
    <comment ref="L6" authorId="0" shapeId="0" xr:uid="{0A71FF40-6ABD-452D-8EF3-D2C05D8F42C6}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Provide additional details and / or justification for all exclusions.</t>
        </r>
      </text>
    </comment>
    <comment ref="G8" authorId="0" shapeId="0" xr:uid="{A2B4D7C6-3FCE-4DF4-97D4-09E1C39A33F1}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25" authorId="0" shapeId="0" xr:uid="{B8DA5CE8-B355-4225-853D-DDD9C7C53CD1}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42" authorId="0" shapeId="0" xr:uid="{BD59455A-9A31-4B28-8FE1-E09D6C8C9854}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66" authorId="0" shapeId="0" xr:uid="{CB9693EB-FB01-4F4D-9081-D46427490560}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70" authorId="0" shapeId="0" xr:uid="{886FF36C-5363-4EB2-B476-019524D1B7BB}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76" authorId="0" shapeId="0" xr:uid="{4FB89204-1E7F-4ECE-B638-AE162ECB4A8B}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total amount reported on the CA-2 for Institutional Support. Red shading indicates it does not.</t>
        </r>
      </text>
    </comment>
  </commentList>
</comments>
</file>

<file path=xl/comments2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Florida Department of Education</author>
  </authors>
  <commentList>
    <comment ref="G6" authorId="0" shapeId="0" xr:uid="{00000000-0006-0000-1D00-000001000000}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total dollar amount of expenditures for each line item.</t>
        </r>
      </text>
    </comment>
    <comment ref="H6" authorId="0" shapeId="0" xr:uid="{00000000-0006-0000-1D00-000002000000}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Does this line item include any administrative expenses? Answer Yes, No, or Partial.</t>
        </r>
      </text>
    </comment>
    <comment ref="I6" authorId="0" shapeId="0" xr:uid="{00000000-0006-0000-1D00-000003000000}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portion of the amount entered in column G that represents administrative expense.</t>
        </r>
      </text>
    </comment>
    <comment ref="J6" authorId="0" shapeId="0" xr:uid="{00000000-0006-0000-1D00-000004000000}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portion of the amount entered in column G that does not represent administrative expense.</t>
        </r>
      </text>
    </comment>
    <comment ref="K6" authorId="0" shapeId="0" xr:uid="{00000000-0006-0000-1D00-000005000000}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Columns I plus J must equal Column G</t>
        </r>
      </text>
    </comment>
    <comment ref="L6" authorId="0" shapeId="0" xr:uid="{00000000-0006-0000-1D00-000006000000}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Provide additional details and / or justification for all exclusions.</t>
        </r>
      </text>
    </comment>
    <comment ref="G8" authorId="0" shapeId="0" xr:uid="{00000000-0006-0000-1D00-000007000000}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25" authorId="0" shapeId="0" xr:uid="{00000000-0006-0000-1D00-000008000000}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42" authorId="0" shapeId="0" xr:uid="{00000000-0006-0000-1D00-000009000000}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66" authorId="0" shapeId="0" xr:uid="{00000000-0006-0000-1D00-00000A000000}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70" authorId="0" shapeId="0" xr:uid="{00000000-0006-0000-1D00-00000B000000}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76" authorId="0" shapeId="0" xr:uid="{00000000-0006-0000-1D00-00000C000000}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total amount reported on the CA-2 for Institutional Support. Red shading indicates it does not.</t>
        </r>
      </text>
    </comment>
  </commentList>
</comments>
</file>

<file path=xl/comments2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Florida Department of Education</author>
  </authors>
  <commentList>
    <comment ref="G6" authorId="0" shapeId="0" xr:uid="{D25DBAB1-6012-4F37-BB17-831DBC2FB3BF}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total dollar amount of expenditures for each line item.</t>
        </r>
      </text>
    </comment>
    <comment ref="H6" authorId="0" shapeId="0" xr:uid="{CB6A6690-81D3-4BC7-8524-1903C27BC508}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Does this line item include any administrative expenses? Answer Yes, No, or Partial.</t>
        </r>
      </text>
    </comment>
    <comment ref="I6" authorId="0" shapeId="0" xr:uid="{7B82D8CF-4DC0-42C6-A42B-09FA9432C6AB}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portion of the amount entered in column G that represents administrative expense.</t>
        </r>
      </text>
    </comment>
    <comment ref="J6" authorId="0" shapeId="0" xr:uid="{183155D0-52DB-474F-A475-E3DE04773051}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portion of the amount entered in column G that does not represent administrative expense.</t>
        </r>
      </text>
    </comment>
    <comment ref="K6" authorId="0" shapeId="0" xr:uid="{0A92D785-28FE-4A7E-AE8C-7D30299ACE0E}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Columns I plus J must equal Column G</t>
        </r>
      </text>
    </comment>
    <comment ref="L6" authorId="0" shapeId="0" xr:uid="{705843A7-820D-4FE7-A7E2-2852C2DCEE59}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Provide additional details and / or justification for all exclusions.</t>
        </r>
      </text>
    </comment>
    <comment ref="G8" authorId="0" shapeId="0" xr:uid="{026BA6AD-5F81-4639-9117-579C12FABDF2}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25" authorId="0" shapeId="0" xr:uid="{326EF1DD-5F39-4E97-A06B-7DB6C78B87F0}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42" authorId="0" shapeId="0" xr:uid="{198BCE3B-6CBE-4639-9AFD-8F0295A133B5}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66" authorId="0" shapeId="0" xr:uid="{A4C500D9-1EF5-411A-AF1F-4F6CE1791CFF}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70" authorId="0" shapeId="0" xr:uid="{5D8E61C9-6A9D-4B22-BAA0-838C2278EF9D}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76" authorId="0" shapeId="0" xr:uid="{914CE927-01F5-4AA1-A93E-BC29F8F992D3}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total amount reported on the CA-2 for Institutional Support. Red shading indicates it does not.</t>
        </r>
      </text>
    </comment>
  </commentList>
</comments>
</file>

<file path=xl/comments2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Florida Department of Education</author>
  </authors>
  <commentList>
    <comment ref="G6" authorId="0" shapeId="0" xr:uid="{9ABD72E6-5EB0-40FB-AA00-65D3E110C57E}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total dollar amount of expenditures for each line item.</t>
        </r>
      </text>
    </comment>
    <comment ref="H6" authorId="0" shapeId="0" xr:uid="{A2330E7C-FA58-4943-9913-7E5DFA28785F}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Does this line item include any administrative expenses? Answer Yes, No, or Partial.</t>
        </r>
      </text>
    </comment>
    <comment ref="I6" authorId="0" shapeId="0" xr:uid="{2B662B26-628A-411F-AFF5-787A749C7981}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portion of the amount entered in column G that represents administrative expense.</t>
        </r>
      </text>
    </comment>
    <comment ref="J6" authorId="0" shapeId="0" xr:uid="{DAB9855F-6B2A-4801-BF87-3376A980E4DD}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portion of the amount entered in column G that does not represent administrative expense.</t>
        </r>
      </text>
    </comment>
    <comment ref="K6" authorId="0" shapeId="0" xr:uid="{3350A0FA-49CA-4F1A-AB43-19D97CFDF916}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Columns I plus J must equal Column G</t>
        </r>
      </text>
    </comment>
    <comment ref="L6" authorId="0" shapeId="0" xr:uid="{426E98DA-D87B-457D-B747-D8A40A6AF370}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Provide additional details and / or justification for all exclusions.</t>
        </r>
      </text>
    </comment>
    <comment ref="G8" authorId="0" shapeId="0" xr:uid="{DDBB65B1-A21D-462C-8335-62884DB6A049}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25" authorId="0" shapeId="0" xr:uid="{D908443C-9D37-4C57-9D0A-64E2FE94491B}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42" authorId="0" shapeId="0" xr:uid="{EC7A9C31-A599-44D8-9F59-3682E54B44C1}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66" authorId="0" shapeId="0" xr:uid="{CA1C9089-4FF2-420E-B467-D6C243215F69}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70" authorId="0" shapeId="0" xr:uid="{D6EC17B2-E231-4101-8116-95CBD6EA164F}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76" authorId="0" shapeId="0" xr:uid="{47C6E590-CD45-4156-9D01-899CBE4BD93E}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total amount reported on the CA-2 for Institutional Support. Red shading indicates it does not.</t>
        </r>
      </text>
    </comment>
  </commentList>
</comments>
</file>

<file path=xl/comments2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Florida Department of Education</author>
  </authors>
  <commentList>
    <comment ref="G6" authorId="0" shapeId="0" xr:uid="{61193A92-B4D5-40AA-9262-FF9666C9A086}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total dollar amount of expenditures for each line item.</t>
        </r>
      </text>
    </comment>
    <comment ref="H6" authorId="0" shapeId="0" xr:uid="{B9F85690-FF51-4931-BBBA-3D0877F69C15}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Does this line item include any administrative expenses? Answer Yes, No, or Partial.</t>
        </r>
      </text>
    </comment>
    <comment ref="I6" authorId="0" shapeId="0" xr:uid="{3D99A3B0-EDDA-4267-B0D3-DBE6F0BB0629}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portion of the amount entered in column G that represents administrative expense.</t>
        </r>
      </text>
    </comment>
    <comment ref="J6" authorId="0" shapeId="0" xr:uid="{50C51E41-D7DB-469E-B953-AE7A201A4688}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portion of the amount entered in column G that does not represent administrative expense.</t>
        </r>
      </text>
    </comment>
    <comment ref="K6" authorId="0" shapeId="0" xr:uid="{16CB8A0B-B24A-42C7-95E2-924CCE69ECA9}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Columns I plus J must equal Column G</t>
        </r>
      </text>
    </comment>
    <comment ref="L6" authorId="0" shapeId="0" xr:uid="{1D83BD2D-0C69-4ADB-B3B3-198A90411912}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Provide additional details and / or justification for all exclusions.</t>
        </r>
      </text>
    </comment>
    <comment ref="G8" authorId="0" shapeId="0" xr:uid="{065DEF9E-AB51-4AF6-8F33-FEA368E3A0EB}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25" authorId="0" shapeId="0" xr:uid="{D261C7DD-4233-4CC1-B465-B04E0468533C}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42" authorId="0" shapeId="0" xr:uid="{D81A50FE-74E3-4206-AA2D-3488EFE34367}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66" authorId="0" shapeId="0" xr:uid="{5A46D9CC-DA78-4498-82A3-904BD35F1E85}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70" authorId="0" shapeId="0" xr:uid="{D5C6AE24-CEC9-420F-85CF-8BA7F39D7778}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76" authorId="0" shapeId="0" xr:uid="{90FC8302-E4D9-4EE2-AB25-D120A1D71E70}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total amount reported on the CA-2 for Institutional Support. Red shading indicates it does not.</t>
        </r>
      </text>
    </comment>
  </commentList>
</comments>
</file>

<file path=xl/comments2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Florida Department of Education</author>
  </authors>
  <commentList>
    <comment ref="G6" authorId="0" shapeId="0" xr:uid="{D9BA8A93-7F6C-48B1-9040-BFBA8A9347A8}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total dollar amount of expenditures for each line item.</t>
        </r>
      </text>
    </comment>
    <comment ref="H6" authorId="0" shapeId="0" xr:uid="{47C27706-C7B9-4041-8FB7-2BFE8805A7F5}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Does this line item include any administrative expenses? Answer Yes, No, or Partial.</t>
        </r>
      </text>
    </comment>
    <comment ref="I6" authorId="0" shapeId="0" xr:uid="{CB431C8C-CFAE-4D6F-8C06-549D69FBBD07}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portion of the amount entered in column G that represents administrative expense.</t>
        </r>
      </text>
    </comment>
    <comment ref="J6" authorId="0" shapeId="0" xr:uid="{9015A4AA-8FA8-4CCF-B259-B942B8099DDF}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portion of the amount entered in column G that does not represent administrative expense.</t>
        </r>
      </text>
    </comment>
    <comment ref="K6" authorId="0" shapeId="0" xr:uid="{0462E137-462C-46FC-A4F6-459C4A2A136C}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Columns I plus J must equal Column G</t>
        </r>
      </text>
    </comment>
    <comment ref="L6" authorId="0" shapeId="0" xr:uid="{53EC4B2E-3483-4FB9-B91B-9D4270CF8677}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Provide additional details and / or justification for all exclusions.</t>
        </r>
      </text>
    </comment>
    <comment ref="G8" authorId="0" shapeId="0" xr:uid="{88E51EAE-1BE0-4CA5-8C6B-E3CAF8A0D926}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25" authorId="0" shapeId="0" xr:uid="{24483AAB-B3E2-49A4-82F9-AC64DB92C5E8}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42" authorId="0" shapeId="0" xr:uid="{8A0F6AC4-765A-4B07-B5AE-0E232B7D6285}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66" authorId="0" shapeId="0" xr:uid="{4F1B59D7-E6AB-4AF2-80AB-0422B61C6C70}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70" authorId="0" shapeId="0" xr:uid="{E0829110-7F8C-4EAD-B1FA-DB2B3585D375}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76" authorId="0" shapeId="0" xr:uid="{DD19502B-9FC3-4F01-A892-E30CD62755ED}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total amount reported on the CA-2 for Institutional Support. Red shading indicates it does not.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Florida Department of Education</author>
  </authors>
  <commentList>
    <comment ref="G6" authorId="0" shapeId="0" xr:uid="{B4ABE680-6950-4315-BDB3-9748E3960304}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total dollar amount of expenditures for each line item.</t>
        </r>
      </text>
    </comment>
    <comment ref="H6" authorId="0" shapeId="0" xr:uid="{A6C30426-6C7B-4044-9127-9022913B8175}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Does this line item include any administrative expenses? Answer Yes, No, or Partial.</t>
        </r>
      </text>
    </comment>
    <comment ref="I6" authorId="0" shapeId="0" xr:uid="{173472E5-7FA9-4F4B-82F2-5F2779A4241A}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portion of the amount entered in column G that represents administrative expense.</t>
        </r>
      </text>
    </comment>
    <comment ref="J6" authorId="0" shapeId="0" xr:uid="{7F7D111C-A394-47A7-95C4-F30EB1D602EB}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portion of the amount entered in column G that does not represent administrative expense.</t>
        </r>
      </text>
    </comment>
    <comment ref="K6" authorId="0" shapeId="0" xr:uid="{873010FB-E8A6-49EC-8AD6-AB1CE308E174}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Columns I plus J must equal Column G</t>
        </r>
      </text>
    </comment>
    <comment ref="L6" authorId="0" shapeId="0" xr:uid="{60618E81-CE48-4397-B25E-213370538D88}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Provide additional details and / or justification for all exclusions.</t>
        </r>
      </text>
    </comment>
    <comment ref="G8" authorId="0" shapeId="0" xr:uid="{37F5EAD3-1456-4C08-BF3A-2EF1A0A522DA}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25" authorId="0" shapeId="0" xr:uid="{9881FB4D-4BEB-4458-BB85-B0E6284ACF5D}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42" authorId="0" shapeId="0" xr:uid="{218723E9-76ED-43F3-9515-E5791CE0EC5C}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66" authorId="0" shapeId="0" xr:uid="{8284DA58-961F-4EEF-9B11-488E10521C49}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70" authorId="0" shapeId="0" xr:uid="{B457680C-372D-4986-9397-69F12CCA558B}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76" authorId="0" shapeId="0" xr:uid="{9966337A-A44A-4F6E-9867-2D09FD5E99A5}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total amount reported on the CA-2 for Institutional Support. Red shading indicates it does not.</t>
        </r>
      </text>
    </comment>
  </commentList>
</comments>
</file>

<file path=xl/comments3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Florida Department of Education</author>
  </authors>
  <commentList>
    <comment ref="G6" authorId="0" shapeId="0" xr:uid="{9E2F275C-C226-42BD-9C76-CC2B99F31DFD}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total dollar amount of expenditures for each line item.</t>
        </r>
      </text>
    </comment>
    <comment ref="H6" authorId="0" shapeId="0" xr:uid="{B819D1A4-2DB9-4A5E-A7D6-94EDD17A4D7B}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Does this line item include any administrative expenses? Answer Yes, No, or Partial.</t>
        </r>
      </text>
    </comment>
    <comment ref="I6" authorId="0" shapeId="0" xr:uid="{F6E6B829-719E-4001-8947-FBF3D4A91FF7}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portion of the amount entered in column G that represents administrative expense.</t>
        </r>
      </text>
    </comment>
    <comment ref="J6" authorId="0" shapeId="0" xr:uid="{C4C2DD1C-FC11-4FD7-84A0-6509A4750B9D}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portion of the amount entered in column G that does not represent administrative expense.</t>
        </r>
      </text>
    </comment>
    <comment ref="K6" authorId="0" shapeId="0" xr:uid="{6EA57634-7AF5-45AC-AC24-B108ED1AFEF2}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Columns I plus J must equal Column G</t>
        </r>
      </text>
    </comment>
    <comment ref="L6" authorId="0" shapeId="0" xr:uid="{8D2D8564-1BF1-4BF3-9D06-381F8593CA91}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Provide additional details and / or justification for all exclusions.</t>
        </r>
      </text>
    </comment>
    <comment ref="G8" authorId="0" shapeId="0" xr:uid="{62E91D12-52E7-4913-8920-C1041BBEF1BD}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25" authorId="0" shapeId="0" xr:uid="{0BFE1A03-0DF9-496C-911C-38520E857047}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42" authorId="0" shapeId="0" xr:uid="{F4564568-01AC-4C1B-A299-2467B0DC1740}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66" authorId="0" shapeId="0" xr:uid="{DAC3313C-A9A9-47EE-B443-26FB86A43F69}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70" authorId="0" shapeId="0" xr:uid="{2F984097-F01A-4C69-B3AB-93D4A7EBCF46}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76" authorId="0" shapeId="0" xr:uid="{53F88779-72CB-4E47-AE07-7E1DFDF30766}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total amount reported on the CA-2 for Institutional Support. Red shading indicates it does not.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Florida Department of Education</author>
  </authors>
  <commentList>
    <comment ref="G6" authorId="0" shapeId="0" xr:uid="{00000000-0006-0000-0800-000001000000}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total dollar amount of expenditures for each line item.</t>
        </r>
      </text>
    </comment>
    <comment ref="H6" authorId="0" shapeId="0" xr:uid="{00000000-0006-0000-0800-000002000000}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Does this line item include any administrative expenses? Answer Yes, No, or Partial.</t>
        </r>
      </text>
    </comment>
    <comment ref="I6" authorId="0" shapeId="0" xr:uid="{00000000-0006-0000-0800-000003000000}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portion of the amount entered in column G that represents administrative expense.</t>
        </r>
      </text>
    </comment>
    <comment ref="J6" authorId="0" shapeId="0" xr:uid="{00000000-0006-0000-0800-000004000000}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portion of the amount entered in column G that does not represent administrative expense.</t>
        </r>
      </text>
    </comment>
    <comment ref="K6" authorId="0" shapeId="0" xr:uid="{00000000-0006-0000-0800-000005000000}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Columns I plus J must equal Column G</t>
        </r>
      </text>
    </comment>
    <comment ref="L6" authorId="0" shapeId="0" xr:uid="{00000000-0006-0000-0800-000006000000}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Provide additional details and / or justification for all exclusions.</t>
        </r>
      </text>
    </comment>
    <comment ref="G8" authorId="0" shapeId="0" xr:uid="{00000000-0006-0000-0800-000007000000}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25" authorId="0" shapeId="0" xr:uid="{00000000-0006-0000-0800-000008000000}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42" authorId="0" shapeId="0" xr:uid="{00000000-0006-0000-0800-000009000000}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66" authorId="0" shapeId="0" xr:uid="{00000000-0006-0000-0800-00000A000000}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70" authorId="0" shapeId="0" xr:uid="{00000000-0006-0000-0800-00000B000000}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76" authorId="0" shapeId="0" xr:uid="{00000000-0006-0000-0800-00000C000000}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total amount reported on the CA-2 for Institutional Support. Red shading indicates it does not.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Florida Department of Education</author>
  </authors>
  <commentList>
    <comment ref="G6" authorId="0" shapeId="0" xr:uid="{00000000-0006-0000-0900-000001000000}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total dollar amount of expenditures for each line item.</t>
        </r>
      </text>
    </comment>
    <comment ref="H6" authorId="0" shapeId="0" xr:uid="{00000000-0006-0000-0900-000002000000}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Does this line item include any administrative expenses? Answer Yes, No, or Partial.</t>
        </r>
      </text>
    </comment>
    <comment ref="I6" authorId="0" shapeId="0" xr:uid="{00000000-0006-0000-0900-000003000000}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portion of the amount entered in column G that represents administrative expense.</t>
        </r>
      </text>
    </comment>
    <comment ref="J6" authorId="0" shapeId="0" xr:uid="{00000000-0006-0000-0900-000004000000}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portion of the amount entered in column G that does not represent administrative expense.</t>
        </r>
      </text>
    </comment>
    <comment ref="K6" authorId="0" shapeId="0" xr:uid="{00000000-0006-0000-0900-000005000000}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Columns I plus J must equal Column G</t>
        </r>
      </text>
    </comment>
    <comment ref="L6" authorId="0" shapeId="0" xr:uid="{00000000-0006-0000-0900-000006000000}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Provide additional details and / or justification for all exclusions.</t>
        </r>
      </text>
    </comment>
    <comment ref="G8" authorId="0" shapeId="0" xr:uid="{00000000-0006-0000-0900-000007000000}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25" authorId="0" shapeId="0" xr:uid="{00000000-0006-0000-0900-000008000000}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42" authorId="0" shapeId="0" xr:uid="{00000000-0006-0000-0900-000009000000}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66" authorId="0" shapeId="0" xr:uid="{00000000-0006-0000-0900-00000A000000}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70" authorId="0" shapeId="0" xr:uid="{00000000-0006-0000-0900-00000B000000}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76" authorId="0" shapeId="0" xr:uid="{00000000-0006-0000-0900-00000C000000}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total amount reported on the CA-2 for Institutional Support. Red shading indicates it does not.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Florida Department of Education</author>
  </authors>
  <commentList>
    <comment ref="G6" authorId="0" shapeId="0" xr:uid="{00000000-0006-0000-0A00-000001000000}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total dollar amount of expenditures for each line item.</t>
        </r>
      </text>
    </comment>
    <comment ref="H6" authorId="0" shapeId="0" xr:uid="{00000000-0006-0000-0A00-000002000000}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Does this line item include any administrative expenses? Answer Yes, No, or Partial.</t>
        </r>
      </text>
    </comment>
    <comment ref="I6" authorId="0" shapeId="0" xr:uid="{00000000-0006-0000-0A00-000003000000}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portion of the amount entered in column G that represents administrative expense.</t>
        </r>
      </text>
    </comment>
    <comment ref="J6" authorId="0" shapeId="0" xr:uid="{00000000-0006-0000-0A00-000004000000}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portion of the amount entered in column G that does not represent administrative expense.</t>
        </r>
      </text>
    </comment>
    <comment ref="K6" authorId="0" shapeId="0" xr:uid="{00000000-0006-0000-0A00-000005000000}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Columns I plus J must equal Column G</t>
        </r>
      </text>
    </comment>
    <comment ref="L6" authorId="0" shapeId="0" xr:uid="{00000000-0006-0000-0A00-000006000000}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Provide additional details and / or justification for all exclusions.</t>
        </r>
      </text>
    </comment>
    <comment ref="G8" authorId="0" shapeId="0" xr:uid="{00000000-0006-0000-0A00-000007000000}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25" authorId="0" shapeId="0" xr:uid="{00000000-0006-0000-0A00-000008000000}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42" authorId="0" shapeId="0" xr:uid="{00000000-0006-0000-0A00-000009000000}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66" authorId="0" shapeId="0" xr:uid="{00000000-0006-0000-0A00-00000A000000}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70" authorId="0" shapeId="0" xr:uid="{00000000-0006-0000-0A00-00000B000000}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76" authorId="0" shapeId="0" xr:uid="{00000000-0006-0000-0A00-00000C000000}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total amount reported on the CA-2 for Institutional Support. Red shading indicates it does not.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Florida Department of Education</author>
  </authors>
  <commentList>
    <comment ref="G6" authorId="0" shapeId="0" xr:uid="{00000000-0006-0000-0B00-000001000000}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total dollar amount of expenditures for each line item.</t>
        </r>
      </text>
    </comment>
    <comment ref="H6" authorId="0" shapeId="0" xr:uid="{00000000-0006-0000-0B00-000002000000}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Does this line item include any administrative expenses? Answer Yes, No, or Partial.</t>
        </r>
      </text>
    </comment>
    <comment ref="I6" authorId="0" shapeId="0" xr:uid="{00000000-0006-0000-0B00-000003000000}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portion of the amount entered in column G that represents administrative expense.</t>
        </r>
      </text>
    </comment>
    <comment ref="J6" authorId="0" shapeId="0" xr:uid="{00000000-0006-0000-0B00-000004000000}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portion of the amount entered in column G that does not represent administrative expense.</t>
        </r>
      </text>
    </comment>
    <comment ref="K6" authorId="0" shapeId="0" xr:uid="{00000000-0006-0000-0B00-000005000000}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Columns I plus J must equal Column G</t>
        </r>
      </text>
    </comment>
    <comment ref="L6" authorId="0" shapeId="0" xr:uid="{00000000-0006-0000-0B00-000006000000}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Provide additional details and / or justification for all exclusions.</t>
        </r>
      </text>
    </comment>
    <comment ref="G8" authorId="0" shapeId="0" xr:uid="{00000000-0006-0000-0B00-000007000000}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25" authorId="0" shapeId="0" xr:uid="{00000000-0006-0000-0B00-000008000000}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42" authorId="0" shapeId="0" xr:uid="{00000000-0006-0000-0B00-000009000000}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66" authorId="0" shapeId="0" xr:uid="{00000000-0006-0000-0B00-00000A000000}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70" authorId="0" shapeId="0" xr:uid="{00000000-0006-0000-0B00-00000B000000}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76" authorId="0" shapeId="0" xr:uid="{00000000-0006-0000-0B00-00000C000000}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total amount reported on the CA-2 for Institutional Support. Red shading indicates it does not.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Florida Department of Education</author>
  </authors>
  <commentList>
    <comment ref="G6" authorId="0" shapeId="0" xr:uid="{8CE085E8-BFA3-4C42-AE58-F3E24EC73C87}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total dollar amount of expenditures for each line item.</t>
        </r>
      </text>
    </comment>
    <comment ref="H6" authorId="0" shapeId="0" xr:uid="{6BA959FF-DD1F-4425-B6BA-A3EC7D8E3EB3}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Does this line item include any administrative expenses? Answer Yes, No, or Partial.</t>
        </r>
      </text>
    </comment>
    <comment ref="I6" authorId="0" shapeId="0" xr:uid="{2A1179D7-CEB0-48C5-B53E-E47E1267C783}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portion of the amount entered in column G that represents administrative expense.</t>
        </r>
      </text>
    </comment>
    <comment ref="J6" authorId="0" shapeId="0" xr:uid="{DCED9164-E30C-4417-8274-501E9353F522}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portion of the amount entered in column G that does not represent administrative expense.</t>
        </r>
      </text>
    </comment>
    <comment ref="K6" authorId="0" shapeId="0" xr:uid="{4AC11DF3-729F-4F99-8D12-48DE912E7611}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Columns I plus J must equal Column G</t>
        </r>
      </text>
    </comment>
    <comment ref="L6" authorId="0" shapeId="0" xr:uid="{DD2F2191-CB68-4162-9716-D21316088CC5}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Provide additional details and / or justification for all exclusions.</t>
        </r>
      </text>
    </comment>
    <comment ref="G8" authorId="0" shapeId="0" xr:uid="{E7E1224E-6BED-49C9-99EA-5427F54BC3F0}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25" authorId="0" shapeId="0" xr:uid="{5C6C2BE6-B201-4B69-B4DF-394220C24233}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42" authorId="0" shapeId="0" xr:uid="{21C3C671-0858-4F88-A0EF-5DC44138E3E6}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66" authorId="0" shapeId="0" xr:uid="{89DECE2C-60D4-4307-AB4C-1F5E547BF8E8}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70" authorId="0" shapeId="0" xr:uid="{A14E922B-2CE7-46F4-BD5D-FF897F4BCCAB}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76" authorId="0" shapeId="0" xr:uid="{FE2BEBDF-C01C-4D83-9BA4-95133B7AB87E}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total amount reported on the CA-2 for Institutional Support. Red shading indicates it does not.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Florida Department of Education</author>
  </authors>
  <commentList>
    <comment ref="G6" authorId="0" shapeId="0" xr:uid="{00000000-0006-0000-0D00-000001000000}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total dollar amount of expenditures for each line item.</t>
        </r>
      </text>
    </comment>
    <comment ref="H6" authorId="0" shapeId="0" xr:uid="{00000000-0006-0000-0D00-000002000000}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Does this line item include any administrative expenses? Answer Yes, No, or Partial.</t>
        </r>
      </text>
    </comment>
    <comment ref="I6" authorId="0" shapeId="0" xr:uid="{00000000-0006-0000-0D00-000003000000}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portion of the amount entered in column G that represents administrative expense.</t>
        </r>
      </text>
    </comment>
    <comment ref="J6" authorId="0" shapeId="0" xr:uid="{00000000-0006-0000-0D00-000004000000}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portion of the amount entered in column G that does not represent administrative expense.</t>
        </r>
      </text>
    </comment>
    <comment ref="K6" authorId="0" shapeId="0" xr:uid="{00000000-0006-0000-0D00-000005000000}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Columns I plus J must equal Column G</t>
        </r>
      </text>
    </comment>
    <comment ref="L6" authorId="0" shapeId="0" xr:uid="{00000000-0006-0000-0D00-000006000000}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Provide additional details and / or justification for all exclusions.</t>
        </r>
      </text>
    </comment>
    <comment ref="G8" authorId="0" shapeId="0" xr:uid="{00000000-0006-0000-0D00-000007000000}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25" authorId="0" shapeId="0" xr:uid="{00000000-0006-0000-0D00-000008000000}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42" authorId="0" shapeId="0" xr:uid="{00000000-0006-0000-0D00-000009000000}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66" authorId="0" shapeId="0" xr:uid="{00000000-0006-0000-0D00-00000A000000}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70" authorId="0" shapeId="0" xr:uid="{00000000-0006-0000-0D00-00000B000000}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76" authorId="0" shapeId="0" xr:uid="{00000000-0006-0000-0D00-00000C000000}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total amount reported on the CA-2 for Institutional Support. Red shading indicates it does not.</t>
        </r>
      </text>
    </comment>
  </commentList>
</comments>
</file>

<file path=xl/sharedStrings.xml><?xml version="1.0" encoding="utf-8"?>
<sst xmlns="http://schemas.openxmlformats.org/spreadsheetml/2006/main" count="5879" uniqueCount="296">
  <si>
    <t>The Florida College System</t>
  </si>
  <si>
    <t>Data Collection for Administrative Cost Report</t>
  </si>
  <si>
    <t>Account</t>
  </si>
  <si>
    <t>Name</t>
  </si>
  <si>
    <t>Administration?</t>
  </si>
  <si>
    <t>Administrative Amount</t>
  </si>
  <si>
    <t>Excluded Amount</t>
  </si>
  <si>
    <t>Data Validation</t>
  </si>
  <si>
    <t>Comments</t>
  </si>
  <si>
    <t>16000000</t>
  </si>
  <si>
    <t>Institutional Support Control (Administrative)</t>
  </si>
  <si>
    <t>16100000</t>
  </si>
  <si>
    <t>Executive Management Control</t>
  </si>
  <si>
    <t>16110000</t>
  </si>
  <si>
    <t>College-Wide Management</t>
  </si>
  <si>
    <t>Yes</t>
  </si>
  <si>
    <t>16111000</t>
  </si>
  <si>
    <t>District Board of Trustees</t>
  </si>
  <si>
    <t>16112000</t>
  </si>
  <si>
    <t>President</t>
  </si>
  <si>
    <t>16113000</t>
  </si>
  <si>
    <t>Assistant to the President</t>
  </si>
  <si>
    <t>16114000</t>
  </si>
  <si>
    <t>Executive Vice President/Vice President(s)</t>
  </si>
  <si>
    <t>No</t>
  </si>
  <si>
    <t>16115000</t>
  </si>
  <si>
    <t>Chief Campus Administrators in Multi-Campus Colleges</t>
  </si>
  <si>
    <t>16116000</t>
  </si>
  <si>
    <t>Equal Access, Equal Opportunity, Equal Employment Officer</t>
  </si>
  <si>
    <t>16117000</t>
  </si>
  <si>
    <t>Internal Auditing</t>
  </si>
  <si>
    <t>16120000</t>
  </si>
  <si>
    <t>Educational Planning and Development</t>
  </si>
  <si>
    <t>16121000</t>
  </si>
  <si>
    <t>Institutional Research</t>
  </si>
  <si>
    <t>16122000</t>
  </si>
  <si>
    <t>Analytical Studies</t>
  </si>
  <si>
    <t>16130000</t>
  </si>
  <si>
    <t>Legal Services</t>
  </si>
  <si>
    <t>16140000</t>
  </si>
  <si>
    <t>College-Wide Planning and Management Committees, Council or Task Forces</t>
  </si>
  <si>
    <t>16141000</t>
  </si>
  <si>
    <t>Faculty Senates</t>
  </si>
  <si>
    <t>16142000</t>
  </si>
  <si>
    <t>Planning Committees</t>
  </si>
  <si>
    <t>16143000</t>
  </si>
  <si>
    <t>Administrative Councils</t>
  </si>
  <si>
    <t>16200000</t>
  </si>
  <si>
    <t>Fiscal Operations Control</t>
  </si>
  <si>
    <t>16210000</t>
  </si>
  <si>
    <t>Fiscal Control</t>
  </si>
  <si>
    <t>16211000</t>
  </si>
  <si>
    <t>Business Officer (Financial Duties)</t>
  </si>
  <si>
    <t>16212000</t>
  </si>
  <si>
    <t>Comptroller</t>
  </si>
  <si>
    <t>16213000</t>
  </si>
  <si>
    <t>Budget Administration and Control</t>
  </si>
  <si>
    <t>16220000</t>
  </si>
  <si>
    <t>Financial Operations</t>
  </si>
  <si>
    <t>Partial</t>
  </si>
  <si>
    <t>16221000</t>
  </si>
  <si>
    <t>Payroll Operation</t>
  </si>
  <si>
    <t>16222000</t>
  </si>
  <si>
    <t>Bursar</t>
  </si>
  <si>
    <t>16223000</t>
  </si>
  <si>
    <t>Cashier</t>
  </si>
  <si>
    <t>16224000</t>
  </si>
  <si>
    <t>Disbursement</t>
  </si>
  <si>
    <t>16225000</t>
  </si>
  <si>
    <t>Accounting</t>
  </si>
  <si>
    <t>16230000</t>
  </si>
  <si>
    <t>Investment Management</t>
  </si>
  <si>
    <t>16231000</t>
  </si>
  <si>
    <t>Cash Flow Management</t>
  </si>
  <si>
    <t>16232000</t>
  </si>
  <si>
    <t>Endowment Management</t>
  </si>
  <si>
    <t>16240000</t>
  </si>
  <si>
    <t>Grants and Contracts Financial Management</t>
  </si>
  <si>
    <t>16241000</t>
  </si>
  <si>
    <t>Grants Management</t>
  </si>
  <si>
    <t>16242000</t>
  </si>
  <si>
    <t>Grants Accounting</t>
  </si>
  <si>
    <t>16300000</t>
  </si>
  <si>
    <t>General Administrative and Logistical Services Control</t>
  </si>
  <si>
    <t>16310000</t>
  </si>
  <si>
    <t>Administrative Data/Telecommunication Services</t>
  </si>
  <si>
    <t>16310100</t>
  </si>
  <si>
    <t>Computing</t>
  </si>
  <si>
    <t>16310200</t>
  </si>
  <si>
    <t>Telecommunications</t>
  </si>
  <si>
    <t>16310300</t>
  </si>
  <si>
    <t>Networking</t>
  </si>
  <si>
    <t>16320000</t>
  </si>
  <si>
    <t>Human Resources</t>
  </si>
  <si>
    <t>16330000</t>
  </si>
  <si>
    <t>Logistical Services</t>
  </si>
  <si>
    <t>16330100</t>
  </si>
  <si>
    <t>Purchasing</t>
  </si>
  <si>
    <t>16330200</t>
  </si>
  <si>
    <t>Receiving</t>
  </si>
  <si>
    <t>16330300</t>
  </si>
  <si>
    <t>Shipping</t>
  </si>
  <si>
    <t>16330400</t>
  </si>
  <si>
    <t>Warehousing</t>
  </si>
  <si>
    <t>16330500</t>
  </si>
  <si>
    <t>Property Management</t>
  </si>
  <si>
    <t>16330600</t>
  </si>
  <si>
    <t>Mail and Distribution</t>
  </si>
  <si>
    <t>16330700</t>
  </si>
  <si>
    <t>Telephone Service/Operations</t>
  </si>
  <si>
    <t>16330800</t>
  </si>
  <si>
    <t>General Printing and Reproduction</t>
  </si>
  <si>
    <t>16330900</t>
  </si>
  <si>
    <t>Campus Transportation (including motor pool)</t>
  </si>
  <si>
    <t>16331000</t>
  </si>
  <si>
    <t>Parking and Parking Space Management</t>
  </si>
  <si>
    <t>16340000</t>
  </si>
  <si>
    <t>Other General Expenses</t>
  </si>
  <si>
    <t>16341000</t>
  </si>
  <si>
    <t>Business Hospitality</t>
  </si>
  <si>
    <t>16342000</t>
  </si>
  <si>
    <t>Organizational Memberships</t>
  </si>
  <si>
    <t>16343000</t>
  </si>
  <si>
    <t>General Insurance (other than property)</t>
  </si>
  <si>
    <t>16344000</t>
  </si>
  <si>
    <t>Commencement (Graduation)</t>
  </si>
  <si>
    <t>16400000</t>
  </si>
  <si>
    <t>Unassigned</t>
  </si>
  <si>
    <t>16500000</t>
  </si>
  <si>
    <t>16600000</t>
  </si>
  <si>
    <t>Administrative and Support Staff Services Control</t>
  </si>
  <si>
    <t>16610000</t>
  </si>
  <si>
    <t>In-Service Training</t>
  </si>
  <si>
    <t>16620000</t>
  </si>
  <si>
    <t>Sabbatical Leaves (Administrative and Support Staff only)</t>
  </si>
  <si>
    <t>16630000</t>
  </si>
  <si>
    <t>Training Institutes, etc.</t>
  </si>
  <si>
    <t>16700000</t>
  </si>
  <si>
    <t>Community Relations Control</t>
  </si>
  <si>
    <t>16710000</t>
  </si>
  <si>
    <t>Alumni Relations</t>
  </si>
  <si>
    <t>16720000</t>
  </si>
  <si>
    <t>Community and/or Public Relation Activities</t>
  </si>
  <si>
    <t>16730000</t>
  </si>
  <si>
    <t>Development (Fund Raising)</t>
  </si>
  <si>
    <t>16800000</t>
  </si>
  <si>
    <t>16900000</t>
  </si>
  <si>
    <t>TOTAL</t>
  </si>
  <si>
    <t>Broward College</t>
  </si>
  <si>
    <t>College of Central Florida</t>
  </si>
  <si>
    <t>Chipola College</t>
  </si>
  <si>
    <t>Daytona State College</t>
  </si>
  <si>
    <t>Florida State College at Jacksonville</t>
  </si>
  <si>
    <t>Florida Keys Community College</t>
  </si>
  <si>
    <t>Gulf Coast State College</t>
  </si>
  <si>
    <t>Hillsborough Community College</t>
  </si>
  <si>
    <t>Indian River State College</t>
  </si>
  <si>
    <t>Florida Gateway College</t>
  </si>
  <si>
    <t>Lake-Sumter Community College</t>
  </si>
  <si>
    <t>State College of Florida, Manatee-Sarasota</t>
  </si>
  <si>
    <t>Miami Dade College</t>
  </si>
  <si>
    <t>North Florida Community College</t>
  </si>
  <si>
    <t>Northwest Florida State College</t>
  </si>
  <si>
    <t>Palm Beach State College</t>
  </si>
  <si>
    <t>Pensacola State College</t>
  </si>
  <si>
    <t>Polk State College</t>
  </si>
  <si>
    <t>St. Johns River State College</t>
  </si>
  <si>
    <t>St. Petersburg College</t>
  </si>
  <si>
    <t>Santa Fe College</t>
  </si>
  <si>
    <t>Seminole State College of Florida</t>
  </si>
  <si>
    <t>South Florida State College</t>
  </si>
  <si>
    <t>Tallahassee Community College</t>
  </si>
  <si>
    <t>Valencia College</t>
  </si>
  <si>
    <t>Florida College System</t>
  </si>
  <si>
    <t>THE FLORIDA COLLEGE SYSTEM</t>
  </si>
  <si>
    <t>COLLEGE</t>
  </si>
  <si>
    <t>ADMINISTRATIVE COST REPORT ANALYTICS</t>
  </si>
  <si>
    <t>FCS</t>
  </si>
  <si>
    <t>% OF INSTITUTIONAL SUPPORT EXCLUDED</t>
  </si>
  <si>
    <t>Total Institutional Support Expense from Cost Analysis:</t>
  </si>
  <si>
    <t>ADMINISTRATIVE COST REPORT SUMMARY ANALYTICS</t>
  </si>
  <si>
    <t>% EXCLUDED MATRIX</t>
  </si>
  <si>
    <t>ADMINISTRATIVE COST REPORT COMPARATIVE MATRICES</t>
  </si>
  <si>
    <t>Count of</t>
  </si>
  <si>
    <t>Total</t>
  </si>
  <si>
    <t>% of</t>
  </si>
  <si>
    <t>YES / NO / PARTIAL MATRIX (Yes means it is administrative)</t>
  </si>
  <si>
    <t>*Determined by reporting preponderance.</t>
  </si>
  <si>
    <t>FCS*</t>
  </si>
  <si>
    <t>Range:</t>
  </si>
  <si>
    <t>Highest:</t>
  </si>
  <si>
    <t>Lowest:</t>
  </si>
  <si>
    <t>*Sort all groupings by orange shaded columns after any changes to data</t>
  </si>
  <si>
    <t>ADMINISTRATIVE COST % OVER COST ANALYSIS TOTAL EXPENDITURES EXCLUDING TRANSFERS</t>
  </si>
  <si>
    <t>ADMINISTRATIVE COST PER FUNDABLE FTE</t>
  </si>
  <si>
    <t>ADMINISTRATIVE COST</t>
  </si>
  <si>
    <t>Eastern Florida State College</t>
  </si>
  <si>
    <t>Data Collection for the Administrative Cost Report</t>
  </si>
  <si>
    <t>COLLEGE NAME:</t>
  </si>
  <si>
    <t>Comments / Additional Details</t>
  </si>
  <si>
    <t>Total 6.0  INSTITUTIONAL SUPPORT reported from CA-2:</t>
  </si>
  <si>
    <t>Note: The amounts in cells G76 and G77 must be equal.</t>
  </si>
  <si>
    <t>Total Expense (Excluding Transfers) from Cost Analysis (CA-2):</t>
  </si>
  <si>
    <t>: Administrative Cost Percentage</t>
  </si>
  <si>
    <t>Prior Year's Data:</t>
  </si>
  <si>
    <t>AMOUNT CHANGE</t>
  </si>
  <si>
    <t>CHANGE OVER PRIOR YEAR</t>
  </si>
  <si>
    <t>Florida SouthWestern State College</t>
  </si>
  <si>
    <t>Pasco-Hernando State College</t>
  </si>
  <si>
    <t>Lake-Sumter State College</t>
  </si>
  <si>
    <t>Excluded Banking Fees</t>
  </si>
  <si>
    <t>Campus Provost</t>
  </si>
  <si>
    <t>Less Athletics insurance costs</t>
  </si>
  <si>
    <t>Printed materials related to development of alumni</t>
  </si>
  <si>
    <t>Inst. Advancement</t>
  </si>
  <si>
    <t>Excluded cashier, collections and payroll costs</t>
  </si>
  <si>
    <t>Excluded credit card fees</t>
  </si>
  <si>
    <t>Excluded SPC Foundation development expenses</t>
  </si>
  <si>
    <t>Liability/Unemployment Insurance</t>
  </si>
  <si>
    <t>Support for faculty, student services functions, finance functions related to cashiering and billing, comparable to exclusion of other colleges</t>
  </si>
  <si>
    <t>Removed Cashiers and all Operating costs. Kept Bursar Salary and Benefits</t>
  </si>
  <si>
    <t>Bursar and Accounts Receivable clerk</t>
  </si>
  <si>
    <t>College wide Memberships/ Program memberships charged to individual departments and program accounts</t>
  </si>
  <si>
    <t>Student Accounting</t>
  </si>
  <si>
    <t>Central services at school level, mailroom at each campus</t>
  </si>
  <si>
    <t>yes</t>
  </si>
  <si>
    <t>no</t>
  </si>
  <si>
    <t>Excluded 25% for drawing of federal funds and reconciliation of financial aid.</t>
  </si>
  <si>
    <t>Student check processing.</t>
  </si>
  <si>
    <t>SACSCOC QEP</t>
  </si>
  <si>
    <t>partial</t>
  </si>
  <si>
    <t>Assign 50% to Administrative</t>
  </si>
  <si>
    <t>instructional support services/school administration support services</t>
  </si>
  <si>
    <t>related to collection of tuition &amp; fees</t>
  </si>
  <si>
    <t>student insurance</t>
  </si>
  <si>
    <t>Excludes bank service fees and merchant fees</t>
  </si>
  <si>
    <t>contracted services</t>
  </si>
  <si>
    <t>5% of cost included</t>
  </si>
  <si>
    <t>campus presidents excluded as equivalent to school principals</t>
  </si>
  <si>
    <t>excluded merchant fees &amp; refund management program fees</t>
  </si>
  <si>
    <t>Central services at school level</t>
  </si>
  <si>
    <t>Exclude due to cashier responsibilities that are college specific</t>
  </si>
  <si>
    <t>Exclude due to responsibilities being college specific</t>
  </si>
  <si>
    <t>Exclude Cashiers, Bursar, Bank Fees, Bad Debt, and Fee Waivers that are not comparable to K-12</t>
  </si>
  <si>
    <t>Assessment</t>
  </si>
  <si>
    <t>Exclude Collection Svcs, Bursar &amp; Bank Fees</t>
  </si>
  <si>
    <t>Exclude Property Insurance</t>
  </si>
  <si>
    <t>Graduation</t>
  </si>
  <si>
    <t>Exclude Accreditation, Marketing Personnel and External Affairs</t>
  </si>
  <si>
    <t>Foundation Administration and Development</t>
  </si>
  <si>
    <t>SVP CFO, AVP Admin, Exec Admin Assistant</t>
  </si>
  <si>
    <t>SVP CIO</t>
  </si>
  <si>
    <t>MIS, including new ERP</t>
  </si>
  <si>
    <t>Excluded Gov Affairs  - not funded by General Revenue</t>
  </si>
  <si>
    <t>North Florida College</t>
  </si>
  <si>
    <t>The College of the Florida Keys</t>
  </si>
  <si>
    <t>Excludes cashiers and merchant service fees</t>
  </si>
  <si>
    <t>Director of OIT</t>
  </si>
  <si>
    <t xml:space="preserve">Excluded Bank service fees, </t>
  </si>
  <si>
    <t>AR staff, student fee write-offs ($0) HEERF to cover expense</t>
  </si>
  <si>
    <t>Most is instructional. Assign 20% to Administrative</t>
  </si>
  <si>
    <t>YES</t>
  </si>
  <si>
    <t>NO</t>
  </si>
  <si>
    <t>2021-2022</t>
  </si>
  <si>
    <t>DSO Accounting</t>
  </si>
  <si>
    <t>Internal Audit</t>
  </si>
  <si>
    <t>Exclude Bad Debt and Credit Card Costs</t>
  </si>
  <si>
    <t>Exclude expenses from the Grants Office.</t>
  </si>
  <si>
    <t>Technology expenditures are included  on the TEA report</t>
  </si>
  <si>
    <t xml:space="preserve">Excluded Reemployment / Unemployment Compensation. </t>
  </si>
  <si>
    <t>Excluded Workers Compensation and General Insurance</t>
  </si>
  <si>
    <t>2022-23</t>
  </si>
  <si>
    <t>2022-23 FTE-3</t>
  </si>
  <si>
    <t>2021-22 ADMINISTRATIVE COST % OVER COST ANALYSIS TOTAL EXPENDITURES EXCLUDING TRANSFERS</t>
  </si>
  <si>
    <t>FY 2022-23</t>
  </si>
  <si>
    <t>One-time capital purchases not included</t>
  </si>
  <si>
    <t>Payroll moved to HR.</t>
  </si>
  <si>
    <t>Exclude Grants Management</t>
  </si>
  <si>
    <t>Lease Payments</t>
  </si>
  <si>
    <t>PR Travel and Activity Funds</t>
  </si>
  <si>
    <t>Not Applicable</t>
  </si>
  <si>
    <t>Accounts Receivables</t>
  </si>
  <si>
    <t>Not Applicable Per Instructions</t>
  </si>
  <si>
    <t>Excluded: Merchant Fees, Higher One, Nelnet ($166,201)</t>
  </si>
  <si>
    <t>President Wages covered by Auxiliary</t>
  </si>
  <si>
    <t>Incremental expenses due to EPM Implementation</t>
  </si>
  <si>
    <t>Exclude Employee Award Food covered by Auxiliary</t>
  </si>
  <si>
    <t>Funded by Auxiliary revenue</t>
  </si>
  <si>
    <t>Excluded Bank and Merchant fees: $315,903.25 and Bad Debt credit:($7,366.58)</t>
  </si>
  <si>
    <t>College Copier expenses net of recharges to other departments</t>
  </si>
  <si>
    <t xml:space="preserve">Excluded advertising and related production and design expenses in dept. 8140, Marketing and Communications </t>
  </si>
  <si>
    <t>support for faculty/student services pursuing grant funds</t>
  </si>
  <si>
    <t>support for faculty/student services pursuing grant funds plus student activity fee monitoring</t>
  </si>
  <si>
    <t>bad debt, campus copier rentals</t>
  </si>
  <si>
    <t>central services at school level, continuing education division</t>
  </si>
  <si>
    <t>marketing/advertising, recruiting potential students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</si>
</sst>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_(&quot;$&quot;* #,##0_);_(&quot;$&quot;* \(#,##0\);_(&quot;$&quot;* &quot;-&quot;??_);_(@_)"/>
  </numFmts>
  <fonts count="4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indexed="8"/>
      <name val="Arial"/>
      <family val="2"/>
    </font>
    <font>
      <b/>
      <sz val="14"/>
      <color rgb="FF0000FF"/>
      <name val="Arial"/>
      <family val="2"/>
    </font>
    <font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2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 Narrow"/>
      <family val="2"/>
    </font>
    <font>
      <sz val="12"/>
      <name val="Arial"/>
      <family val="2"/>
    </font>
    <font>
      <sz val="1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name val="Arial"/>
      <family val="2"/>
    </font>
    <font>
      <b/>
      <sz val="11"/>
      <color indexed="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Arial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1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0" fillId="0" borderId="0"/>
    <xf numFmtId="0" fontId="10" fillId="0" borderId="0"/>
    <xf numFmtId="44" fontId="10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11" applyNumberFormat="0" applyFill="0" applyAlignment="0" applyProtection="0"/>
    <xf numFmtId="0" fontId="19" fillId="0" borderId="12" applyNumberFormat="0" applyFill="0" applyAlignment="0" applyProtection="0"/>
    <xf numFmtId="0" fontId="20" fillId="0" borderId="13" applyNumberFormat="0" applyFill="0" applyAlignment="0" applyProtection="0"/>
    <xf numFmtId="0" fontId="20" fillId="0" borderId="0" applyNumberFormat="0" applyFill="0" applyBorder="0" applyAlignment="0" applyProtection="0"/>
    <xf numFmtId="0" fontId="21" fillId="8" borderId="0" applyNumberFormat="0" applyBorder="0" applyAlignment="0" applyProtection="0"/>
    <xf numFmtId="0" fontId="22" fillId="9" borderId="0" applyNumberFormat="0" applyBorder="0" applyAlignment="0" applyProtection="0"/>
    <xf numFmtId="0" fontId="23" fillId="10" borderId="0" applyNumberFormat="0" applyBorder="0" applyAlignment="0" applyProtection="0"/>
    <xf numFmtId="0" fontId="24" fillId="11" borderId="14" applyNumberFormat="0" applyAlignment="0" applyProtection="0"/>
    <xf numFmtId="0" fontId="25" fillId="12" borderId="15" applyNumberFormat="0" applyAlignment="0" applyProtection="0"/>
    <xf numFmtId="0" fontId="26" fillId="12" borderId="14" applyNumberFormat="0" applyAlignment="0" applyProtection="0"/>
    <xf numFmtId="0" fontId="27" fillId="0" borderId="16" applyNumberFormat="0" applyFill="0" applyAlignment="0" applyProtection="0"/>
    <xf numFmtId="0" fontId="28" fillId="13" borderId="17" applyNumberFormat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" fillId="0" borderId="19" applyNumberFormat="0" applyFill="0" applyAlignment="0" applyProtection="0"/>
    <xf numFmtId="0" fontId="3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31" fillId="18" borderId="0" applyNumberFormat="0" applyBorder="0" applyAlignment="0" applyProtection="0"/>
    <xf numFmtId="0" fontId="3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31" fillId="22" borderId="0" applyNumberFormat="0" applyBorder="0" applyAlignment="0" applyProtection="0"/>
    <xf numFmtId="0" fontId="3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31" fillId="26" borderId="0" applyNumberFormat="0" applyBorder="0" applyAlignment="0" applyProtection="0"/>
    <xf numFmtId="0" fontId="3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31" fillId="30" borderId="0" applyNumberFormat="0" applyBorder="0" applyAlignment="0" applyProtection="0"/>
    <xf numFmtId="0" fontId="3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31" fillId="34" borderId="0" applyNumberFormat="0" applyBorder="0" applyAlignment="0" applyProtection="0"/>
    <xf numFmtId="0" fontId="3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31" fillId="38" borderId="0" applyNumberFormat="0" applyBorder="0" applyAlignment="0" applyProtection="0"/>
    <xf numFmtId="0" fontId="15" fillId="0" borderId="0"/>
    <xf numFmtId="43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32" fillId="0" borderId="0"/>
    <xf numFmtId="0" fontId="1" fillId="14" borderId="18" applyNumberFormat="0" applyFont="0" applyAlignment="0" applyProtection="0"/>
    <xf numFmtId="0" fontId="33" fillId="0" borderId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14" borderId="18" applyNumberFormat="0" applyFont="0" applyAlignment="0" applyProtection="0"/>
    <xf numFmtId="44" fontId="10" fillId="0" borderId="0" applyFont="0" applyFill="0" applyBorder="0" applyAlignment="0" applyProtection="0"/>
    <xf numFmtId="0" fontId="39" fillId="0" borderId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14" borderId="18" applyNumberFormat="0" applyFont="0" applyAlignment="0" applyProtection="0"/>
  </cellStyleXfs>
  <cellXfs count="212">
    <xf numFmtId="0" fontId="0" fillId="0" borderId="0" xfId="0"/>
    <xf numFmtId="3" fontId="4" fillId="2" borderId="0" xfId="0" applyNumberFormat="1" applyFont="1" applyFill="1" applyAlignment="1">
      <alignment horizontal="left"/>
    </xf>
    <xf numFmtId="0" fontId="3" fillId="0" borderId="0" xfId="0" applyFont="1" applyAlignment="1">
      <alignment horizontal="center"/>
    </xf>
    <xf numFmtId="0" fontId="7" fillId="0" borderId="2" xfId="0" applyFont="1" applyBorder="1"/>
    <xf numFmtId="0" fontId="2" fillId="0" borderId="2" xfId="0" applyFont="1" applyBorder="1"/>
    <xf numFmtId="43" fontId="2" fillId="0" borderId="2" xfId="1" applyFont="1" applyFill="1" applyBorder="1" applyAlignment="1" applyProtection="1">
      <alignment horizontal="center"/>
    </xf>
    <xf numFmtId="0" fontId="7" fillId="0" borderId="2" xfId="0" applyFont="1" applyBorder="1" applyAlignment="1">
      <alignment horizontal="center"/>
    </xf>
    <xf numFmtId="0" fontId="2" fillId="0" borderId="0" xfId="0" applyFont="1"/>
    <xf numFmtId="0" fontId="0" fillId="0" borderId="2" xfId="0" applyBorder="1" applyAlignment="1">
      <alignment vertical="center"/>
    </xf>
    <xf numFmtId="0" fontId="0" fillId="0" borderId="2" xfId="0" applyBorder="1"/>
    <xf numFmtId="43" fontId="0" fillId="0" borderId="2" xfId="1" applyFont="1" applyFill="1" applyBorder="1" applyProtection="1"/>
    <xf numFmtId="0" fontId="0" fillId="0" borderId="2" xfId="0" applyBorder="1" applyAlignment="1">
      <alignment horizontal="left"/>
    </xf>
    <xf numFmtId="44" fontId="0" fillId="0" borderId="2" xfId="2" applyFont="1" applyFill="1" applyBorder="1" applyProtection="1"/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left" wrapText="1"/>
    </xf>
    <xf numFmtId="44" fontId="0" fillId="4" borderId="2" xfId="2" applyFont="1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0" borderId="2" xfId="0" applyBorder="1" applyAlignment="1" applyProtection="1">
      <alignment horizontal="left" wrapText="1"/>
      <protection locked="0"/>
    </xf>
    <xf numFmtId="44" fontId="0" fillId="4" borderId="2" xfId="2" quotePrefix="1" applyFont="1" applyFill="1" applyBorder="1" applyProtection="1">
      <protection locked="0"/>
    </xf>
    <xf numFmtId="43" fontId="0" fillId="0" borderId="2" xfId="1" applyFont="1" applyFill="1" applyBorder="1" applyAlignment="1" applyProtection="1"/>
    <xf numFmtId="44" fontId="0" fillId="4" borderId="2" xfId="2" applyFont="1" applyFill="1" applyBorder="1" applyAlignment="1" applyProtection="1">
      <alignment wrapText="1"/>
      <protection locked="0"/>
    </xf>
    <xf numFmtId="10" fontId="0" fillId="0" borderId="2" xfId="3" applyNumberFormat="1" applyFont="1" applyFill="1" applyBorder="1" applyProtection="1"/>
    <xf numFmtId="43" fontId="2" fillId="0" borderId="2" xfId="1" applyFont="1" applyFill="1" applyBorder="1" applyProtection="1"/>
    <xf numFmtId="44" fontId="2" fillId="0" borderId="2" xfId="2" applyFont="1" applyFill="1" applyBorder="1" applyAlignment="1" applyProtection="1">
      <alignment horizontal="center"/>
    </xf>
    <xf numFmtId="164" fontId="2" fillId="0" borderId="2" xfId="1" applyNumberFormat="1" applyFont="1" applyFill="1" applyBorder="1" applyAlignment="1" applyProtection="1">
      <alignment horizontal="center"/>
    </xf>
    <xf numFmtId="0" fontId="2" fillId="0" borderId="2" xfId="0" applyFont="1" applyBorder="1" applyAlignment="1">
      <alignment horizontal="left" wrapText="1"/>
    </xf>
    <xf numFmtId="43" fontId="0" fillId="0" borderId="0" xfId="1" applyFont="1" applyFill="1" applyProtection="1"/>
    <xf numFmtId="0" fontId="0" fillId="0" borderId="0" xfId="0" applyAlignment="1">
      <alignment horizontal="center"/>
    </xf>
    <xf numFmtId="10" fontId="0" fillId="0" borderId="0" xfId="3" applyNumberFormat="1" applyFont="1" applyFill="1" applyAlignment="1" applyProtection="1">
      <alignment horizontal="center"/>
    </xf>
    <xf numFmtId="0" fontId="10" fillId="0" borderId="0" xfId="5"/>
    <xf numFmtId="0" fontId="12" fillId="0" borderId="2" xfId="5" applyFont="1" applyBorder="1" applyAlignment="1">
      <alignment horizontal="center" vertical="center"/>
    </xf>
    <xf numFmtId="0" fontId="12" fillId="0" borderId="2" xfId="5" applyFont="1" applyBorder="1" applyAlignment="1">
      <alignment horizontal="center" vertical="center" wrapText="1"/>
    </xf>
    <xf numFmtId="0" fontId="12" fillId="0" borderId="2" xfId="5" applyFont="1" applyBorder="1"/>
    <xf numFmtId="0" fontId="13" fillId="0" borderId="0" xfId="5" applyFont="1"/>
    <xf numFmtId="0" fontId="14" fillId="0" borderId="0" xfId="5" applyFont="1"/>
    <xf numFmtId="10" fontId="12" fillId="0" borderId="2" xfId="3" applyNumberFormat="1" applyFont="1" applyBorder="1"/>
    <xf numFmtId="0" fontId="0" fillId="0" borderId="0" xfId="0" applyAlignment="1">
      <alignment horizontal="right"/>
    </xf>
    <xf numFmtId="3" fontId="0" fillId="0" borderId="0" xfId="0" applyNumberFormat="1"/>
    <xf numFmtId="39" fontId="0" fillId="0" borderId="0" xfId="0" applyNumberFormat="1"/>
    <xf numFmtId="10" fontId="0" fillId="0" borderId="0" xfId="3" applyNumberFormat="1" applyFont="1" applyFill="1" applyProtection="1"/>
    <xf numFmtId="0" fontId="11" fillId="0" borderId="0" xfId="5" applyFont="1" applyAlignment="1">
      <alignment horizontal="center"/>
    </xf>
    <xf numFmtId="3" fontId="0" fillId="0" borderId="0" xfId="0" applyNumberFormat="1" applyAlignment="1">
      <alignment horizontal="center"/>
    </xf>
    <xf numFmtId="0" fontId="12" fillId="3" borderId="2" xfId="5" applyFont="1" applyFill="1" applyBorder="1"/>
    <xf numFmtId="0" fontId="10" fillId="0" borderId="2" xfId="5" applyBorder="1"/>
    <xf numFmtId="0" fontId="11" fillId="0" borderId="0" xfId="5" applyFont="1"/>
    <xf numFmtId="0" fontId="10" fillId="0" borderId="2" xfId="5" applyBorder="1" applyAlignment="1">
      <alignment horizontal="center"/>
    </xf>
    <xf numFmtId="0" fontId="12" fillId="0" borderId="2" xfId="5" applyFont="1" applyBorder="1" applyAlignment="1">
      <alignment horizontal="left"/>
    </xf>
    <xf numFmtId="9" fontId="10" fillId="0" borderId="2" xfId="3" applyFont="1" applyBorder="1"/>
    <xf numFmtId="9" fontId="10" fillId="3" borderId="2" xfId="3" applyFont="1" applyFill="1" applyBorder="1"/>
    <xf numFmtId="165" fontId="10" fillId="3" borderId="0" xfId="3" applyNumberFormat="1" applyFont="1" applyFill="1"/>
    <xf numFmtId="165" fontId="10" fillId="0" borderId="0" xfId="3" applyNumberFormat="1" applyFont="1" applyFill="1"/>
    <xf numFmtId="10" fontId="10" fillId="0" borderId="0" xfId="5" applyNumberFormat="1"/>
    <xf numFmtId="0" fontId="10" fillId="0" borderId="0" xfId="5" applyAlignment="1">
      <alignment horizontal="right"/>
    </xf>
    <xf numFmtId="166" fontId="10" fillId="0" borderId="2" xfId="2" applyNumberFormat="1" applyFont="1" applyBorder="1"/>
    <xf numFmtId="164" fontId="10" fillId="0" borderId="0" xfId="1" applyNumberFormat="1" applyFont="1"/>
    <xf numFmtId="166" fontId="10" fillId="0" borderId="0" xfId="2" applyNumberFormat="1" applyFont="1"/>
    <xf numFmtId="0" fontId="12" fillId="6" borderId="2" xfId="5" applyFont="1" applyFill="1" applyBorder="1" applyAlignment="1">
      <alignment horizontal="center" vertical="center" wrapText="1"/>
    </xf>
    <xf numFmtId="7" fontId="12" fillId="0" borderId="2" xfId="2" applyNumberFormat="1" applyFont="1" applyBorder="1" applyAlignment="1"/>
    <xf numFmtId="10" fontId="12" fillId="0" borderId="2" xfId="3" applyNumberFormat="1" applyFont="1" applyBorder="1" applyAlignment="1"/>
    <xf numFmtId="164" fontId="12" fillId="0" borderId="2" xfId="1" applyNumberFormat="1" applyFont="1" applyBorder="1" applyAlignment="1"/>
    <xf numFmtId="164" fontId="12" fillId="5" borderId="2" xfId="1" applyNumberFormat="1" applyFont="1" applyFill="1" applyBorder="1" applyAlignment="1" applyProtection="1"/>
    <xf numFmtId="7" fontId="12" fillId="5" borderId="2" xfId="2" applyNumberFormat="1" applyFont="1" applyFill="1" applyBorder="1" applyAlignment="1" applyProtection="1"/>
    <xf numFmtId="0" fontId="12" fillId="7" borderId="2" xfId="5" applyFont="1" applyFill="1" applyBorder="1"/>
    <xf numFmtId="0" fontId="12" fillId="3" borderId="2" xfId="5" applyFont="1" applyFill="1" applyBorder="1" applyAlignment="1">
      <alignment horizontal="center" vertical="center" wrapText="1"/>
    </xf>
    <xf numFmtId="166" fontId="12" fillId="0" borderId="2" xfId="5" applyNumberFormat="1" applyFont="1" applyBorder="1"/>
    <xf numFmtId="0" fontId="10" fillId="0" borderId="0" xfId="0" applyFont="1" applyAlignment="1">
      <alignment horizontal="right"/>
    </xf>
    <xf numFmtId="10" fontId="0" fillId="0" borderId="2" xfId="3" applyNumberFormat="1" applyFont="1" applyFill="1" applyBorder="1" applyAlignment="1" applyProtection="1">
      <alignment horizontal="center"/>
    </xf>
    <xf numFmtId="10" fontId="10" fillId="0" borderId="2" xfId="3" applyNumberFormat="1" applyFont="1" applyFill="1" applyBorder="1" applyProtection="1"/>
    <xf numFmtId="0" fontId="10" fillId="0" borderId="0" xfId="0" applyFont="1"/>
    <xf numFmtId="44" fontId="0" fillId="0" borderId="2" xfId="6" applyFont="1" applyFill="1" applyBorder="1" applyProtection="1"/>
    <xf numFmtId="44" fontId="0" fillId="4" borderId="2" xfId="6" applyFont="1" applyFill="1" applyBorder="1" applyProtection="1">
      <protection locked="0"/>
    </xf>
    <xf numFmtId="44" fontId="0" fillId="4" borderId="2" xfId="6" quotePrefix="1" applyFont="1" applyFill="1" applyBorder="1" applyProtection="1">
      <protection locked="0"/>
    </xf>
    <xf numFmtId="44" fontId="0" fillId="4" borderId="2" xfId="6" applyFont="1" applyFill="1" applyBorder="1" applyAlignment="1" applyProtection="1">
      <alignment wrapText="1"/>
      <protection locked="0"/>
    </xf>
    <xf numFmtId="44" fontId="0" fillId="0" borderId="0" xfId="0" applyNumberFormat="1"/>
    <xf numFmtId="10" fontId="10" fillId="0" borderId="2" xfId="5" applyNumberFormat="1" applyBorder="1"/>
    <xf numFmtId="0" fontId="10" fillId="0" borderId="3" xfId="5" applyBorder="1"/>
    <xf numFmtId="0" fontId="10" fillId="0" borderId="4" xfId="5" applyBorder="1"/>
    <xf numFmtId="0" fontId="12" fillId="0" borderId="5" xfId="5" applyFont="1" applyBorder="1" applyAlignment="1">
      <alignment horizontal="center" vertical="center" wrapText="1"/>
    </xf>
    <xf numFmtId="0" fontId="12" fillId="0" borderId="6" xfId="5" applyFont="1" applyBorder="1" applyAlignment="1">
      <alignment horizontal="center" vertical="center" wrapText="1"/>
    </xf>
    <xf numFmtId="10" fontId="12" fillId="0" borderId="5" xfId="3" applyNumberFormat="1" applyFont="1" applyBorder="1" applyAlignment="1"/>
    <xf numFmtId="10" fontId="10" fillId="0" borderId="6" xfId="5" applyNumberFormat="1" applyBorder="1"/>
    <xf numFmtId="0" fontId="13" fillId="0" borderId="7" xfId="5" applyFont="1" applyBorder="1"/>
    <xf numFmtId="0" fontId="10" fillId="0" borderId="8" xfId="5" applyBorder="1"/>
    <xf numFmtId="10" fontId="10" fillId="0" borderId="7" xfId="5" applyNumberFormat="1" applyBorder="1"/>
    <xf numFmtId="10" fontId="10" fillId="0" borderId="9" xfId="5" applyNumberFormat="1" applyBorder="1"/>
    <xf numFmtId="0" fontId="10" fillId="0" borderId="10" xfId="5" applyBorder="1"/>
    <xf numFmtId="44" fontId="16" fillId="4" borderId="2" xfId="6" applyFont="1" applyFill="1" applyBorder="1" applyProtection="1">
      <protection locked="0"/>
    </xf>
    <xf numFmtId="8" fontId="2" fillId="0" borderId="0" xfId="0" applyNumberFormat="1" applyFont="1"/>
    <xf numFmtId="164" fontId="2" fillId="0" borderId="2" xfId="48" applyNumberFormat="1" applyFont="1" applyFill="1" applyBorder="1" applyAlignment="1" applyProtection="1">
      <alignment horizontal="center"/>
    </xf>
    <xf numFmtId="10" fontId="0" fillId="0" borderId="2" xfId="49" applyNumberFormat="1" applyFont="1" applyFill="1" applyBorder="1" applyAlignment="1" applyProtection="1">
      <alignment horizontal="center"/>
    </xf>
    <xf numFmtId="0" fontId="16" fillId="4" borderId="2" xfId="5" applyFont="1" applyFill="1" applyBorder="1" applyProtection="1">
      <protection locked="0"/>
    </xf>
    <xf numFmtId="44" fontId="16" fillId="4" borderId="2" xfId="6" quotePrefix="1" applyFont="1" applyFill="1" applyBorder="1" applyProtection="1">
      <protection locked="0"/>
    </xf>
    <xf numFmtId="44" fontId="16" fillId="4" borderId="2" xfId="6" applyFont="1" applyFill="1" applyBorder="1" applyAlignment="1" applyProtection="1">
      <alignment wrapText="1"/>
      <protection locked="0"/>
    </xf>
    <xf numFmtId="0" fontId="16" fillId="0" borderId="2" xfId="0" applyFont="1" applyBorder="1" applyAlignment="1" applyProtection="1">
      <alignment horizontal="left" wrapText="1"/>
      <protection locked="0"/>
    </xf>
    <xf numFmtId="0" fontId="16" fillId="0" borderId="2" xfId="5" applyFont="1" applyBorder="1" applyAlignment="1" applyProtection="1">
      <alignment horizontal="left" wrapText="1"/>
      <protection locked="0"/>
    </xf>
    <xf numFmtId="0" fontId="16" fillId="4" borderId="2" xfId="0" applyFont="1" applyFill="1" applyBorder="1" applyProtection="1">
      <protection locked="0"/>
    </xf>
    <xf numFmtId="6" fontId="10" fillId="0" borderId="0" xfId="5" applyNumberFormat="1"/>
    <xf numFmtId="3" fontId="10" fillId="0" borderId="0" xfId="5" applyNumberFormat="1"/>
    <xf numFmtId="8" fontId="10" fillId="0" borderId="0" xfId="5" applyNumberFormat="1"/>
    <xf numFmtId="2" fontId="10" fillId="0" borderId="0" xfId="5" applyNumberFormat="1"/>
    <xf numFmtId="0" fontId="11" fillId="0" borderId="0" xfId="5" applyFont="1" applyAlignment="1">
      <alignment horizontal="left" indent="1"/>
    </xf>
    <xf numFmtId="0" fontId="11" fillId="0" borderId="0" xfId="5" applyFont="1" applyAlignment="1">
      <alignment horizontal="left" indent="4"/>
    </xf>
    <xf numFmtId="0" fontId="11" fillId="0" borderId="0" xfId="5" applyFont="1" applyAlignment="1">
      <alignment horizontal="left" indent="8"/>
    </xf>
    <xf numFmtId="0" fontId="11" fillId="0" borderId="0" xfId="5" applyFont="1" applyAlignment="1">
      <alignment horizontal="left" indent="16"/>
    </xf>
    <xf numFmtId="0" fontId="0" fillId="0" borderId="0" xfId="0" applyAlignment="1">
      <alignment horizontal="left" indent="16"/>
    </xf>
    <xf numFmtId="0" fontId="11" fillId="0" borderId="0" xfId="5" applyFont="1" applyAlignment="1">
      <alignment horizontal="left" indent="21"/>
    </xf>
    <xf numFmtId="0" fontId="11" fillId="0" borderId="0" xfId="5" applyFont="1" applyAlignment="1">
      <alignment horizontal="left" indent="28"/>
    </xf>
    <xf numFmtId="0" fontId="11" fillId="0" borderId="0" xfId="5" applyFont="1" applyAlignment="1">
      <alignment horizontal="left" indent="32"/>
    </xf>
    <xf numFmtId="0" fontId="11" fillId="0" borderId="0" xfId="5" applyFont="1" applyAlignment="1">
      <alignment horizontal="left" indent="34"/>
    </xf>
    <xf numFmtId="0" fontId="0" fillId="0" borderId="0" xfId="0" applyAlignment="1">
      <alignment horizontal="left" indent="35"/>
    </xf>
    <xf numFmtId="0" fontId="11" fillId="0" borderId="0" xfId="5" applyFont="1" applyAlignment="1">
      <alignment horizontal="left" indent="36"/>
    </xf>
    <xf numFmtId="0" fontId="11" fillId="0" borderId="0" xfId="5" applyFont="1" applyAlignment="1">
      <alignment horizontal="left" indent="42"/>
    </xf>
    <xf numFmtId="0" fontId="3" fillId="0" borderId="0" xfId="0" applyFont="1" applyAlignment="1">
      <alignment horizontal="left" indent="22"/>
    </xf>
    <xf numFmtId="0" fontId="3" fillId="0" borderId="0" xfId="0" applyFont="1" applyAlignment="1">
      <alignment horizontal="left" indent="24"/>
    </xf>
    <xf numFmtId="0" fontId="3" fillId="0" borderId="0" xfId="0" applyFont="1" applyAlignment="1">
      <alignment horizontal="left" indent="25"/>
    </xf>
    <xf numFmtId="0" fontId="3" fillId="0" borderId="0" xfId="0" applyFont="1" applyAlignment="1">
      <alignment horizontal="left" indent="26"/>
    </xf>
    <xf numFmtId="0" fontId="5" fillId="3" borderId="1" xfId="0" applyFont="1" applyFill="1" applyBorder="1" applyProtection="1">
      <protection locked="0"/>
    </xf>
    <xf numFmtId="0" fontId="6" fillId="3" borderId="1" xfId="0" applyFont="1" applyFill="1" applyBorder="1" applyProtection="1">
      <protection locked="0"/>
    </xf>
    <xf numFmtId="43" fontId="2" fillId="0" borderId="2" xfId="48" applyFont="1" applyFill="1" applyBorder="1" applyAlignment="1" applyProtection="1">
      <alignment horizontal="center"/>
    </xf>
    <xf numFmtId="43" fontId="0" fillId="0" borderId="2" xfId="48" applyFont="1" applyFill="1" applyBorder="1" applyProtection="1"/>
    <xf numFmtId="43" fontId="0" fillId="0" borderId="2" xfId="48" applyFont="1" applyFill="1" applyBorder="1" applyAlignment="1" applyProtection="1"/>
    <xf numFmtId="10" fontId="0" fillId="0" borderId="2" xfId="49" applyNumberFormat="1" applyFont="1" applyFill="1" applyBorder="1" applyProtection="1"/>
    <xf numFmtId="43" fontId="2" fillId="0" borderId="2" xfId="48" applyFont="1" applyFill="1" applyBorder="1" applyProtection="1"/>
    <xf numFmtId="43" fontId="0" fillId="0" borderId="0" xfId="48" applyFont="1" applyFill="1" applyProtection="1"/>
    <xf numFmtId="0" fontId="7" fillId="0" borderId="2" xfId="52" applyFont="1" applyBorder="1"/>
    <xf numFmtId="0" fontId="2" fillId="0" borderId="2" xfId="52" applyFont="1" applyBorder="1"/>
    <xf numFmtId="0" fontId="7" fillId="0" borderId="2" xfId="52" applyFont="1" applyBorder="1" applyAlignment="1">
      <alignment horizontal="center"/>
    </xf>
    <xf numFmtId="0" fontId="2" fillId="0" borderId="2" xfId="52" applyFont="1" applyBorder="1" applyAlignment="1">
      <alignment horizontal="left" wrapText="1"/>
    </xf>
    <xf numFmtId="0" fontId="7" fillId="0" borderId="2" xfId="4" applyFont="1" applyBorder="1"/>
    <xf numFmtId="0" fontId="2" fillId="0" borderId="2" xfId="4" applyFont="1" applyBorder="1"/>
    <xf numFmtId="0" fontId="7" fillId="0" borderId="2" xfId="4" applyFont="1" applyBorder="1" applyAlignment="1">
      <alignment horizontal="center"/>
    </xf>
    <xf numFmtId="0" fontId="2" fillId="0" borderId="2" xfId="4" applyFont="1" applyBorder="1" applyAlignment="1">
      <alignment horizontal="left" wrapText="1"/>
    </xf>
    <xf numFmtId="0" fontId="2" fillId="0" borderId="0" xfId="0" applyFont="1" applyAlignment="1">
      <alignment horizontal="center"/>
    </xf>
    <xf numFmtId="10" fontId="36" fillId="0" borderId="2" xfId="49" applyNumberFormat="1" applyFont="1" applyFill="1" applyBorder="1" applyProtection="1"/>
    <xf numFmtId="0" fontId="2" fillId="0" borderId="0" xfId="0" applyFont="1" applyAlignment="1">
      <alignment horizontal="left" indent="43"/>
    </xf>
    <xf numFmtId="0" fontId="2" fillId="0" borderId="0" xfId="0" applyFont="1" applyAlignment="1">
      <alignment horizontal="left" indent="40"/>
    </xf>
    <xf numFmtId="3" fontId="37" fillId="2" borderId="0" xfId="0" applyNumberFormat="1" applyFont="1" applyFill="1" applyAlignment="1">
      <alignment horizontal="left"/>
    </xf>
    <xf numFmtId="0" fontId="38" fillId="0" borderId="0" xfId="0" applyFont="1"/>
    <xf numFmtId="44" fontId="2" fillId="0" borderId="2" xfId="6" applyFont="1" applyFill="1" applyBorder="1" applyAlignment="1" applyProtection="1">
      <alignment horizontal="center"/>
    </xf>
    <xf numFmtId="0" fontId="16" fillId="0" borderId="0" xfId="0" applyFont="1" applyAlignment="1">
      <alignment horizontal="right"/>
    </xf>
    <xf numFmtId="44" fontId="38" fillId="0" borderId="2" xfId="6" applyFont="1" applyFill="1" applyBorder="1" applyAlignment="1" applyProtection="1">
      <alignment horizontal="center"/>
    </xf>
    <xf numFmtId="10" fontId="16" fillId="0" borderId="2" xfId="3" applyNumberFormat="1" applyFont="1" applyFill="1" applyBorder="1" applyProtection="1"/>
    <xf numFmtId="0" fontId="16" fillId="0" borderId="0" xfId="0" applyFont="1"/>
    <xf numFmtId="8" fontId="0" fillId="0" borderId="0" xfId="0" applyNumberFormat="1"/>
    <xf numFmtId="0" fontId="1" fillId="0" borderId="0" xfId="0" applyFont="1"/>
    <xf numFmtId="43" fontId="1" fillId="0" borderId="0" xfId="48" applyFont="1" applyFill="1" applyProtection="1"/>
    <xf numFmtId="0" fontId="2" fillId="0" borderId="0" xfId="4" applyFont="1"/>
    <xf numFmtId="0" fontId="2" fillId="0" borderId="0" xfId="4" applyFont="1" applyAlignment="1">
      <alignment horizontal="center"/>
    </xf>
    <xf numFmtId="3" fontId="37" fillId="2" borderId="0" xfId="4" applyNumberFormat="1" applyFont="1" applyFill="1" applyAlignment="1">
      <alignment horizontal="left"/>
    </xf>
    <xf numFmtId="0" fontId="38" fillId="0" borderId="0" xfId="4" applyFont="1"/>
    <xf numFmtId="0" fontId="16" fillId="0" borderId="0" xfId="4" applyFont="1"/>
    <xf numFmtId="0" fontId="16" fillId="0" borderId="2" xfId="4" applyFont="1" applyBorder="1" applyAlignment="1">
      <alignment vertical="center"/>
    </xf>
    <xf numFmtId="0" fontId="16" fillId="0" borderId="2" xfId="4" applyFont="1" applyBorder="1"/>
    <xf numFmtId="43" fontId="16" fillId="0" borderId="2" xfId="48" applyFont="1" applyFill="1" applyBorder="1" applyProtection="1"/>
    <xf numFmtId="0" fontId="16" fillId="0" borderId="2" xfId="4" applyFont="1" applyBorder="1" applyAlignment="1">
      <alignment horizontal="left"/>
    </xf>
    <xf numFmtId="44" fontId="16" fillId="0" borderId="2" xfId="6" applyFont="1" applyFill="1" applyBorder="1" applyProtection="1"/>
    <xf numFmtId="0" fontId="16" fillId="0" borderId="2" xfId="4" applyFont="1" applyBorder="1" applyAlignment="1">
      <alignment horizontal="center"/>
    </xf>
    <xf numFmtId="0" fontId="16" fillId="0" borderId="2" xfId="4" applyFont="1" applyBorder="1" applyAlignment="1">
      <alignment horizontal="left" wrapText="1"/>
    </xf>
    <xf numFmtId="0" fontId="16" fillId="4" borderId="2" xfId="4" applyFont="1" applyFill="1" applyBorder="1" applyProtection="1">
      <protection locked="0"/>
    </xf>
    <xf numFmtId="0" fontId="16" fillId="0" borderId="2" xfId="4" applyFont="1" applyBorder="1" applyAlignment="1" applyProtection="1">
      <alignment horizontal="left" wrapText="1"/>
      <protection locked="0"/>
    </xf>
    <xf numFmtId="43" fontId="16" fillId="0" borderId="2" xfId="48" applyFont="1" applyFill="1" applyBorder="1" applyAlignment="1" applyProtection="1"/>
    <xf numFmtId="10" fontId="16" fillId="0" borderId="2" xfId="49" applyNumberFormat="1" applyFont="1" applyFill="1" applyBorder="1" applyProtection="1"/>
    <xf numFmtId="0" fontId="16" fillId="0" borderId="0" xfId="4" applyFont="1" applyAlignment="1">
      <alignment horizontal="right"/>
    </xf>
    <xf numFmtId="10" fontId="16" fillId="0" borderId="2" xfId="49" applyNumberFormat="1" applyFont="1" applyFill="1" applyBorder="1" applyAlignment="1" applyProtection="1">
      <alignment horizontal="center"/>
    </xf>
    <xf numFmtId="0" fontId="16" fillId="0" borderId="0" xfId="4" applyFont="1" applyAlignment="1">
      <alignment horizontal="center"/>
    </xf>
    <xf numFmtId="43" fontId="1" fillId="0" borderId="0" xfId="1" applyFont="1" applyFill="1" applyProtection="1"/>
    <xf numFmtId="0" fontId="2" fillId="0" borderId="0" xfId="52" applyFont="1"/>
    <xf numFmtId="0" fontId="2" fillId="0" borderId="0" xfId="52" applyFont="1" applyAlignment="1">
      <alignment horizontal="center"/>
    </xf>
    <xf numFmtId="3" fontId="37" fillId="2" borderId="0" xfId="52" applyNumberFormat="1" applyFont="1" applyFill="1" applyAlignment="1">
      <alignment horizontal="left"/>
    </xf>
    <xf numFmtId="0" fontId="38" fillId="0" borderId="0" xfId="52" applyFont="1"/>
    <xf numFmtId="0" fontId="16" fillId="0" borderId="0" xfId="52" applyFont="1"/>
    <xf numFmtId="0" fontId="16" fillId="0" borderId="2" xfId="52" applyFont="1" applyBorder="1" applyAlignment="1">
      <alignment vertical="center"/>
    </xf>
    <xf numFmtId="0" fontId="16" fillId="0" borderId="2" xfId="52" applyFont="1" applyBorder="1"/>
    <xf numFmtId="0" fontId="16" fillId="0" borderId="2" xfId="52" applyFont="1" applyBorder="1" applyAlignment="1">
      <alignment horizontal="left"/>
    </xf>
    <xf numFmtId="0" fontId="16" fillId="0" borderId="2" xfId="52" applyFont="1" applyBorder="1" applyAlignment="1">
      <alignment horizontal="center"/>
    </xf>
    <xf numFmtId="0" fontId="16" fillId="0" borderId="2" xfId="52" applyFont="1" applyBorder="1" applyAlignment="1">
      <alignment horizontal="left" wrapText="1"/>
    </xf>
    <xf numFmtId="0" fontId="16" fillId="4" borderId="2" xfId="52" applyFont="1" applyFill="1" applyBorder="1" applyProtection="1">
      <protection locked="0"/>
    </xf>
    <xf numFmtId="0" fontId="16" fillId="0" borderId="2" xfId="52" applyFont="1" applyBorder="1" applyAlignment="1" applyProtection="1">
      <alignment horizontal="left" wrapText="1"/>
      <protection locked="0"/>
    </xf>
    <xf numFmtId="0" fontId="16" fillId="0" borderId="0" xfId="52" applyFont="1" applyAlignment="1">
      <alignment horizontal="right"/>
    </xf>
    <xf numFmtId="0" fontId="16" fillId="0" borderId="0" xfId="52" applyFont="1" applyAlignment="1">
      <alignment horizontal="center"/>
    </xf>
    <xf numFmtId="44" fontId="38" fillId="0" borderId="2" xfId="2" applyFont="1" applyFill="1" applyBorder="1" applyAlignment="1" applyProtection="1">
      <alignment horizontal="center"/>
    </xf>
    <xf numFmtId="44" fontId="36" fillId="0" borderId="2" xfId="6" applyFont="1" applyFill="1" applyBorder="1" applyProtection="1"/>
    <xf numFmtId="0" fontId="36" fillId="0" borderId="2" xfId="4" applyFont="1" applyBorder="1"/>
    <xf numFmtId="0" fontId="36" fillId="0" borderId="2" xfId="4" applyFont="1" applyBorder="1" applyAlignment="1" applyProtection="1">
      <alignment horizontal="left" wrapText="1"/>
      <protection locked="0"/>
    </xf>
    <xf numFmtId="0" fontId="35" fillId="0" borderId="0" xfId="4" applyFont="1"/>
    <xf numFmtId="43" fontId="36" fillId="0" borderId="2" xfId="48" applyFont="1" applyFill="1" applyBorder="1" applyAlignment="1" applyProtection="1"/>
    <xf numFmtId="0" fontId="36" fillId="0" borderId="0" xfId="4" applyFont="1"/>
    <xf numFmtId="3" fontId="34" fillId="2" borderId="0" xfId="4" applyNumberFormat="1" applyFont="1" applyFill="1" applyAlignment="1">
      <alignment horizontal="left"/>
    </xf>
    <xf numFmtId="0" fontId="36" fillId="0" borderId="2" xfId="4" applyFont="1" applyBorder="1" applyAlignment="1">
      <alignment horizontal="center"/>
    </xf>
    <xf numFmtId="0" fontId="36" fillId="0" borderId="2" xfId="4" applyFont="1" applyBorder="1" applyAlignment="1">
      <alignment horizontal="left" wrapText="1"/>
    </xf>
    <xf numFmtId="0" fontId="36" fillId="0" borderId="2" xfId="4" applyFont="1" applyBorder="1" applyAlignment="1">
      <alignment vertical="center"/>
    </xf>
    <xf numFmtId="43" fontId="36" fillId="0" borderId="2" xfId="48" applyFont="1" applyFill="1" applyBorder="1" applyProtection="1"/>
    <xf numFmtId="0" fontId="36" fillId="0" borderId="0" xfId="4" applyFont="1" applyAlignment="1">
      <alignment horizontal="right"/>
    </xf>
    <xf numFmtId="0" fontId="36" fillId="0" borderId="2" xfId="4" applyFont="1" applyBorder="1" applyAlignment="1">
      <alignment horizontal="left"/>
    </xf>
    <xf numFmtId="0" fontId="7" fillId="0" borderId="2" xfId="67" applyFont="1" applyBorder="1"/>
    <xf numFmtId="0" fontId="2" fillId="0" borderId="2" xfId="67" applyFont="1" applyBorder="1"/>
    <xf numFmtId="0" fontId="7" fillId="0" borderId="2" xfId="67" applyFont="1" applyBorder="1" applyAlignment="1">
      <alignment horizontal="center"/>
    </xf>
    <xf numFmtId="0" fontId="2" fillId="0" borderId="2" xfId="67" applyFont="1" applyBorder="1" applyAlignment="1">
      <alignment horizontal="left" wrapText="1"/>
    </xf>
    <xf numFmtId="0" fontId="2" fillId="0" borderId="0" xfId="67" applyFont="1"/>
    <xf numFmtId="0" fontId="2" fillId="0" borderId="0" xfId="67" applyFont="1" applyAlignment="1">
      <alignment horizontal="center"/>
    </xf>
    <xf numFmtId="3" fontId="37" fillId="2" borderId="0" xfId="67" applyNumberFormat="1" applyFont="1" applyFill="1" applyAlignment="1">
      <alignment horizontal="left"/>
    </xf>
    <xf numFmtId="0" fontId="38" fillId="0" borderId="0" xfId="67" applyFont="1"/>
    <xf numFmtId="0" fontId="16" fillId="0" borderId="0" xfId="67" applyFont="1"/>
    <xf numFmtId="0" fontId="16" fillId="0" borderId="2" xfId="67" applyFont="1" applyBorder="1" applyAlignment="1">
      <alignment vertical="center"/>
    </xf>
    <xf numFmtId="0" fontId="16" fillId="0" borderId="2" xfId="67" applyFont="1" applyBorder="1"/>
    <xf numFmtId="0" fontId="16" fillId="0" borderId="2" xfId="67" applyFont="1" applyBorder="1" applyAlignment="1">
      <alignment horizontal="left"/>
    </xf>
    <xf numFmtId="0" fontId="16" fillId="0" borderId="2" xfId="67" applyFont="1" applyBorder="1" applyAlignment="1">
      <alignment horizontal="center"/>
    </xf>
    <xf numFmtId="0" fontId="16" fillId="0" borderId="2" xfId="67" applyFont="1" applyBorder="1" applyAlignment="1">
      <alignment horizontal="left" wrapText="1"/>
    </xf>
    <xf numFmtId="0" fontId="16" fillId="4" borderId="2" xfId="67" applyFont="1" applyFill="1" applyBorder="1" applyProtection="1">
      <protection locked="0"/>
    </xf>
    <xf numFmtId="0" fontId="16" fillId="0" borderId="2" xfId="67" applyFont="1" applyBorder="1" applyAlignment="1" applyProtection="1">
      <alignment horizontal="left" wrapText="1"/>
      <protection locked="0"/>
    </xf>
    <xf numFmtId="0" fontId="16" fillId="0" borderId="0" xfId="67" applyFont="1" applyAlignment="1">
      <alignment horizontal="right"/>
    </xf>
    <xf numFmtId="0" fontId="16" fillId="0" borderId="0" xfId="67" applyFont="1" applyAlignment="1">
      <alignment horizontal="center"/>
    </xf>
  </cellXfs>
  <cellStyles count="81">
    <cellStyle name="20% - Accent1" xfId="24" builtinId="30" customBuiltin="1"/>
    <cellStyle name="20% - Accent1 2" xfId="53" xr:uid="{CF515FBB-567E-4A10-BF55-48E380A99A30}"/>
    <cellStyle name="20% - Accent1 3" xfId="68" xr:uid="{5E21E41E-F197-4DEB-AF9B-190E615280BA}"/>
    <cellStyle name="20% - Accent2" xfId="28" builtinId="34" customBuiltin="1"/>
    <cellStyle name="20% - Accent2 2" xfId="55" xr:uid="{EFA0414E-709B-47BB-99F9-2EB134E26B9D}"/>
    <cellStyle name="20% - Accent2 3" xfId="70" xr:uid="{DBE827BD-4BC5-4B26-95F0-0AE179A6CA12}"/>
    <cellStyle name="20% - Accent3" xfId="32" builtinId="38" customBuiltin="1"/>
    <cellStyle name="20% - Accent3 2" xfId="57" xr:uid="{608D10F5-DD76-44CB-9662-ED55BD8A5DFC}"/>
    <cellStyle name="20% - Accent3 3" xfId="72" xr:uid="{AF34E97E-AAE2-4D88-A83F-3C7C60672A3F}"/>
    <cellStyle name="20% - Accent4" xfId="36" builtinId="42" customBuiltin="1"/>
    <cellStyle name="20% - Accent4 2" xfId="59" xr:uid="{732C5FCA-F307-4C89-968F-5AD9DB80FAD0}"/>
    <cellStyle name="20% - Accent4 3" xfId="74" xr:uid="{CF630591-16F4-46D3-88A4-018C795C930E}"/>
    <cellStyle name="20% - Accent5" xfId="40" builtinId="46" customBuiltin="1"/>
    <cellStyle name="20% - Accent5 2" xfId="61" xr:uid="{E36524D3-6676-4461-B111-9A4EEF6377F1}"/>
    <cellStyle name="20% - Accent5 3" xfId="76" xr:uid="{C4AA0A43-25EC-4C5F-969A-09278EEE0275}"/>
    <cellStyle name="20% - Accent6" xfId="44" builtinId="50" customBuiltin="1"/>
    <cellStyle name="20% - Accent6 2" xfId="63" xr:uid="{DC6C9B1E-A451-471C-A1F9-0DC1E48B47CB}"/>
    <cellStyle name="20% - Accent6 3" xfId="78" xr:uid="{63C5DEFF-E040-4405-A187-7891C8655326}"/>
    <cellStyle name="40% - Accent1" xfId="25" builtinId="31" customBuiltin="1"/>
    <cellStyle name="40% - Accent1 2" xfId="54" xr:uid="{BC83A81D-7086-46D4-8B61-736EF366DC33}"/>
    <cellStyle name="40% - Accent1 3" xfId="69" xr:uid="{B2876079-586D-4A61-B391-41D07AF0296F}"/>
    <cellStyle name="40% - Accent2" xfId="29" builtinId="35" customBuiltin="1"/>
    <cellStyle name="40% - Accent2 2" xfId="56" xr:uid="{F29B7F03-4A52-49E7-A5A8-7B7AC83DE971}"/>
    <cellStyle name="40% - Accent2 3" xfId="71" xr:uid="{864AFC92-17C2-4CBB-B01C-BA5A442F2B9F}"/>
    <cellStyle name="40% - Accent3" xfId="33" builtinId="39" customBuiltin="1"/>
    <cellStyle name="40% - Accent3 2" xfId="58" xr:uid="{EBE84023-6A1A-41A7-914A-05809C38CB33}"/>
    <cellStyle name="40% - Accent3 3" xfId="73" xr:uid="{33CDD46A-B368-46BA-9B4C-F45331D14AC4}"/>
    <cellStyle name="40% - Accent4" xfId="37" builtinId="43" customBuiltin="1"/>
    <cellStyle name="40% - Accent4 2" xfId="60" xr:uid="{16EE4A7A-E0FD-477C-B46A-B7E4EAF4DCB7}"/>
    <cellStyle name="40% - Accent4 3" xfId="75" xr:uid="{5CC70AFE-1B6C-4B57-A38B-22ABFFB10A03}"/>
    <cellStyle name="40% - Accent5" xfId="41" builtinId="47" customBuiltin="1"/>
    <cellStyle name="40% - Accent5 2" xfId="62" xr:uid="{546F6A94-0978-4915-80B9-3287C9F37F55}"/>
    <cellStyle name="40% - Accent5 3" xfId="77" xr:uid="{732B5557-A6DB-4516-A2A3-DA0B87725A37}"/>
    <cellStyle name="40% - Accent6" xfId="45" builtinId="51" customBuiltin="1"/>
    <cellStyle name="40% - Accent6 2" xfId="64" xr:uid="{4BED5442-6528-4B34-8EBE-EB3AB510008A}"/>
    <cellStyle name="40% - Accent6 3" xfId="79" xr:uid="{3640CF3F-5A47-4683-93B2-7689A2F74FA1}"/>
    <cellStyle name="60% - Accent1" xfId="26" builtinId="32" customBuiltin="1"/>
    <cellStyle name="60% - Accent2" xfId="30" builtinId="36" customBuiltin="1"/>
    <cellStyle name="60% - Accent3" xfId="34" builtinId="40" customBuiltin="1"/>
    <cellStyle name="60% - Accent4" xfId="38" builtinId="44" customBuiltin="1"/>
    <cellStyle name="60% - Accent5" xfId="42" builtinId="48" customBuiltin="1"/>
    <cellStyle name="60% - Accent6" xfId="46" builtinId="52" customBuiltin="1"/>
    <cellStyle name="Accent1" xfId="23" builtinId="29" customBuiltin="1"/>
    <cellStyle name="Accent2" xfId="27" builtinId="33" customBuiltin="1"/>
    <cellStyle name="Accent3" xfId="31" builtinId="37" customBuiltin="1"/>
    <cellStyle name="Accent4" xfId="35" builtinId="41" customBuiltin="1"/>
    <cellStyle name="Accent5" xfId="39" builtinId="45" customBuiltin="1"/>
    <cellStyle name="Accent6" xfId="43" builtinId="49" customBuiltin="1"/>
    <cellStyle name="Bad" xfId="13" builtinId="27" customBuiltin="1"/>
    <cellStyle name="Calculation" xfId="17" builtinId="22" customBuiltin="1"/>
    <cellStyle name="Check Cell" xfId="19" builtinId="23" customBuiltin="1"/>
    <cellStyle name="Comma" xfId="1" builtinId="3"/>
    <cellStyle name="Comma 2" xfId="48" xr:uid="{00000000-0005-0000-0000-00001C000000}"/>
    <cellStyle name="Currency" xfId="2" builtinId="4"/>
    <cellStyle name="Currency 2" xfId="6" xr:uid="{00000000-0005-0000-0000-00001E000000}"/>
    <cellStyle name="Currency 3" xfId="66" xr:uid="{C88DDDDF-1967-45D8-B633-0B3422CCCE57}"/>
    <cellStyle name="Explanatory Text" xfId="21" builtinId="53" customBuiltin="1"/>
    <cellStyle name="Good" xfId="12" builtinId="26" customBuiltin="1"/>
    <cellStyle name="Heading 1" xfId="8" builtinId="16" customBuiltin="1"/>
    <cellStyle name="Heading 2" xfId="9" builtinId="17" customBuiltin="1"/>
    <cellStyle name="Heading 3" xfId="10" builtinId="18" customBuiltin="1"/>
    <cellStyle name="Heading 4" xfId="11" builtinId="19" customBuiltin="1"/>
    <cellStyle name="Input" xfId="15" builtinId="20" customBuiltin="1"/>
    <cellStyle name="Linked Cell" xfId="18" builtinId="24" customBuiltin="1"/>
    <cellStyle name="Neutral" xfId="14" builtinId="28" customBuiltin="1"/>
    <cellStyle name="Normal" xfId="0" builtinId="0"/>
    <cellStyle name="Normal 2" xfId="4" xr:uid="{00000000-0005-0000-0000-000029000000}"/>
    <cellStyle name="Normal 2 2" xfId="50" xr:uid="{00000000-0005-0000-0000-00002A000000}"/>
    <cellStyle name="Normal 3" xfId="47" xr:uid="{00000000-0005-0000-0000-00002B000000}"/>
    <cellStyle name="Normal 4" xfId="5" xr:uid="{00000000-0005-0000-0000-00002C000000}"/>
    <cellStyle name="Normal 5" xfId="52" xr:uid="{7174008C-AED0-4E6E-871E-0B9298359260}"/>
    <cellStyle name="Normal 6" xfId="67" xr:uid="{60B0A32E-CB86-48B1-A4C8-7E1E0082ECDB}"/>
    <cellStyle name="Note 2" xfId="51" xr:uid="{00000000-0005-0000-0000-00002D000000}"/>
    <cellStyle name="Note 2 2" xfId="65" xr:uid="{38C7D638-79D2-4EBC-8876-2842ACA92D1C}"/>
    <cellStyle name="Note 2 3" xfId="80" xr:uid="{DB20C19D-D95C-4611-9BFB-25C12FE86626}"/>
    <cellStyle name="Output" xfId="16" builtinId="21" customBuiltin="1"/>
    <cellStyle name="Percent" xfId="3" builtinId="5"/>
    <cellStyle name="Percent 2" xfId="49" xr:uid="{00000000-0005-0000-0000-000030000000}"/>
    <cellStyle name="Title" xfId="7" builtinId="15" customBuiltin="1"/>
    <cellStyle name="Total" xfId="22" builtinId="25" customBuiltin="1"/>
    <cellStyle name="Warning Text" xfId="20" builtinId="11" customBuiltin="1"/>
  </cellStyles>
  <dxfs count="579"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</dxfs>
  <tableStyles count="0" defaultTableStyle="TableStyleMedium2" defaultPivotStyle="PivotStyleLight16"/>
  <colors>
    <mruColors>
      <color rgb="FFFFFF00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0.xml"/><Relationship Id="rId18" Type="http://schemas.openxmlformats.org/officeDocument/2006/relationships/worksheet" Target="worksheets/sheet15.xml"/><Relationship Id="rId26" Type="http://schemas.openxmlformats.org/officeDocument/2006/relationships/worksheet" Target="worksheets/sheet23.xml"/><Relationship Id="rId39" Type="http://schemas.openxmlformats.org/officeDocument/2006/relationships/externalLink" Target="externalLinks/externalLink4.xml"/><Relationship Id="rId21" Type="http://schemas.openxmlformats.org/officeDocument/2006/relationships/worksheet" Target="worksheets/sheet18.xml"/><Relationship Id="rId34" Type="http://schemas.openxmlformats.org/officeDocument/2006/relationships/worksheet" Target="worksheets/sheet31.xml"/><Relationship Id="rId42" Type="http://schemas.openxmlformats.org/officeDocument/2006/relationships/externalLink" Target="externalLinks/externalLink7.xml"/><Relationship Id="rId47" Type="http://schemas.openxmlformats.org/officeDocument/2006/relationships/externalLink" Target="externalLinks/externalLink12.xml"/><Relationship Id="rId50" Type="http://schemas.openxmlformats.org/officeDocument/2006/relationships/externalLink" Target="externalLinks/externalLink15.xml"/><Relationship Id="rId55" Type="http://schemas.openxmlformats.org/officeDocument/2006/relationships/externalLink" Target="externalLinks/externalLink20.xml"/><Relationship Id="rId63" Type="http://schemas.openxmlformats.org/officeDocument/2006/relationships/sharedStrings" Target="sharedStrings.xml"/><Relationship Id="rId7" Type="http://schemas.openxmlformats.org/officeDocument/2006/relationships/worksheet" Target="worksheets/sheet4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3.xml"/><Relationship Id="rId20" Type="http://schemas.openxmlformats.org/officeDocument/2006/relationships/worksheet" Target="worksheets/sheet17.xml"/><Relationship Id="rId29" Type="http://schemas.openxmlformats.org/officeDocument/2006/relationships/worksheet" Target="worksheets/sheet26.xml"/><Relationship Id="rId41" Type="http://schemas.openxmlformats.org/officeDocument/2006/relationships/externalLink" Target="externalLinks/externalLink6.xml"/><Relationship Id="rId54" Type="http://schemas.openxmlformats.org/officeDocument/2006/relationships/externalLink" Target="externalLinks/externalLink19.xml"/><Relationship Id="rId62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3.xml"/><Relationship Id="rId11" Type="http://schemas.openxmlformats.org/officeDocument/2006/relationships/worksheet" Target="worksheets/sheet8.xml"/><Relationship Id="rId24" Type="http://schemas.openxmlformats.org/officeDocument/2006/relationships/worksheet" Target="worksheets/sheet21.xml"/><Relationship Id="rId32" Type="http://schemas.openxmlformats.org/officeDocument/2006/relationships/worksheet" Target="worksheets/sheet29.xml"/><Relationship Id="rId37" Type="http://schemas.openxmlformats.org/officeDocument/2006/relationships/externalLink" Target="externalLinks/externalLink2.xml"/><Relationship Id="rId40" Type="http://schemas.openxmlformats.org/officeDocument/2006/relationships/externalLink" Target="externalLinks/externalLink5.xml"/><Relationship Id="rId45" Type="http://schemas.openxmlformats.org/officeDocument/2006/relationships/externalLink" Target="externalLinks/externalLink10.xml"/><Relationship Id="rId53" Type="http://schemas.openxmlformats.org/officeDocument/2006/relationships/externalLink" Target="externalLinks/externalLink18.xml"/><Relationship Id="rId58" Type="http://schemas.openxmlformats.org/officeDocument/2006/relationships/externalLink" Target="externalLinks/externalLink23.xml"/><Relationship Id="rId5" Type="http://schemas.openxmlformats.org/officeDocument/2006/relationships/chartsheet" Target="chartsheets/sheet3.xml"/><Relationship Id="rId15" Type="http://schemas.openxmlformats.org/officeDocument/2006/relationships/worksheet" Target="worksheets/sheet12.xml"/><Relationship Id="rId23" Type="http://schemas.openxmlformats.org/officeDocument/2006/relationships/worksheet" Target="worksheets/sheet20.xml"/><Relationship Id="rId28" Type="http://schemas.openxmlformats.org/officeDocument/2006/relationships/worksheet" Target="worksheets/sheet25.xml"/><Relationship Id="rId36" Type="http://schemas.openxmlformats.org/officeDocument/2006/relationships/externalLink" Target="externalLinks/externalLink1.xml"/><Relationship Id="rId49" Type="http://schemas.openxmlformats.org/officeDocument/2006/relationships/externalLink" Target="externalLinks/externalLink14.xml"/><Relationship Id="rId57" Type="http://schemas.openxmlformats.org/officeDocument/2006/relationships/externalLink" Target="externalLinks/externalLink22.xml"/><Relationship Id="rId61" Type="http://schemas.openxmlformats.org/officeDocument/2006/relationships/theme" Target="theme/theme1.xml"/><Relationship Id="rId10" Type="http://schemas.openxmlformats.org/officeDocument/2006/relationships/worksheet" Target="worksheets/sheet7.xml"/><Relationship Id="rId19" Type="http://schemas.openxmlformats.org/officeDocument/2006/relationships/worksheet" Target="worksheets/sheet16.xml"/><Relationship Id="rId31" Type="http://schemas.openxmlformats.org/officeDocument/2006/relationships/worksheet" Target="worksheets/sheet28.xml"/><Relationship Id="rId44" Type="http://schemas.openxmlformats.org/officeDocument/2006/relationships/externalLink" Target="externalLinks/externalLink9.xml"/><Relationship Id="rId52" Type="http://schemas.openxmlformats.org/officeDocument/2006/relationships/externalLink" Target="externalLinks/externalLink17.xml"/><Relationship Id="rId60" Type="http://schemas.openxmlformats.org/officeDocument/2006/relationships/externalLink" Target="externalLinks/externalLink25.xml"/><Relationship Id="rId4" Type="http://schemas.openxmlformats.org/officeDocument/2006/relationships/chartsheet" Target="chartsheets/sheet2.xml"/><Relationship Id="rId9" Type="http://schemas.openxmlformats.org/officeDocument/2006/relationships/worksheet" Target="worksheets/sheet6.xml"/><Relationship Id="rId14" Type="http://schemas.openxmlformats.org/officeDocument/2006/relationships/worksheet" Target="worksheets/sheet11.xml"/><Relationship Id="rId22" Type="http://schemas.openxmlformats.org/officeDocument/2006/relationships/worksheet" Target="worksheets/sheet19.xml"/><Relationship Id="rId27" Type="http://schemas.openxmlformats.org/officeDocument/2006/relationships/worksheet" Target="worksheets/sheet24.xml"/><Relationship Id="rId30" Type="http://schemas.openxmlformats.org/officeDocument/2006/relationships/worksheet" Target="worksheets/sheet27.xml"/><Relationship Id="rId35" Type="http://schemas.openxmlformats.org/officeDocument/2006/relationships/worksheet" Target="worksheets/sheet32.xml"/><Relationship Id="rId43" Type="http://schemas.openxmlformats.org/officeDocument/2006/relationships/externalLink" Target="externalLinks/externalLink8.xml"/><Relationship Id="rId48" Type="http://schemas.openxmlformats.org/officeDocument/2006/relationships/externalLink" Target="externalLinks/externalLink13.xml"/><Relationship Id="rId56" Type="http://schemas.openxmlformats.org/officeDocument/2006/relationships/externalLink" Target="externalLinks/externalLink21.xml"/><Relationship Id="rId64" Type="http://schemas.openxmlformats.org/officeDocument/2006/relationships/calcChain" Target="calcChain.xml"/><Relationship Id="rId8" Type="http://schemas.openxmlformats.org/officeDocument/2006/relationships/worksheet" Target="worksheets/sheet5.xml"/><Relationship Id="rId51" Type="http://schemas.openxmlformats.org/officeDocument/2006/relationships/externalLink" Target="externalLinks/externalLink16.xml"/><Relationship Id="rId3" Type="http://schemas.openxmlformats.org/officeDocument/2006/relationships/chartsheet" Target="chartsheets/sheet1.xml"/><Relationship Id="rId12" Type="http://schemas.openxmlformats.org/officeDocument/2006/relationships/worksheet" Target="worksheets/sheet9.xml"/><Relationship Id="rId17" Type="http://schemas.openxmlformats.org/officeDocument/2006/relationships/worksheet" Target="worksheets/sheet14.xml"/><Relationship Id="rId25" Type="http://schemas.openxmlformats.org/officeDocument/2006/relationships/worksheet" Target="worksheets/sheet22.xml"/><Relationship Id="rId33" Type="http://schemas.openxmlformats.org/officeDocument/2006/relationships/worksheet" Target="worksheets/sheet30.xml"/><Relationship Id="rId38" Type="http://schemas.openxmlformats.org/officeDocument/2006/relationships/externalLink" Target="externalLinks/externalLink3.xml"/><Relationship Id="rId46" Type="http://schemas.openxmlformats.org/officeDocument/2006/relationships/externalLink" Target="externalLinks/externalLink11.xml"/><Relationship Id="rId59" Type="http://schemas.openxmlformats.org/officeDocument/2006/relationships/externalLink" Target="externalLinks/externalLink2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2022-23 FCS ADMINISTRATIVE COST % OVER COST ANALYSIS </a:t>
            </a:r>
          </a:p>
          <a:p>
            <a:pPr>
              <a:defRPr sz="1400"/>
            </a:pPr>
            <a:r>
              <a:rPr lang="en-US" sz="1400"/>
              <a:t>TOTAL EXPENDITURES EXCLUDING</a:t>
            </a:r>
            <a:r>
              <a:rPr lang="en-US" sz="1400" baseline="0"/>
              <a:t> TRANSFERS</a:t>
            </a:r>
            <a:endParaRPr lang="en-US" sz="1400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'Chart Data'!$J$6</c:f>
              <c:strCache>
                <c:ptCount val="1"/>
                <c:pt idx="0">
                  <c:v>ADMINISTRATIVE COST % OVER COST ANALYSIS TOTAL EXPENDITURES EXCLUDING TRANSFERS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7F0A-4AB8-92F3-CEA85C057F9E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7F0A-4AB8-92F3-CEA85C057F9E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7F0A-4AB8-92F3-CEA85C057F9E}"/>
              </c:ext>
            </c:extLst>
          </c:dPt>
          <c:dPt>
            <c:idx val="11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4-7F0A-4AB8-92F3-CEA85C057F9E}"/>
              </c:ext>
            </c:extLst>
          </c:dPt>
          <c:dPt>
            <c:idx val="12"/>
            <c:invertIfNegative val="0"/>
            <c:bubble3D val="0"/>
            <c:spPr>
              <a:solidFill>
                <a:srgbClr val="92D050"/>
              </a:solidFill>
            </c:spPr>
            <c:extLst>
              <c:ext xmlns:c16="http://schemas.microsoft.com/office/drawing/2014/chart" uri="{C3380CC4-5D6E-409C-BE32-E72D297353CC}">
                <c16:uniqueId val="{00000005-7F0A-4AB8-92F3-CEA85C057F9E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'Chart Data'!$I$7:$I$35</c:f>
              <c:strCache>
                <c:ptCount val="29"/>
                <c:pt idx="0">
                  <c:v>College of Central Florida</c:v>
                </c:pt>
                <c:pt idx="1">
                  <c:v>Eastern Florida State College</c:v>
                </c:pt>
                <c:pt idx="2">
                  <c:v>Florida State College at Jacksonville</c:v>
                </c:pt>
                <c:pt idx="3">
                  <c:v>Tallahassee Community College</c:v>
                </c:pt>
                <c:pt idx="4">
                  <c:v>Pasco-Hernando State College</c:v>
                </c:pt>
                <c:pt idx="5">
                  <c:v>Santa Fe College</c:v>
                </c:pt>
                <c:pt idx="6">
                  <c:v>Valencia College</c:v>
                </c:pt>
                <c:pt idx="7">
                  <c:v>Palm Beach State College</c:v>
                </c:pt>
                <c:pt idx="8">
                  <c:v>Miami Dade College</c:v>
                </c:pt>
                <c:pt idx="9">
                  <c:v>Gulf Coast State College</c:v>
                </c:pt>
                <c:pt idx="10">
                  <c:v>State College of Florida, Manatee-Sarasota</c:v>
                </c:pt>
                <c:pt idx="11">
                  <c:v>FCS</c:v>
                </c:pt>
                <c:pt idx="12">
                  <c:v>Broward College</c:v>
                </c:pt>
                <c:pt idx="13">
                  <c:v>Indian River State College</c:v>
                </c:pt>
                <c:pt idx="14">
                  <c:v>North Florida College</c:v>
                </c:pt>
                <c:pt idx="15">
                  <c:v>Florida SouthWestern State College</c:v>
                </c:pt>
                <c:pt idx="16">
                  <c:v>Pensacola State College</c:v>
                </c:pt>
                <c:pt idx="17">
                  <c:v>Polk State College</c:v>
                </c:pt>
                <c:pt idx="18">
                  <c:v>Seminole State College of Florida</c:v>
                </c:pt>
                <c:pt idx="19">
                  <c:v>St. Johns River State College</c:v>
                </c:pt>
                <c:pt idx="20">
                  <c:v>Daytona State College</c:v>
                </c:pt>
                <c:pt idx="21">
                  <c:v>Lake-Sumter State College</c:v>
                </c:pt>
                <c:pt idx="22">
                  <c:v>South Florida State College</c:v>
                </c:pt>
                <c:pt idx="23">
                  <c:v>Chipola College</c:v>
                </c:pt>
                <c:pt idx="24">
                  <c:v>Hillsborough Community College</c:v>
                </c:pt>
                <c:pt idx="25">
                  <c:v>Northwest Florida State College</c:v>
                </c:pt>
                <c:pt idx="26">
                  <c:v>The College of the Florida Keys</c:v>
                </c:pt>
                <c:pt idx="27">
                  <c:v>St. Petersburg College</c:v>
                </c:pt>
                <c:pt idx="28">
                  <c:v>Florida Gateway College</c:v>
                </c:pt>
              </c:strCache>
            </c:strRef>
          </c:cat>
          <c:val>
            <c:numRef>
              <c:f>'Chart Data'!$J$7:$J$35</c:f>
              <c:numCache>
                <c:formatCode>0.00%</c:formatCode>
                <c:ptCount val="29"/>
                <c:pt idx="0">
                  <c:v>4.1699362057483168E-2</c:v>
                </c:pt>
                <c:pt idx="1">
                  <c:v>5.1949324296112674E-2</c:v>
                </c:pt>
                <c:pt idx="2">
                  <c:v>5.7913633807964687E-2</c:v>
                </c:pt>
                <c:pt idx="3">
                  <c:v>5.8285629738772375E-2</c:v>
                </c:pt>
                <c:pt idx="4">
                  <c:v>5.8836114580114972E-2</c:v>
                </c:pt>
                <c:pt idx="5">
                  <c:v>5.9868322069720904E-2</c:v>
                </c:pt>
                <c:pt idx="6">
                  <c:v>6.8446644694009851E-2</c:v>
                </c:pt>
                <c:pt idx="7">
                  <c:v>7.1085681573166776E-2</c:v>
                </c:pt>
                <c:pt idx="8">
                  <c:v>7.5497145183777953E-2</c:v>
                </c:pt>
                <c:pt idx="9">
                  <c:v>7.8229712474737367E-2</c:v>
                </c:pt>
                <c:pt idx="10">
                  <c:v>7.8337931724061449E-2</c:v>
                </c:pt>
                <c:pt idx="11">
                  <c:v>8.0287711868317582E-2</c:v>
                </c:pt>
                <c:pt idx="12">
                  <c:v>8.0543035004379135E-2</c:v>
                </c:pt>
                <c:pt idx="13">
                  <c:v>8.2080358032143017E-2</c:v>
                </c:pt>
                <c:pt idx="14">
                  <c:v>8.409735351110155E-2</c:v>
                </c:pt>
                <c:pt idx="15">
                  <c:v>8.4315652530825541E-2</c:v>
                </c:pt>
                <c:pt idx="16">
                  <c:v>8.6414624620146208E-2</c:v>
                </c:pt>
                <c:pt idx="17">
                  <c:v>9.2169067664580023E-2</c:v>
                </c:pt>
                <c:pt idx="18">
                  <c:v>9.4852183328298922E-2</c:v>
                </c:pt>
                <c:pt idx="19">
                  <c:v>9.687141417589723E-2</c:v>
                </c:pt>
                <c:pt idx="20">
                  <c:v>9.8498158837962355E-2</c:v>
                </c:pt>
                <c:pt idx="21">
                  <c:v>0.10055996549754094</c:v>
                </c:pt>
                <c:pt idx="22">
                  <c:v>0.10409835160241512</c:v>
                </c:pt>
                <c:pt idx="23">
                  <c:v>0.10526786585424569</c:v>
                </c:pt>
                <c:pt idx="24">
                  <c:v>0.10630948756063963</c:v>
                </c:pt>
                <c:pt idx="25">
                  <c:v>0.1071230930945356</c:v>
                </c:pt>
                <c:pt idx="26">
                  <c:v>0.1077469479598525</c:v>
                </c:pt>
                <c:pt idx="27">
                  <c:v>0.12033330180420142</c:v>
                </c:pt>
                <c:pt idx="28">
                  <c:v>0.13340507380943287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F0A-4AB8-92F3-CEA85C057F9E}"/>
            </c:ext>
          </c:extLst>
        </c:ser>
        <c:ser>
          <c:idx val="1"/>
          <c:order val="1"/>
          <c:tx>
            <c:strRef>
              <c:f>'Chart Data'!$K$6</c:f>
              <c:strCache>
                <c:ptCount val="1"/>
                <c:pt idx="0">
                  <c:v>CHANGE OVER PRIOR YEAR</c:v>
                </c:pt>
              </c:strCache>
            </c:strRef>
          </c:tx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'Chart Data'!$K$7:$K$35</c:f>
              <c:numCache>
                <c:formatCode>0.00%</c:formatCode>
                <c:ptCount val="29"/>
                <c:pt idx="0">
                  <c:v>-7.4872673113691099E-3</c:v>
                </c:pt>
                <c:pt idx="1">
                  <c:v>9.6237752249773989E-4</c:v>
                </c:pt>
                <c:pt idx="2">
                  <c:v>1.618046174695853E-3</c:v>
                </c:pt>
                <c:pt idx="3">
                  <c:v>-2.3389464868909492E-2</c:v>
                </c:pt>
                <c:pt idx="4">
                  <c:v>-7.1616566612128091E-4</c:v>
                </c:pt>
                <c:pt idx="5">
                  <c:v>-3.427424347136656E-2</c:v>
                </c:pt>
                <c:pt idx="6">
                  <c:v>6.8580323439950686E-3</c:v>
                </c:pt>
                <c:pt idx="7">
                  <c:v>-3.1233325446032578E-2</c:v>
                </c:pt>
                <c:pt idx="8">
                  <c:v>-7.0891856213964322E-3</c:v>
                </c:pt>
                <c:pt idx="9">
                  <c:v>-5.1096187552427119E-3</c:v>
                </c:pt>
                <c:pt idx="10">
                  <c:v>-5.5080350606759865E-3</c:v>
                </c:pt>
                <c:pt idx="11">
                  <c:v>-2.8421141144594209E-3</c:v>
                </c:pt>
                <c:pt idx="12">
                  <c:v>-1.188377901024941E-2</c:v>
                </c:pt>
                <c:pt idx="13">
                  <c:v>1.7919503264597944E-2</c:v>
                </c:pt>
                <c:pt idx="14">
                  <c:v>-6.485954125989471E-3</c:v>
                </c:pt>
                <c:pt idx="15">
                  <c:v>-1.61241614047547E-3</c:v>
                </c:pt>
                <c:pt idx="16">
                  <c:v>1.5709559845404161E-2</c:v>
                </c:pt>
                <c:pt idx="17">
                  <c:v>1.9559066604975112E-3</c:v>
                </c:pt>
                <c:pt idx="18">
                  <c:v>1.8021793484471194E-4</c:v>
                </c:pt>
                <c:pt idx="19">
                  <c:v>-1.223366821303265E-3</c:v>
                </c:pt>
                <c:pt idx="20">
                  <c:v>3.1118199547663233E-3</c:v>
                </c:pt>
                <c:pt idx="21">
                  <c:v>-1.7269125272488847E-2</c:v>
                </c:pt>
                <c:pt idx="22">
                  <c:v>-7.5487993292488176E-3</c:v>
                </c:pt>
                <c:pt idx="23">
                  <c:v>-2.4153949504311933E-3</c:v>
                </c:pt>
                <c:pt idx="24">
                  <c:v>1.8201833497699799E-3</c:v>
                </c:pt>
                <c:pt idx="25">
                  <c:v>7.3980672117141544E-3</c:v>
                </c:pt>
                <c:pt idx="26">
                  <c:v>1.7320169766752214E-2</c:v>
                </c:pt>
                <c:pt idx="27">
                  <c:v>2.0222619603993575E-2</c:v>
                </c:pt>
                <c:pt idx="28">
                  <c:v>4.0325889821206939E-3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F0A-4AB8-92F3-CEA85C057F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13843408"/>
        <c:axId val="141643832"/>
      </c:barChart>
      <c:catAx>
        <c:axId val="113843408"/>
        <c:scaling>
          <c:orientation val="minMax"/>
        </c:scaling>
        <c:delete val="0"/>
        <c:axPos val="l"/>
        <c:majorGridlines/>
        <c:minorGridlines>
          <c:spPr>
            <a:ln>
              <a:noFill/>
            </a:ln>
          </c:spPr>
        </c:minorGridlines>
        <c:numFmt formatCode="General" sourceLinked="0"/>
        <c:majorTickMark val="cross"/>
        <c:minorTickMark val="none"/>
        <c:tickLblPos val="low"/>
        <c:crossAx val="141643832"/>
        <c:crosses val="autoZero"/>
        <c:auto val="0"/>
        <c:lblAlgn val="ctr"/>
        <c:lblOffset val="100"/>
        <c:noMultiLvlLbl val="0"/>
      </c:catAx>
      <c:valAx>
        <c:axId val="141643832"/>
        <c:scaling>
          <c:orientation val="minMax"/>
        </c:scaling>
        <c:delete val="0"/>
        <c:axPos val="b"/>
        <c:numFmt formatCode="0.00%" sourceLinked="1"/>
        <c:majorTickMark val="out"/>
        <c:minorTickMark val="none"/>
        <c:tickLblPos val="nextTo"/>
        <c:crossAx val="113843408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900"/>
            </a:pPr>
            <a:r>
              <a:rPr lang="en-US" sz="900" b="1" i="0" baseline="0">
                <a:effectLst/>
              </a:rPr>
              <a:t>2022-23 FCS ADMINISTRATIVE COST PER FUNDABLE FTE AND % OVER COST ANALYSIS TOTAL EXPENDITURES EXCLUDING TRANSFERS</a:t>
            </a:r>
            <a:endParaRPr lang="en-US" sz="900">
              <a:effectLst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32482272121635108"/>
          <c:y val="0.11550310007322807"/>
          <c:w val="0.63379031095165861"/>
          <c:h val="0.79341783411163003"/>
        </c:manualLayout>
      </c:layout>
      <c:barChart>
        <c:barDir val="bar"/>
        <c:grouping val="clustered"/>
        <c:varyColors val="0"/>
        <c:ser>
          <c:idx val="0"/>
          <c:order val="1"/>
          <c:tx>
            <c:strRef>
              <c:f>'Chart Data'!$F$6</c:f>
              <c:strCache>
                <c:ptCount val="1"/>
                <c:pt idx="0">
                  <c:v>ADMINISTRATIVE COST % OVER COST ANALYSIS TOTAL EXPENDITURES EXCLUDING TRANSFERS</c:v>
                </c:pt>
              </c:strCache>
            </c:strRef>
          </c:tx>
          <c:invertIfNegative val="0"/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26B5-4A20-B733-364049AE9033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26B5-4A20-B733-364049AE9033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26B5-4A20-B733-364049AE903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'Chart Data'!$E$7:$E$35</c:f>
              <c:strCache>
                <c:ptCount val="29"/>
                <c:pt idx="0">
                  <c:v>Tallahassee Community College</c:v>
                </c:pt>
                <c:pt idx="1">
                  <c:v>Eastern Florida State College</c:v>
                </c:pt>
                <c:pt idx="2">
                  <c:v>Valencia College</c:v>
                </c:pt>
                <c:pt idx="3">
                  <c:v>Santa Fe College</c:v>
                </c:pt>
                <c:pt idx="4">
                  <c:v>College of Central Florida</c:v>
                </c:pt>
                <c:pt idx="5">
                  <c:v>Pasco-Hernando State College</c:v>
                </c:pt>
                <c:pt idx="6">
                  <c:v>Florida State College at Jacksonville</c:v>
                </c:pt>
                <c:pt idx="7">
                  <c:v>Palm Beach State College</c:v>
                </c:pt>
                <c:pt idx="8">
                  <c:v>State College of Florida, Manatee-Sarasota</c:v>
                </c:pt>
                <c:pt idx="9">
                  <c:v>Broward College</c:v>
                </c:pt>
                <c:pt idx="10">
                  <c:v>Indian River State College</c:v>
                </c:pt>
                <c:pt idx="11">
                  <c:v>Miami Dade College</c:v>
                </c:pt>
                <c:pt idx="12">
                  <c:v>Florida SouthWestern State College</c:v>
                </c:pt>
                <c:pt idx="13">
                  <c:v>Hillsborough Community College</c:v>
                </c:pt>
                <c:pt idx="14">
                  <c:v>FCS</c:v>
                </c:pt>
                <c:pt idx="15">
                  <c:v>Seminole State College of Florida</c:v>
                </c:pt>
                <c:pt idx="16">
                  <c:v>Daytona State College</c:v>
                </c:pt>
                <c:pt idx="17">
                  <c:v>Gulf Coast State College</c:v>
                </c:pt>
                <c:pt idx="18">
                  <c:v>Pensacola State College</c:v>
                </c:pt>
                <c:pt idx="19">
                  <c:v>St. Johns River State College</c:v>
                </c:pt>
                <c:pt idx="20">
                  <c:v>Lake-Sumter State College</c:v>
                </c:pt>
                <c:pt idx="21">
                  <c:v>Polk State College</c:v>
                </c:pt>
                <c:pt idx="22">
                  <c:v>St. Petersburg College</c:v>
                </c:pt>
                <c:pt idx="23">
                  <c:v>Northwest Florida State College</c:v>
                </c:pt>
                <c:pt idx="24">
                  <c:v>North Florida College</c:v>
                </c:pt>
                <c:pt idx="25">
                  <c:v>South Florida State College</c:v>
                </c:pt>
                <c:pt idx="26">
                  <c:v>Chipola College</c:v>
                </c:pt>
                <c:pt idx="27">
                  <c:v>Florida Gateway College</c:v>
                </c:pt>
                <c:pt idx="28">
                  <c:v>The College of the Florida Keys</c:v>
                </c:pt>
              </c:strCache>
            </c:strRef>
          </c:cat>
          <c:val>
            <c:numRef>
              <c:f>'Chart Data'!$F$7:$F$35</c:f>
              <c:numCache>
                <c:formatCode>0.00%</c:formatCode>
                <c:ptCount val="29"/>
                <c:pt idx="0">
                  <c:v>5.8285629738772375E-2</c:v>
                </c:pt>
                <c:pt idx="1">
                  <c:v>5.1949324296112674E-2</c:v>
                </c:pt>
                <c:pt idx="2">
                  <c:v>6.8446644694009851E-2</c:v>
                </c:pt>
                <c:pt idx="3">
                  <c:v>5.9868322069720904E-2</c:v>
                </c:pt>
                <c:pt idx="4">
                  <c:v>4.1699362057483168E-2</c:v>
                </c:pt>
                <c:pt idx="5">
                  <c:v>5.8836114580114972E-2</c:v>
                </c:pt>
                <c:pt idx="6">
                  <c:v>5.7913633807964687E-2</c:v>
                </c:pt>
                <c:pt idx="7">
                  <c:v>7.1085681573166776E-2</c:v>
                </c:pt>
                <c:pt idx="8">
                  <c:v>7.8337931724061449E-2</c:v>
                </c:pt>
                <c:pt idx="9">
                  <c:v>8.0543035004379135E-2</c:v>
                </c:pt>
                <c:pt idx="10">
                  <c:v>8.2080358032143017E-2</c:v>
                </c:pt>
                <c:pt idx="11">
                  <c:v>7.5497145183777953E-2</c:v>
                </c:pt>
                <c:pt idx="12">
                  <c:v>8.4315652530825541E-2</c:v>
                </c:pt>
                <c:pt idx="13">
                  <c:v>0.10630948756063963</c:v>
                </c:pt>
                <c:pt idx="14">
                  <c:v>8.0287711868317582E-2</c:v>
                </c:pt>
                <c:pt idx="15">
                  <c:v>9.4852183328298922E-2</c:v>
                </c:pt>
                <c:pt idx="16">
                  <c:v>9.8498158837962355E-2</c:v>
                </c:pt>
                <c:pt idx="17">
                  <c:v>7.8229712474737367E-2</c:v>
                </c:pt>
                <c:pt idx="18">
                  <c:v>8.6414624620146208E-2</c:v>
                </c:pt>
                <c:pt idx="19">
                  <c:v>9.687141417589723E-2</c:v>
                </c:pt>
                <c:pt idx="20">
                  <c:v>0.10055996549754094</c:v>
                </c:pt>
                <c:pt idx="21">
                  <c:v>9.2169067664580023E-2</c:v>
                </c:pt>
                <c:pt idx="22">
                  <c:v>0.12033330180420142</c:v>
                </c:pt>
                <c:pt idx="23">
                  <c:v>0.1071230930945356</c:v>
                </c:pt>
                <c:pt idx="24">
                  <c:v>8.409735351110155E-2</c:v>
                </c:pt>
                <c:pt idx="25">
                  <c:v>0.10409835160241512</c:v>
                </c:pt>
                <c:pt idx="26">
                  <c:v>0.10526786585424569</c:v>
                </c:pt>
                <c:pt idx="27">
                  <c:v>0.13340507380943287</c:v>
                </c:pt>
                <c:pt idx="28">
                  <c:v>0.1077469479598525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6B5-4A20-B733-364049AE90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114358928"/>
        <c:axId val="341479920"/>
      </c:barChart>
      <c:barChart>
        <c:barDir val="bar"/>
        <c:grouping val="clustered"/>
        <c:varyColors val="0"/>
        <c:ser>
          <c:idx val="1"/>
          <c:order val="0"/>
          <c:tx>
            <c:strRef>
              <c:f>'Chart Data'!$G$6</c:f>
              <c:strCache>
                <c:ptCount val="1"/>
                <c:pt idx="0">
                  <c:v>ADMINISTRATIVE COST PER FUNDABLE FTE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26B5-4A20-B733-364049AE9033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26B5-4A20-B733-364049AE9033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26B5-4A20-B733-364049AE9033}"/>
              </c:ext>
            </c:extLst>
          </c:dPt>
          <c:dPt>
            <c:idx val="1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26B5-4A20-B733-364049AE9033}"/>
              </c:ext>
            </c:extLst>
          </c:dPt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26B5-4A20-B733-364049AE9033}"/>
              </c:ext>
            </c:extLst>
          </c:dPt>
          <c:dPt>
            <c:idx val="14"/>
            <c:invertIfNegative val="0"/>
            <c:bubble3D val="0"/>
            <c:spPr>
              <a:solidFill>
                <a:srgbClr val="FFC000"/>
              </a:solidFill>
            </c:spPr>
            <c:extLst>
              <c:ext xmlns:c16="http://schemas.microsoft.com/office/drawing/2014/chart" uri="{C3380CC4-5D6E-409C-BE32-E72D297353CC}">
                <c16:uniqueId val="{0000000A-CF01-4001-B0D2-4E62BAE854B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/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'Chart Data'!$E$7:$E$35</c:f>
              <c:strCache>
                <c:ptCount val="29"/>
                <c:pt idx="0">
                  <c:v>Tallahassee Community College</c:v>
                </c:pt>
                <c:pt idx="1">
                  <c:v>Eastern Florida State College</c:v>
                </c:pt>
                <c:pt idx="2">
                  <c:v>Valencia College</c:v>
                </c:pt>
                <c:pt idx="3">
                  <c:v>Santa Fe College</c:v>
                </c:pt>
                <c:pt idx="4">
                  <c:v>College of Central Florida</c:v>
                </c:pt>
                <c:pt idx="5">
                  <c:v>Pasco-Hernando State College</c:v>
                </c:pt>
                <c:pt idx="6">
                  <c:v>Florida State College at Jacksonville</c:v>
                </c:pt>
                <c:pt idx="7">
                  <c:v>Palm Beach State College</c:v>
                </c:pt>
                <c:pt idx="8">
                  <c:v>State College of Florida, Manatee-Sarasota</c:v>
                </c:pt>
                <c:pt idx="9">
                  <c:v>Broward College</c:v>
                </c:pt>
                <c:pt idx="10">
                  <c:v>Indian River State College</c:v>
                </c:pt>
                <c:pt idx="11">
                  <c:v>Miami Dade College</c:v>
                </c:pt>
                <c:pt idx="12">
                  <c:v>Florida SouthWestern State College</c:v>
                </c:pt>
                <c:pt idx="13">
                  <c:v>Hillsborough Community College</c:v>
                </c:pt>
                <c:pt idx="14">
                  <c:v>FCS</c:v>
                </c:pt>
                <c:pt idx="15">
                  <c:v>Seminole State College of Florida</c:v>
                </c:pt>
                <c:pt idx="16">
                  <c:v>Daytona State College</c:v>
                </c:pt>
                <c:pt idx="17">
                  <c:v>Gulf Coast State College</c:v>
                </c:pt>
                <c:pt idx="18">
                  <c:v>Pensacola State College</c:v>
                </c:pt>
                <c:pt idx="19">
                  <c:v>St. Johns River State College</c:v>
                </c:pt>
                <c:pt idx="20">
                  <c:v>Lake-Sumter State College</c:v>
                </c:pt>
                <c:pt idx="21">
                  <c:v>Polk State College</c:v>
                </c:pt>
                <c:pt idx="22">
                  <c:v>St. Petersburg College</c:v>
                </c:pt>
                <c:pt idx="23">
                  <c:v>Northwest Florida State College</c:v>
                </c:pt>
                <c:pt idx="24">
                  <c:v>North Florida College</c:v>
                </c:pt>
                <c:pt idx="25">
                  <c:v>South Florida State College</c:v>
                </c:pt>
                <c:pt idx="26">
                  <c:v>Chipola College</c:v>
                </c:pt>
                <c:pt idx="27">
                  <c:v>Florida Gateway College</c:v>
                </c:pt>
                <c:pt idx="28">
                  <c:v>The College of the Florida Keys</c:v>
                </c:pt>
              </c:strCache>
            </c:strRef>
          </c:cat>
          <c:val>
            <c:numRef>
              <c:f>'Chart Data'!$G$7:$G$35</c:f>
              <c:numCache>
                <c:formatCode>_("$"* #,##0_);_("$"* \(#,##0\);_("$"* "-"??_);_(@_)</c:formatCode>
                <c:ptCount val="29"/>
                <c:pt idx="0">
                  <c:v>440.65059650997148</c:v>
                </c:pt>
                <c:pt idx="1">
                  <c:v>448.72940815060895</c:v>
                </c:pt>
                <c:pt idx="2">
                  <c:v>519.94555897701855</c:v>
                </c:pt>
                <c:pt idx="3">
                  <c:v>540.74650532025873</c:v>
                </c:pt>
                <c:pt idx="4">
                  <c:v>554.8046655767306</c:v>
                </c:pt>
                <c:pt idx="5">
                  <c:v>558.64412266322245</c:v>
                </c:pt>
                <c:pt idx="6">
                  <c:v>563.49142857142863</c:v>
                </c:pt>
                <c:pt idx="7">
                  <c:v>597.90954202810713</c:v>
                </c:pt>
                <c:pt idx="8">
                  <c:v>629.00727590673569</c:v>
                </c:pt>
                <c:pt idx="9">
                  <c:v>642.74678272967412</c:v>
                </c:pt>
                <c:pt idx="10">
                  <c:v>653.13108669862368</c:v>
                </c:pt>
                <c:pt idx="11">
                  <c:v>671.01620422088706</c:v>
                </c:pt>
                <c:pt idx="12">
                  <c:v>675.77666365781772</c:v>
                </c:pt>
                <c:pt idx="13">
                  <c:v>686.52947392074589</c:v>
                </c:pt>
                <c:pt idx="14">
                  <c:v>696.5918819346939</c:v>
                </c:pt>
                <c:pt idx="15">
                  <c:v>757.35859541683124</c:v>
                </c:pt>
                <c:pt idx="16">
                  <c:v>831.86969924657251</c:v>
                </c:pt>
                <c:pt idx="17">
                  <c:v>866.79102348727372</c:v>
                </c:pt>
                <c:pt idx="18">
                  <c:v>930.29665783648443</c:v>
                </c:pt>
                <c:pt idx="19">
                  <c:v>949.02663699936443</c:v>
                </c:pt>
                <c:pt idx="20">
                  <c:v>997.54975945910803</c:v>
                </c:pt>
                <c:pt idx="21">
                  <c:v>1016.687796701603</c:v>
                </c:pt>
                <c:pt idx="22">
                  <c:v>1103.2905506981688</c:v>
                </c:pt>
                <c:pt idx="23">
                  <c:v>1157.5560468302403</c:v>
                </c:pt>
                <c:pt idx="24">
                  <c:v>1264.8304974672035</c:v>
                </c:pt>
                <c:pt idx="25">
                  <c:v>1294.4446943990617</c:v>
                </c:pt>
                <c:pt idx="26">
                  <c:v>1297.4800090696092</c:v>
                </c:pt>
                <c:pt idx="27">
                  <c:v>1402.0817295566978</c:v>
                </c:pt>
                <c:pt idx="28">
                  <c:v>1617.4836870975428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6B5-4A20-B733-364049AE90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340468520"/>
        <c:axId val="340404232"/>
      </c:barChart>
      <c:catAx>
        <c:axId val="11435892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341479920"/>
        <c:crosses val="autoZero"/>
        <c:auto val="1"/>
        <c:lblAlgn val="ctr"/>
        <c:lblOffset val="100"/>
        <c:noMultiLvlLbl val="0"/>
      </c:catAx>
      <c:valAx>
        <c:axId val="341479920"/>
        <c:scaling>
          <c:orientation val="minMax"/>
          <c:max val="0.24000000000000002"/>
          <c:min val="0"/>
        </c:scaling>
        <c:delete val="0"/>
        <c:axPos val="b"/>
        <c:majorGridlines/>
        <c:numFmt formatCode="0.00%" sourceLinked="1"/>
        <c:majorTickMark val="out"/>
        <c:minorTickMark val="none"/>
        <c:tickLblPos val="nextTo"/>
        <c:crossAx val="114358928"/>
        <c:crosses val="autoZero"/>
        <c:crossBetween val="between"/>
      </c:valAx>
      <c:valAx>
        <c:axId val="340404232"/>
        <c:scaling>
          <c:orientation val="minMax"/>
          <c:max val="4200"/>
          <c:min val="0"/>
        </c:scaling>
        <c:delete val="0"/>
        <c:axPos val="t"/>
        <c:numFmt formatCode="_(&quot;$&quot;* #,##0_);_(&quot;$&quot;* \(#,##0\);_(&quot;$&quot;* &quot;-&quot;??_);_(@_)" sourceLinked="1"/>
        <c:majorTickMark val="out"/>
        <c:minorTickMark val="none"/>
        <c:tickLblPos val="nextTo"/>
        <c:crossAx val="340468520"/>
        <c:crosses val="max"/>
        <c:crossBetween val="between"/>
      </c:valAx>
      <c:catAx>
        <c:axId val="34046852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340404232"/>
        <c:crosses val="autoZero"/>
        <c:auto val="1"/>
        <c:lblAlgn val="ctr"/>
        <c:lblOffset val="100"/>
        <c:noMultiLvlLbl val="0"/>
      </c:catAx>
    </c:plotArea>
    <c:legend>
      <c:legendPos val="b"/>
      <c:overlay val="0"/>
    </c:legend>
    <c:plotVisOnly val="1"/>
    <c:dispBlanksAs val="gap"/>
    <c:showDLblsOverMax val="0"/>
  </c:chart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2022-23 FCS % OF INSTITUTIONAL SUPPORT EXCLUDED FROM ADMINISTRATIVE COST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'Chart Data'!$C$6</c:f>
              <c:strCache>
                <c:ptCount val="1"/>
                <c:pt idx="0">
                  <c:v>% OF INSTITUTIONAL SUPPORT EXCLUDED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F45A-4F47-8A66-869DD67B7008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F45A-4F47-8A66-869DD67B7008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F45A-4F47-8A66-869DD67B7008}"/>
              </c:ext>
            </c:extLst>
          </c:dPt>
          <c:dPt>
            <c:idx val="1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F45A-4F47-8A66-869DD67B7008}"/>
              </c:ext>
            </c:extLst>
          </c:dPt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F45A-4F47-8A66-869DD67B7008}"/>
              </c:ext>
            </c:extLst>
          </c:dPt>
          <c:dPt>
            <c:idx val="1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F45A-4F47-8A66-869DD67B7008}"/>
              </c:ext>
            </c:extLst>
          </c:dPt>
          <c:dPt>
            <c:idx val="15"/>
            <c:invertIfNegative val="0"/>
            <c:bubble3D val="0"/>
            <c:spPr>
              <a:solidFill>
                <a:srgbClr val="FFC000"/>
              </a:solidFill>
            </c:spPr>
            <c:extLst>
              <c:ext xmlns:c16="http://schemas.microsoft.com/office/drawing/2014/chart" uri="{C3380CC4-5D6E-409C-BE32-E72D297353CC}">
                <c16:uniqueId val="{00000008-1898-4E7B-BF71-3B39DB9239DA}"/>
              </c:ext>
            </c:extLst>
          </c:dPt>
          <c:dPt>
            <c:idx val="1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F45A-4F47-8A66-869DD67B7008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'Chart Data'!$B$7:$B$35</c:f>
              <c:strCache>
                <c:ptCount val="29"/>
                <c:pt idx="0">
                  <c:v>St. Petersburg College</c:v>
                </c:pt>
                <c:pt idx="1">
                  <c:v>Florida Gateway College</c:v>
                </c:pt>
                <c:pt idx="2">
                  <c:v>Indian River State College</c:v>
                </c:pt>
                <c:pt idx="3">
                  <c:v>Hillsborough Community College</c:v>
                </c:pt>
                <c:pt idx="4">
                  <c:v>Florida SouthWestern State College</c:v>
                </c:pt>
                <c:pt idx="5">
                  <c:v>South Florida State College</c:v>
                </c:pt>
                <c:pt idx="6">
                  <c:v>Daytona State College</c:v>
                </c:pt>
                <c:pt idx="7">
                  <c:v>Seminole State College of Florida</c:v>
                </c:pt>
                <c:pt idx="8">
                  <c:v>Polk State College</c:v>
                </c:pt>
                <c:pt idx="9">
                  <c:v>Valencia College</c:v>
                </c:pt>
                <c:pt idx="10">
                  <c:v>St. Johns River State College</c:v>
                </c:pt>
                <c:pt idx="11">
                  <c:v>North Florida College</c:v>
                </c:pt>
                <c:pt idx="12">
                  <c:v>Palm Beach State College</c:v>
                </c:pt>
                <c:pt idx="13">
                  <c:v>Chipola College</c:v>
                </c:pt>
                <c:pt idx="14">
                  <c:v>Broward College</c:v>
                </c:pt>
                <c:pt idx="15">
                  <c:v>FCS</c:v>
                </c:pt>
                <c:pt idx="16">
                  <c:v>Gulf Coast State College</c:v>
                </c:pt>
                <c:pt idx="17">
                  <c:v>Northwest Florida State College</c:v>
                </c:pt>
                <c:pt idx="18">
                  <c:v>Lake-Sumter State College</c:v>
                </c:pt>
                <c:pt idx="19">
                  <c:v>The College of the Florida Keys</c:v>
                </c:pt>
                <c:pt idx="20">
                  <c:v>Florida State College at Jacksonville</c:v>
                </c:pt>
                <c:pt idx="21">
                  <c:v>Miami Dade College</c:v>
                </c:pt>
                <c:pt idx="22">
                  <c:v>Pensacola State College</c:v>
                </c:pt>
                <c:pt idx="23">
                  <c:v>Santa Fe College</c:v>
                </c:pt>
                <c:pt idx="24">
                  <c:v>Eastern Florida State College</c:v>
                </c:pt>
                <c:pt idx="25">
                  <c:v>Pasco-Hernando State College</c:v>
                </c:pt>
                <c:pt idx="26">
                  <c:v>State College of Florida, Manatee-Sarasota</c:v>
                </c:pt>
                <c:pt idx="27">
                  <c:v>Tallahassee Community College</c:v>
                </c:pt>
                <c:pt idx="28">
                  <c:v>College of Central Florida</c:v>
                </c:pt>
              </c:strCache>
            </c:strRef>
          </c:cat>
          <c:val>
            <c:numRef>
              <c:f>'Chart Data'!$C$7:$C$35</c:f>
              <c:numCache>
                <c:formatCode>0.00%</c:formatCode>
                <c:ptCount val="29"/>
                <c:pt idx="0">
                  <c:v>0.27058744868048878</c:v>
                </c:pt>
                <c:pt idx="1">
                  <c:v>0.37331718223461979</c:v>
                </c:pt>
                <c:pt idx="2">
                  <c:v>0.38829287358039033</c:v>
                </c:pt>
                <c:pt idx="3">
                  <c:v>0.43480451091584349</c:v>
                </c:pt>
                <c:pt idx="4">
                  <c:v>0.44851505561280497</c:v>
                </c:pt>
                <c:pt idx="5">
                  <c:v>0.45804961580049397</c:v>
                </c:pt>
                <c:pt idx="6">
                  <c:v>0.46630067833936972</c:v>
                </c:pt>
                <c:pt idx="7">
                  <c:v>0.50314518687137166</c:v>
                </c:pt>
                <c:pt idx="8">
                  <c:v>0.51760441430176629</c:v>
                </c:pt>
                <c:pt idx="9">
                  <c:v>0.53580030649957056</c:v>
                </c:pt>
                <c:pt idx="10">
                  <c:v>0.55456758642517401</c:v>
                </c:pt>
                <c:pt idx="11">
                  <c:v>0.56455755635348992</c:v>
                </c:pt>
                <c:pt idx="12">
                  <c:v>0.58144108022801111</c:v>
                </c:pt>
                <c:pt idx="13">
                  <c:v>0.58257804950021252</c:v>
                </c:pt>
                <c:pt idx="14">
                  <c:v>0.59402397633046078</c:v>
                </c:pt>
                <c:pt idx="15">
                  <c:v>0.59718906546750372</c:v>
                </c:pt>
                <c:pt idx="16">
                  <c:v>0.60588790404704951</c:v>
                </c:pt>
                <c:pt idx="17">
                  <c:v>0.60768186917667066</c:v>
                </c:pt>
                <c:pt idx="18">
                  <c:v>0.63014874731294734</c:v>
                </c:pt>
                <c:pt idx="19">
                  <c:v>0.66429356011484575</c:v>
                </c:pt>
                <c:pt idx="20">
                  <c:v>0.66704936303997941</c:v>
                </c:pt>
                <c:pt idx="21">
                  <c:v>0.67308277324708554</c:v>
                </c:pt>
                <c:pt idx="22">
                  <c:v>0.6767472071322902</c:v>
                </c:pt>
                <c:pt idx="23">
                  <c:v>0.68368628842288159</c:v>
                </c:pt>
                <c:pt idx="24">
                  <c:v>0.70479994253071865</c:v>
                </c:pt>
                <c:pt idx="25">
                  <c:v>0.72241735134533147</c:v>
                </c:pt>
                <c:pt idx="26">
                  <c:v>0.72888389887182004</c:v>
                </c:pt>
                <c:pt idx="27">
                  <c:v>0.79620255731560197</c:v>
                </c:pt>
                <c:pt idx="28">
                  <c:v>0.86244555420742441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45A-4F47-8A66-869DD67B70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0420064"/>
        <c:axId val="340420448"/>
      </c:barChart>
      <c:catAx>
        <c:axId val="34042006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340420448"/>
        <c:crosses val="autoZero"/>
        <c:auto val="1"/>
        <c:lblAlgn val="ctr"/>
        <c:lblOffset val="100"/>
        <c:noMultiLvlLbl val="0"/>
      </c:catAx>
      <c:valAx>
        <c:axId val="340420448"/>
        <c:scaling>
          <c:orientation val="minMax"/>
        </c:scaling>
        <c:delete val="0"/>
        <c:axPos val="b"/>
        <c:majorGridlines>
          <c:spPr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81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</c:spPr>
        </c:majorGridlines>
        <c:numFmt formatCode="0.00%" sourceLinked="1"/>
        <c:majorTickMark val="out"/>
        <c:minorTickMark val="none"/>
        <c:tickLblPos val="nextTo"/>
        <c:crossAx val="340420064"/>
        <c:crosses val="autoZero"/>
        <c:crossBetween val="between"/>
      </c:valAx>
    </c:plotArea>
    <c:plotVisOnly val="1"/>
    <c:dispBlanksAs val="gap"/>
    <c:showDLblsOverMax val="0"/>
  </c:chart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/>
  <sheetViews>
    <sheetView zoomScale="75" workbookViewId="0" zoomToFit="1"/>
  </sheetViews>
  <pageMargins left="0.7" right="0.7" top="0.75" bottom="0.75" header="0.3" footer="0.3"/>
  <pageSetup orientation="landscape" r:id="rId1"/>
  <headerFooter>
    <oddFooter>&amp;L&amp;Z&amp;F</oddFooter>
  </headerFooter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300-000000000000}">
  <sheetPr/>
  <sheetViews>
    <sheetView zoomScale="75" workbookViewId="0" zoomToFit="1"/>
  </sheetViews>
  <pageMargins left="0.7" right="0.7" top="0.75" bottom="0.75" header="0.3" footer="0.3"/>
  <pageSetup orientation="landscape" r:id="rId1"/>
  <headerFooter>
    <oddFooter>&amp;L&amp;Z&amp;F</oddFooter>
  </headerFooter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400-000000000000}">
  <sheetPr/>
  <sheetViews>
    <sheetView zoomScale="75" workbookViewId="0" zoomToFit="1"/>
  </sheetViews>
  <pageMargins left="0.7" right="0.7" top="0.75" bottom="0.75" header="0.3" footer="0.3"/>
  <pageSetup orientation="landscape" r:id="rId1"/>
  <headerFooter>
    <oddFooter>&amp;L&amp;Z&amp;F</oddFooter>
  </headerFooter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12992100" cy="9410700"/>
    <xdr:graphicFrame macro="">
      <xdr:nvGraphicFramePr>
        <xdr:cNvPr id="2" name="Chart 1" descr="Percent of Administrative Cost over Cost Analysis Total Expenses excluding transfers." title="Admin Cost percent over Cost Analysis Total Expense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0.90526</cdr:x>
      <cdr:y>0.83677</cdr:y>
    </cdr:from>
    <cdr:to>
      <cdr:x>0.97391</cdr:x>
      <cdr:y>0.88398</cdr:y>
    </cdr:to>
    <cdr:sp macro="" textlink="'Summary Analytics'!$E$39">
      <cdr:nvSpPr>
        <cdr:cNvPr id="3" name="TextBox 1"/>
        <cdr:cNvSpPr txBox="1"/>
      </cdr:nvSpPr>
      <cdr:spPr>
        <a:xfrm xmlns:a="http://schemas.openxmlformats.org/drawingml/2006/main">
          <a:off x="7823921" y="5259076"/>
          <a:ext cx="593326" cy="29671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5B236F5A-2A2A-44E0-8633-034C67B3C35F}" type="TxLink">
            <a:rPr lang="en-US" sz="1100"/>
            <a:pPr/>
            <a:t>9.17%</a:t>
          </a:fld>
          <a:endParaRPr lang="en-US" sz="1100"/>
        </a:p>
      </cdr:txBody>
    </cdr:sp>
  </cdr:relSizeAnchor>
  <cdr:relSizeAnchor xmlns:cdr="http://schemas.openxmlformats.org/drawingml/2006/chartDrawing">
    <cdr:from>
      <cdr:x>0.85817</cdr:x>
      <cdr:y>0.8374</cdr:y>
    </cdr:from>
    <cdr:to>
      <cdr:x>0.92051</cdr:x>
      <cdr:y>0.88336</cdr:y>
    </cdr:to>
    <cdr:sp macro="" textlink="">
      <cdr:nvSpPr>
        <cdr:cNvPr id="4" name="TextBox 2"/>
        <cdr:cNvSpPr txBox="1"/>
      </cdr:nvSpPr>
      <cdr:spPr>
        <a:xfrm xmlns:a="http://schemas.openxmlformats.org/drawingml/2006/main">
          <a:off x="7416933" y="5263035"/>
          <a:ext cx="538790" cy="28885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/>
            <a:t>Range: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12992100" cy="9410700"/>
    <xdr:graphicFrame macro="">
      <xdr:nvGraphicFramePr>
        <xdr:cNvPr id="2" name="Chart 1" descr="This chart shows the FCS Admin Cost Per Fundable FTE and % Over COst Analysis Total Expenditures" title="FCS Admin Cost Per FT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0.86475</cdr:x>
      <cdr:y>0.81807</cdr:y>
    </cdr:from>
    <cdr:to>
      <cdr:x>0.9334</cdr:x>
      <cdr:y>0.86553</cdr:y>
    </cdr:to>
    <cdr:sp macro="" textlink="'Summary Analytics'!$G$39">
      <cdr:nvSpPr>
        <cdr:cNvPr id="2" name="TextBox 1"/>
        <cdr:cNvSpPr txBox="1"/>
      </cdr:nvSpPr>
      <cdr:spPr>
        <a:xfrm xmlns:a="http://schemas.openxmlformats.org/drawingml/2006/main">
          <a:off x="7496091" y="5146702"/>
          <a:ext cx="595096" cy="29860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fld id="{E6EEE655-5218-4113-A5AB-5B7506E82EEA}" type="TxLink">
            <a:rPr lang="en-US" sz="1050"/>
            <a:pPr/>
            <a:t> $1,177 </a:t>
          </a:fld>
          <a:endParaRPr lang="en-US" sz="1050"/>
        </a:p>
      </cdr:txBody>
    </cdr:sp>
  </cdr:relSizeAnchor>
  <cdr:relSizeAnchor xmlns:cdr="http://schemas.openxmlformats.org/drawingml/2006/chartDrawing">
    <cdr:from>
      <cdr:x>0.82198</cdr:x>
      <cdr:y>0.81768</cdr:y>
    </cdr:from>
    <cdr:to>
      <cdr:x>0.88432</cdr:x>
      <cdr:y>0.86364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7125367" y="5144259"/>
          <a:ext cx="540398" cy="28914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Range: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12992100" cy="9410700"/>
    <xdr:graphicFrame macro="">
      <xdr:nvGraphicFramePr>
        <xdr:cNvPr id="2" name="Chart 1" descr="This chart shows the percent of institutional support excluded from the administrative cost total." title="% of Institutional Support Excluded from Total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0.86916</cdr:x>
      <cdr:y>0.8709</cdr:y>
    </cdr:from>
    <cdr:to>
      <cdr:x>0.93781</cdr:x>
      <cdr:y>0.91808</cdr:y>
    </cdr:to>
    <cdr:sp macro="" textlink="'Summary Analytics'!$D$39">
      <cdr:nvSpPr>
        <cdr:cNvPr id="2" name="TextBox 1"/>
        <cdr:cNvSpPr txBox="1"/>
      </cdr:nvSpPr>
      <cdr:spPr>
        <a:xfrm xmlns:a="http://schemas.openxmlformats.org/drawingml/2006/main">
          <a:off x="7511945" y="5473553"/>
          <a:ext cx="593326" cy="2965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C299607C-994C-450F-803D-075989BB46FF}" type="TxLink">
            <a:rPr lang="en-US" sz="1100"/>
            <a:pPr/>
            <a:t>59.19%</a:t>
          </a:fld>
          <a:endParaRPr lang="en-US" sz="1100"/>
        </a:p>
      </cdr:txBody>
    </cdr:sp>
  </cdr:relSizeAnchor>
  <cdr:relSizeAnchor xmlns:cdr="http://schemas.openxmlformats.org/drawingml/2006/chartDrawing">
    <cdr:from>
      <cdr:x>0.8194</cdr:x>
      <cdr:y>0.86966</cdr:y>
    </cdr:from>
    <cdr:to>
      <cdr:x>0.88175</cdr:x>
      <cdr:y>0.9156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7085800" y="5465800"/>
          <a:ext cx="539122" cy="288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/>
            <a:t>Range: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Work\Reports%20&amp;%20Surveys\Cost%20Analysis\Cost%20Analysis%20-%202012-2013\Received%20from%20Colleges\Broward\Original\2%20Broward%202012-13%20CA2%209-9-13%20after%20Assignment%20and%20Workday%20Transfers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Work\Reports%20&amp;%20Surveys\Cost%20Analysis\Cost%20Analysis%20-%202012-2013\Received%20from%20Colleges\Florida%20Gateway\Original\12%20Florida%20Gateway%202012-13%2010-3-13%20232PM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Finance\Reports%20&amp;%20Surveys\Cost%20Analysis\Cost%20Analysis%20-%202022-23\Received%20from%20colleges\13.%20Lake-Sumter%202022-23%20CA2%20(1)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nce/Work/Reports%20&amp;%20Surveys/Cost%20Analysis/Cost%20Analysis%20-%202013-2014/Received%20from%20Colleges/SCF-Manatee/14%20SCF%20Manatee%20Sarasota%202013-14%20CA2%20(rev)%2010-30-14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Finance\Reports%20&amp;%20Surveys\Cost%20Analysis\Cost%20Analysis%20-%202022-23\Received%20from%20colleges\15.%20Miami%20Dade%202022-23%20CA2%2010.16.23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Finance\Reports%20&amp;%20Surveys\Cost%20Analysis\Cost%20Analysis%20-%202022-23\Received%20from%20colleges\16.%20North%20Florida%202022-23%20CA2%2010.16.23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Finance\Reports%20&amp;%20Surveys\Cost%20Analysis\Cost%20Analysis%20-%202022-23\Received%20from%20colleges\17.%20NWFSC%202022-23%20CA2%20FINAL%2010.14.23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Finance\Reports%20&amp;%20Surveys\Cost%20Analysis\Cost%20Analysis%20-%202022-23\Received%20from%20colleges\18.%20Palm%20Beach%202022-23%20CA2%20(Corrected)%2010-16-23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Finance\Reports%20&amp;%20Surveys\Cost%20Analysis\Cost%20Analysis%20-%202022-23\Received%20from%20colleges\19.%20Pasco-Hernando%202022-23%20CA2%2009.27.23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Finance\Reports%20&amp;%20Surveys\Cost%20Analysis\Cost%20Analysis%20-%202022-23\Received%20from%20colleges\20.%20Pensacola%202022-2023%20CA2%2010.10.23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Finance\Reports%20&amp;%20Surveys\Cost%20Analysis\Cost%20Analysis%20-%202022-23\Received%20from%20colleges\21.%20Polk%202022-23%20CA2%2010.16.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nce/Reports%20&amp;%20Surveys/Cost%20Analysis/Cost%20Analysis%20-%202014-15/Received%20from%20Colleges/Central%20Florida/3%20Central%20FL%202014-15%20CA2%2010-21-15%20with%20CWE%20corrected%20SRF%20102215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Finance\Reports%20&amp;%20Surveys\Cost%20Analysis\Cost%20Analysis%20-%202022-23\Received%20from%20colleges\22.%20St.%20Johns%20River%202022-23%20CA2%2012.04.23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Work\Reports%20&amp;%20Surveys\Cost%20Analysis\Cost%20Analysis%20-%202012-2013\Received%20from%20Colleges\St%20Petersburg\Original\23%20St%20Petersburg%202012-13%20CA2%20SRS%2010-16-2013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Finance\Reports%20&amp;%20Surveys\Cost%20Analysis\Cost%20Analysis%20-%202022-23\Received%20from%20colleges\24.%20Santa%20Fe%202022-23%20CA2%20V3%2010.16.23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Finance\Reports%20&amp;%20Surveys\Cost%20Analysis\Cost%20Analysis%20-%202022-23\Received%20from%20colleges\26.%20South%20FL%202022-23%20CA2%2011.06.23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Finance\Reports%20&amp;%20Surveys\Cost%20Analysis\Cost%20Analysis%20-%202022-23\Received%20from%20colleges\27.%20TCC%202022-23%20CA2%20(1)%2010.17.23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Finance\Reports%20&amp;%20Surveys\Cost%20Analysis\Cost%20Analysis%20-%202022-23\Received%20from%20colleges\28.%20Valencia%202022-23%20CA2%2010.16.2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Work\Reports%20&amp;%20Surveys\Cost%20Analysis\Cost%20Analysis%20-%202012-2013\Received%20from%20Colleges\Chipola\Original\Chipola%202012-13%20CA2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Work\Reports%20&amp;%20Surveys\Cost%20Analysis\Cost%20Analysis%20-%202012-2013\Received%20from%20Colleges\Daytona\Original\Daytona%20SC%20CA2%20Report%202012-13%2010-18-13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Work\Reports%20&amp;%20Surveys\Cost%20Analysis\Cost%20Analysis%20-%202012-2013\Received%20from%20Colleges\FSC%20Jax\Original\FSC%20Jacksonville%202012-13%20CA2%209-9-13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Work\Reports%20&amp;%20Surveys\Cost%20Analysis\Cost%20Analysis%20-%202012-2013\Received%20from%20Colleges\Florida%20Keys\Original\Florida%20Keys%202012-13%20CA2%2010-10-13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Work\Reports%20&amp;%20Surveys\Cost%20Analysis\Cost%20Analysis%20-%202012-2013\Received%20from%20Colleges\Gulf%20Coast\Original\Gulf%20Coast%202012-13%20CA2%209-9-13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Work\Reports%20&amp;%20Surveys\Cost%20Analysis\Cost%20Analysis%20-%202012-2013\Received%20from%20Colleges\Hillsborough\Original\10%20Hillsborough%202012-13%20CA2%2012-6-13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Work\Reports%20&amp;%20Surveys\Cost%20Analysis\Cost%20Analysis%20-%202012-2013\Received%20from%20Colleges\Indian%20River\Original\11%20Indian%20River%202012-13%20CA2%209-9-13%20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2 Detail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2 Detail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Data Entry - CA2"/>
      <sheetName val="Data Entry - Admin Cost"/>
      <sheetName val="Prior Year - Admin Cost"/>
      <sheetName val="Checklist"/>
      <sheetName val="ICS 9.0000"/>
      <sheetName val="Extraordinary Costs"/>
      <sheetName val="CA2 Detail"/>
      <sheetName val="Prior Year - CA2"/>
      <sheetName val="Amount Change"/>
      <sheetName val="% Change"/>
      <sheetName val="College Data"/>
    </sheetNames>
    <sheetDataSet>
      <sheetData sheetId="0" refreshError="1"/>
      <sheetData sheetId="1">
        <row r="2">
          <cell r="A2" t="str">
            <v>Lake-Sumter State College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121">
          <cell r="W121">
            <v>35645184.030000001</v>
          </cell>
        </row>
        <row r="173">
          <cell r="L173">
            <v>8297557.620000001</v>
          </cell>
        </row>
        <row r="203">
          <cell r="J203">
            <v>5127452</v>
          </cell>
        </row>
      </sheetData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2 Detail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Data Entry - CA2"/>
      <sheetName val="Data Entry - Admin Cost"/>
      <sheetName val="Prior Year - Admin Cost"/>
      <sheetName val="Checklist"/>
      <sheetName val="ICS 9.0000"/>
      <sheetName val="Extraordinary Costs"/>
      <sheetName val="CA2 Detail"/>
      <sheetName val="Prior Year - CA2"/>
      <sheetName val="Amount Change"/>
      <sheetName val="% Change"/>
      <sheetName val="College Data"/>
    </sheetNames>
    <sheetDataSet>
      <sheetData sheetId="0"/>
      <sheetData sheetId="1">
        <row r="2">
          <cell r="A2" t="str">
            <v>Miami Dade College</v>
          </cell>
        </row>
      </sheetData>
      <sheetData sheetId="2"/>
      <sheetData sheetId="3"/>
      <sheetData sheetId="4"/>
      <sheetData sheetId="5"/>
      <sheetData sheetId="6"/>
      <sheetData sheetId="7">
        <row r="121">
          <cell r="W121">
            <v>357854062.45600003</v>
          </cell>
        </row>
        <row r="173">
          <cell r="L173">
            <v>81579283.859999999</v>
          </cell>
        </row>
        <row r="203">
          <cell r="J203">
            <v>4600000</v>
          </cell>
        </row>
      </sheetData>
      <sheetData sheetId="8"/>
      <sheetData sheetId="9"/>
      <sheetData sheetId="10"/>
      <sheetData sheetId="1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Data Entry - CA2"/>
      <sheetName val="Data Entry - Admin Cost"/>
      <sheetName val="Prior Year - Admin Cost"/>
      <sheetName val="Checklist"/>
      <sheetName val="ICS 9.0000"/>
      <sheetName val="Extraordinary Costs"/>
      <sheetName val="CA2 Detail"/>
      <sheetName val="Prior Year - CA2"/>
      <sheetName val="Amount Change"/>
      <sheetName val="% Change"/>
      <sheetName val="College Data"/>
    </sheetNames>
    <sheetDataSet>
      <sheetData sheetId="0"/>
      <sheetData sheetId="1">
        <row r="2">
          <cell r="A2" t="str">
            <v>North Florida College</v>
          </cell>
        </row>
      </sheetData>
      <sheetData sheetId="2"/>
      <sheetData sheetId="3"/>
      <sheetData sheetId="4"/>
      <sheetData sheetId="5"/>
      <sheetData sheetId="6"/>
      <sheetData sheetId="7">
        <row r="121">
          <cell r="W121">
            <v>11579353.681699999</v>
          </cell>
        </row>
        <row r="173">
          <cell r="L173">
            <v>2236330</v>
          </cell>
        </row>
        <row r="203">
          <cell r="J203">
            <v>0</v>
          </cell>
        </row>
      </sheetData>
      <sheetData sheetId="8"/>
      <sheetData sheetId="9"/>
      <sheetData sheetId="10"/>
      <sheetData sheetId="1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Data Entry - CA2"/>
      <sheetName val="Data Entry - Admin Cost"/>
      <sheetName val="Prior Year - Admin Cost"/>
      <sheetName val="Checklist"/>
      <sheetName val="ICS 9.0000"/>
      <sheetName val="Extraordinary Costs"/>
      <sheetName val="CA2 Detail"/>
      <sheetName val="Prior Year - CA2"/>
      <sheetName val="Amount Change"/>
      <sheetName val="% Change"/>
      <sheetName val="College Data"/>
    </sheetNames>
    <sheetDataSet>
      <sheetData sheetId="0"/>
      <sheetData sheetId="1">
        <row r="2">
          <cell r="A2" t="str">
            <v>Northwest Florida State College</v>
          </cell>
        </row>
      </sheetData>
      <sheetData sheetId="2"/>
      <sheetData sheetId="3"/>
      <sheetData sheetId="4"/>
      <sheetData sheetId="5"/>
      <sheetData sheetId="6"/>
      <sheetData sheetId="7">
        <row r="121">
          <cell r="W121">
            <v>34704066.999999993</v>
          </cell>
        </row>
        <row r="173">
          <cell r="L173">
            <v>9476001</v>
          </cell>
        </row>
        <row r="203">
          <cell r="J203">
            <v>0</v>
          </cell>
        </row>
      </sheetData>
      <sheetData sheetId="8"/>
      <sheetData sheetId="9"/>
      <sheetData sheetId="10"/>
      <sheetData sheetId="1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Data Entry - CA2"/>
      <sheetName val="Data Entry - Admin Cost"/>
      <sheetName val="Prior Year - Admin Cost"/>
      <sheetName val="Checklist"/>
      <sheetName val="ICS 9.0000"/>
      <sheetName val="Extraordinary Costs"/>
      <sheetName val="CA2 Detail"/>
      <sheetName val="Prior Year - CA2"/>
      <sheetName val="Amount Change"/>
      <sheetName val="% Change"/>
      <sheetName val="College Data"/>
    </sheetNames>
    <sheetDataSet>
      <sheetData sheetId="0"/>
      <sheetData sheetId="1">
        <row r="2">
          <cell r="A2" t="str">
            <v>Palm Beach State College</v>
          </cell>
        </row>
      </sheetData>
      <sheetData sheetId="2"/>
      <sheetData sheetId="3"/>
      <sheetData sheetId="4"/>
      <sheetData sheetId="5"/>
      <sheetData sheetId="6"/>
      <sheetData sheetId="7">
        <row r="121">
          <cell r="W121">
            <v>152226947.96493179</v>
          </cell>
        </row>
        <row r="173">
          <cell r="L173">
            <v>22626511.950000003</v>
          </cell>
        </row>
        <row r="203">
          <cell r="J203">
            <v>19000000</v>
          </cell>
        </row>
      </sheetData>
      <sheetData sheetId="8"/>
      <sheetData sheetId="9"/>
      <sheetData sheetId="10"/>
      <sheetData sheetId="1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Data Entry - CA2"/>
      <sheetName val="Data Entry - Admin Cost"/>
      <sheetName val="Prior Year - Admin Cost"/>
      <sheetName val="Checklist"/>
      <sheetName val="ICS 9.0000"/>
      <sheetName val="Extraordinary Costs"/>
      <sheetName val="CA2 Detail"/>
      <sheetName val="Prior Year - CA2"/>
      <sheetName val="Amount Change"/>
      <sheetName val="% Change"/>
      <sheetName val="College Data"/>
    </sheetNames>
    <sheetDataSet>
      <sheetData sheetId="0"/>
      <sheetData sheetId="1">
        <row r="2">
          <cell r="A2" t="str">
            <v>Pasco-Hernando State College</v>
          </cell>
        </row>
      </sheetData>
      <sheetData sheetId="2"/>
      <sheetData sheetId="3"/>
      <sheetData sheetId="4"/>
      <sheetData sheetId="5"/>
      <sheetData sheetId="6"/>
      <sheetData sheetId="7">
        <row r="121">
          <cell r="W121">
            <v>65943034.269999988</v>
          </cell>
        </row>
        <row r="173">
          <cell r="L173">
            <v>12154287.98</v>
          </cell>
        </row>
        <row r="203">
          <cell r="J203">
            <v>8600371.9600000009</v>
          </cell>
        </row>
      </sheetData>
      <sheetData sheetId="8"/>
      <sheetData sheetId="9"/>
      <sheetData sheetId="10"/>
      <sheetData sheetId="1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Data Entry - CA2"/>
      <sheetName val="Data Entry - Admin Cost"/>
      <sheetName val="Prior Year - Admin Cost"/>
      <sheetName val="Checklist"/>
      <sheetName val="ICS 9.0000"/>
      <sheetName val="Extraordinary Costs"/>
      <sheetName val="CA2 Detail"/>
      <sheetName val="Prior Year - CA2"/>
      <sheetName val="Amount Change"/>
      <sheetName val="% Change"/>
      <sheetName val="College Data"/>
    </sheetNames>
    <sheetDataSet>
      <sheetData sheetId="0"/>
      <sheetData sheetId="1">
        <row r="2">
          <cell r="A2" t="str">
            <v>Pensacola State College</v>
          </cell>
        </row>
      </sheetData>
      <sheetData sheetId="2"/>
      <sheetData sheetId="3"/>
      <sheetData sheetId="4"/>
      <sheetData sheetId="5"/>
      <sheetData sheetId="6"/>
      <sheetData sheetId="7">
        <row r="121">
          <cell r="W121">
            <v>59332977.751599997</v>
          </cell>
        </row>
        <row r="173">
          <cell r="L173">
            <v>15861385</v>
          </cell>
        </row>
        <row r="203">
          <cell r="J203">
            <v>0</v>
          </cell>
        </row>
      </sheetData>
      <sheetData sheetId="8"/>
      <sheetData sheetId="9"/>
      <sheetData sheetId="10"/>
      <sheetData sheetId="1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Data Entry - CA2"/>
      <sheetName val="Data Entry - Admin Cost"/>
      <sheetName val="Prior Year - Admin Cost"/>
      <sheetName val="Checklist"/>
      <sheetName val="ICS 9.0000"/>
      <sheetName val="Extraordinary Costs"/>
      <sheetName val="CA2 Detail"/>
      <sheetName val="Prior Year - CA2"/>
      <sheetName val="Amount Change"/>
      <sheetName val="% Change"/>
      <sheetName val="College Data"/>
    </sheetNames>
    <sheetDataSet>
      <sheetData sheetId="0"/>
      <sheetData sheetId="1">
        <row r="2">
          <cell r="A2" t="str">
            <v>Polk State College</v>
          </cell>
        </row>
      </sheetData>
      <sheetData sheetId="2"/>
      <sheetData sheetId="3"/>
      <sheetData sheetId="4"/>
      <sheetData sheetId="5"/>
      <sheetData sheetId="6"/>
      <sheetData sheetId="7">
        <row r="121">
          <cell r="W121">
            <v>59399252.900000006</v>
          </cell>
        </row>
        <row r="173">
          <cell r="L173">
            <v>10939188.699999999</v>
          </cell>
        </row>
        <row r="203">
          <cell r="J203">
            <v>2145594.23</v>
          </cell>
        </row>
      </sheetData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2 Detail"/>
    </sheetNames>
    <sheetDataSet>
      <sheetData sheetId="0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Data Entry - CA2"/>
      <sheetName val="Data Entry - Admin Cost"/>
      <sheetName val="Prior Year - Admin Cost"/>
      <sheetName val="Checklist"/>
      <sheetName val="ICS 9.0000"/>
      <sheetName val="Extraordinary Costs"/>
      <sheetName val="CA2 Detail"/>
      <sheetName val="Prior Year - CA2"/>
      <sheetName val="Amount Change"/>
      <sheetName val="% Change"/>
      <sheetName val="College Data"/>
    </sheetNames>
    <sheetDataSet>
      <sheetData sheetId="0"/>
      <sheetData sheetId="1">
        <row r="2">
          <cell r="A2" t="str">
            <v>St. Johns River State College</v>
          </cell>
        </row>
      </sheetData>
      <sheetData sheetId="2"/>
      <sheetData sheetId="3"/>
      <sheetData sheetId="4"/>
      <sheetData sheetId="5"/>
      <sheetData sheetId="6"/>
      <sheetData sheetId="7">
        <row r="121">
          <cell r="W121">
            <v>41525784.739999995</v>
          </cell>
        </row>
        <row r="173">
          <cell r="L173">
            <v>8378481.5299999993</v>
          </cell>
        </row>
        <row r="203">
          <cell r="J203">
            <v>3000000</v>
          </cell>
        </row>
      </sheetData>
      <sheetData sheetId="8"/>
      <sheetData sheetId="9"/>
      <sheetData sheetId="10"/>
      <sheetData sheetId="1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2 Detail"/>
    </sheetNames>
    <sheetDataSet>
      <sheetData sheetId="0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Data Entry - CA2"/>
      <sheetName val="Data Entry - Admin Cost"/>
      <sheetName val="Prior Year - Admin Cost"/>
      <sheetName val="Checklist"/>
      <sheetName val="ICS 9.0000"/>
      <sheetName val="Extraordinary Costs"/>
      <sheetName val="CA2 Detail"/>
      <sheetName val="Prior Year - CA2"/>
      <sheetName val="Amount Change"/>
      <sheetName val="% Change"/>
      <sheetName val="College Data"/>
    </sheetNames>
    <sheetDataSet>
      <sheetData sheetId="0"/>
      <sheetData sheetId="1">
        <row r="2">
          <cell r="A2" t="str">
            <v>Santa Fe College</v>
          </cell>
        </row>
      </sheetData>
      <sheetData sheetId="2"/>
      <sheetData sheetId="3"/>
      <sheetData sheetId="4"/>
      <sheetData sheetId="5"/>
      <sheetData sheetId="6"/>
      <sheetData sheetId="7">
        <row r="121">
          <cell r="W121">
            <v>86583285.129710749</v>
          </cell>
        </row>
        <row r="173">
          <cell r="L173">
            <v>16387515.970000003</v>
          </cell>
        </row>
        <row r="203">
          <cell r="J203">
            <v>0</v>
          </cell>
        </row>
      </sheetData>
      <sheetData sheetId="8"/>
      <sheetData sheetId="9"/>
      <sheetData sheetId="10"/>
      <sheetData sheetId="1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Data Entry - CA2"/>
      <sheetName val="Data Entry - Admin Cost"/>
      <sheetName val="Prior Year - Admin Cost"/>
      <sheetName val="Checklist"/>
      <sheetName val="ICS 9.0000"/>
      <sheetName val="Extraordinary Costs"/>
      <sheetName val="CA2 Detail"/>
      <sheetName val="Prior Year - CA2"/>
      <sheetName val="Amount Change"/>
      <sheetName val="% Change"/>
      <sheetName val="College Data"/>
    </sheetNames>
    <sheetDataSet>
      <sheetData sheetId="0"/>
      <sheetData sheetId="1">
        <row r="2">
          <cell r="A2" t="str">
            <v>South Florida State College</v>
          </cell>
        </row>
      </sheetData>
      <sheetData sheetId="2"/>
      <sheetData sheetId="3"/>
      <sheetData sheetId="4"/>
      <sheetData sheetId="5"/>
      <sheetData sheetId="6"/>
      <sheetData sheetId="7">
        <row r="121">
          <cell r="W121">
            <v>29683168.680725887</v>
          </cell>
        </row>
        <row r="173">
          <cell r="L173">
            <v>5730256.0899999999</v>
          </cell>
        </row>
        <row r="203">
          <cell r="J203">
            <v>0</v>
          </cell>
        </row>
      </sheetData>
      <sheetData sheetId="8"/>
      <sheetData sheetId="9"/>
      <sheetData sheetId="10"/>
      <sheetData sheetId="1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Data Entry - CA2"/>
      <sheetName val="Data Entry - Admin Cost"/>
      <sheetName val="Prior Year - Admin Cost"/>
      <sheetName val="Checklist"/>
      <sheetName val="ICS 9.0000"/>
      <sheetName val="Extraordinary Costs"/>
      <sheetName val="CA2 Detail"/>
      <sheetName val="Prior Year - CA2"/>
      <sheetName val="Amount Change"/>
      <sheetName val="% Change"/>
      <sheetName val="College Data"/>
    </sheetNames>
    <sheetDataSet>
      <sheetData sheetId="0"/>
      <sheetData sheetId="1">
        <row r="2">
          <cell r="A2" t="str">
            <v>Tallahassee Community College</v>
          </cell>
        </row>
      </sheetData>
      <sheetData sheetId="2"/>
      <sheetData sheetId="3"/>
      <sheetData sheetId="4"/>
      <sheetData sheetId="5"/>
      <sheetData sheetId="6"/>
      <sheetData sheetId="7">
        <row r="121">
          <cell r="W121">
            <v>67932868.148563236</v>
          </cell>
        </row>
        <row r="173">
          <cell r="L173">
            <v>19428654</v>
          </cell>
        </row>
        <row r="203">
          <cell r="J203">
            <v>0</v>
          </cell>
        </row>
      </sheetData>
      <sheetData sheetId="8"/>
      <sheetData sheetId="9"/>
      <sheetData sheetId="10"/>
      <sheetData sheetId="1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Data Entry - CA2"/>
      <sheetName val="Data Entry - Admin Cost"/>
      <sheetName val="Prior Year - Admin Cost"/>
      <sheetName val="Checklist"/>
      <sheetName val="ICS 9.0000"/>
      <sheetName val="Extraordinary Costs"/>
      <sheetName val="CA2 Detail"/>
      <sheetName val="Prior Year - CA2"/>
      <sheetName val="Amount Change"/>
      <sheetName val="% Change"/>
      <sheetName val="College Data"/>
    </sheetNames>
    <sheetDataSet>
      <sheetData sheetId="0"/>
      <sheetData sheetId="1">
        <row r="2">
          <cell r="A2" t="str">
            <v>Valencia College</v>
          </cell>
        </row>
      </sheetData>
      <sheetData sheetId="2"/>
      <sheetData sheetId="3"/>
      <sheetData sheetId="4"/>
      <sheetData sheetId="5"/>
      <sheetData sheetId="6"/>
      <sheetData sheetId="7">
        <row r="121">
          <cell r="W121">
            <v>240855394.79999995</v>
          </cell>
        </row>
        <row r="173">
          <cell r="L173">
            <v>34555904.850000001</v>
          </cell>
        </row>
        <row r="203">
          <cell r="J203">
            <v>6500000</v>
          </cell>
        </row>
      </sheetData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2 Detail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2 Detail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2 Detail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2 Detail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2 Detail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2 Detail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2 Detail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13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4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5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6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7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8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4.xml"/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9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5.xml"/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20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6.xml"/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21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7.xml"/><Relationship Id="rId2" Type="http://schemas.openxmlformats.org/officeDocument/2006/relationships/vmlDrawing" Target="../drawings/vmlDrawing17.vml"/><Relationship Id="rId1" Type="http://schemas.openxmlformats.org/officeDocument/2006/relationships/printerSettings" Target="../printerSettings/printerSettings2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8.xml"/><Relationship Id="rId2" Type="http://schemas.openxmlformats.org/officeDocument/2006/relationships/vmlDrawing" Target="../drawings/vmlDrawing18.vml"/><Relationship Id="rId1" Type="http://schemas.openxmlformats.org/officeDocument/2006/relationships/printerSettings" Target="../printerSettings/printerSettings23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9.xml"/><Relationship Id="rId2" Type="http://schemas.openxmlformats.org/officeDocument/2006/relationships/vmlDrawing" Target="../drawings/vmlDrawing19.vml"/><Relationship Id="rId1" Type="http://schemas.openxmlformats.org/officeDocument/2006/relationships/printerSettings" Target="../printerSettings/printerSettings24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0.xml"/><Relationship Id="rId2" Type="http://schemas.openxmlformats.org/officeDocument/2006/relationships/vmlDrawing" Target="../drawings/vmlDrawing20.vml"/><Relationship Id="rId1" Type="http://schemas.openxmlformats.org/officeDocument/2006/relationships/printerSettings" Target="../printerSettings/printerSettings25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1.xml"/><Relationship Id="rId2" Type="http://schemas.openxmlformats.org/officeDocument/2006/relationships/vmlDrawing" Target="../drawings/vmlDrawing21.vml"/><Relationship Id="rId1" Type="http://schemas.openxmlformats.org/officeDocument/2006/relationships/printerSettings" Target="../printerSettings/printerSettings26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2.xml"/><Relationship Id="rId2" Type="http://schemas.openxmlformats.org/officeDocument/2006/relationships/vmlDrawing" Target="../drawings/vmlDrawing22.vml"/><Relationship Id="rId1" Type="http://schemas.openxmlformats.org/officeDocument/2006/relationships/printerSettings" Target="../printerSettings/printerSettings27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3.xml"/><Relationship Id="rId2" Type="http://schemas.openxmlformats.org/officeDocument/2006/relationships/vmlDrawing" Target="../drawings/vmlDrawing23.vml"/><Relationship Id="rId1" Type="http://schemas.openxmlformats.org/officeDocument/2006/relationships/printerSettings" Target="../printerSettings/printerSettings28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4.xml"/><Relationship Id="rId2" Type="http://schemas.openxmlformats.org/officeDocument/2006/relationships/vmlDrawing" Target="../drawings/vmlDrawing24.vml"/><Relationship Id="rId1" Type="http://schemas.openxmlformats.org/officeDocument/2006/relationships/printerSettings" Target="../printerSettings/printerSettings29.bin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5.xml"/><Relationship Id="rId2" Type="http://schemas.openxmlformats.org/officeDocument/2006/relationships/vmlDrawing" Target="../drawings/vmlDrawing25.vml"/><Relationship Id="rId1" Type="http://schemas.openxmlformats.org/officeDocument/2006/relationships/printerSettings" Target="../printerSettings/printerSettings30.bin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comments" Target="../comments26.xml"/><Relationship Id="rId2" Type="http://schemas.openxmlformats.org/officeDocument/2006/relationships/vmlDrawing" Target="../drawings/vmlDrawing26.vml"/><Relationship Id="rId1" Type="http://schemas.openxmlformats.org/officeDocument/2006/relationships/printerSettings" Target="../printerSettings/printerSettings31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comments" Target="../comments27.xml"/><Relationship Id="rId2" Type="http://schemas.openxmlformats.org/officeDocument/2006/relationships/vmlDrawing" Target="../drawings/vmlDrawing27.vml"/><Relationship Id="rId1" Type="http://schemas.openxmlformats.org/officeDocument/2006/relationships/printerSettings" Target="../printerSettings/printerSettings3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comments" Target="../comments28.xml"/><Relationship Id="rId2" Type="http://schemas.openxmlformats.org/officeDocument/2006/relationships/vmlDrawing" Target="../drawings/vmlDrawing28.vml"/><Relationship Id="rId1" Type="http://schemas.openxmlformats.org/officeDocument/2006/relationships/printerSettings" Target="../printerSettings/printerSettings33.bin"/></Relationships>
</file>

<file path=xl/worksheets/_rels/sheet31.xml.rels><?xml version="1.0" encoding="UTF-8" standalone="yes"?>
<Relationships xmlns="http://schemas.openxmlformats.org/package/2006/relationships"><Relationship Id="rId3" Type="http://schemas.openxmlformats.org/officeDocument/2006/relationships/comments" Target="../comments29.xml"/><Relationship Id="rId2" Type="http://schemas.openxmlformats.org/officeDocument/2006/relationships/vmlDrawing" Target="../drawings/vmlDrawing29.vml"/><Relationship Id="rId1" Type="http://schemas.openxmlformats.org/officeDocument/2006/relationships/printerSettings" Target="../printerSettings/printerSettings34.bin"/></Relationships>
</file>

<file path=xl/worksheets/_rels/sheet32.xml.rels><?xml version="1.0" encoding="UTF-8" standalone="yes"?>
<Relationships xmlns="http://schemas.openxmlformats.org/package/2006/relationships"><Relationship Id="rId3" Type="http://schemas.openxmlformats.org/officeDocument/2006/relationships/comments" Target="../comments30.xml"/><Relationship Id="rId2" Type="http://schemas.openxmlformats.org/officeDocument/2006/relationships/vmlDrawing" Target="../drawings/vmlDrawing30.vml"/><Relationship Id="rId1" Type="http://schemas.openxmlformats.org/officeDocument/2006/relationships/printerSettings" Target="../printerSettings/printerSettings35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8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9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10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11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1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74"/>
  <sheetViews>
    <sheetView tabSelected="1" zoomScaleNormal="100" zoomScaleSheetLayoutView="80" workbookViewId="0">
      <selection activeCell="I6" sqref="I6"/>
    </sheetView>
  </sheetViews>
  <sheetFormatPr defaultColWidth="9.1796875" defaultRowHeight="15.5" x14ac:dyDescent="0.35"/>
  <cols>
    <col min="1" max="1" width="9.1796875" style="29"/>
    <col min="2" max="2" width="45.1796875" style="29" customWidth="1"/>
    <col min="3" max="3" width="18.453125" style="29" customWidth="1"/>
    <col min="4" max="4" width="20.7265625" style="29" customWidth="1"/>
    <col min="5" max="5" width="19.81640625" style="29" customWidth="1"/>
    <col min="6" max="6" width="13.26953125" style="29" customWidth="1"/>
    <col min="7" max="8" width="16.81640625" style="29" customWidth="1"/>
    <col min="9" max="9" width="19.1796875" style="29" customWidth="1"/>
    <col min="10" max="10" width="11.1796875" style="29" customWidth="1"/>
    <col min="11" max="12" width="9.1796875" style="29"/>
    <col min="13" max="13" width="17.54296875" style="29" bestFit="1" customWidth="1"/>
    <col min="14" max="16" width="9.1796875" style="29"/>
    <col min="17" max="17" width="12.1796875" style="29" bestFit="1" customWidth="1"/>
    <col min="18" max="18" width="9.1796875" style="29"/>
    <col min="19" max="19" width="17.54296875" style="29" bestFit="1" customWidth="1"/>
    <col min="20" max="20" width="9.7265625" style="29" bestFit="1" customWidth="1"/>
    <col min="21" max="21" width="9.1796875" style="29"/>
    <col min="22" max="22" width="10.26953125" style="29" bestFit="1" customWidth="1"/>
    <col min="23" max="23" width="11" style="29" bestFit="1" customWidth="1"/>
    <col min="24" max="16384" width="9.1796875" style="29"/>
  </cols>
  <sheetData>
    <row r="1" spans="1:23" x14ac:dyDescent="0.35">
      <c r="B1" s="105" t="s">
        <v>174</v>
      </c>
      <c r="C1" s="109"/>
      <c r="D1" s="109"/>
      <c r="E1" s="109"/>
      <c r="F1" s="109"/>
      <c r="G1" s="109"/>
      <c r="H1"/>
      <c r="I1"/>
    </row>
    <row r="2" spans="1:23" x14ac:dyDescent="0.35">
      <c r="B2" s="106" t="s">
        <v>271</v>
      </c>
      <c r="C2" s="104"/>
      <c r="D2" s="104"/>
      <c r="E2" s="104"/>
      <c r="F2" s="104"/>
      <c r="G2" s="104"/>
      <c r="H2"/>
      <c r="I2"/>
    </row>
    <row r="3" spans="1:23" x14ac:dyDescent="0.35">
      <c r="B3" s="103" t="s">
        <v>180</v>
      </c>
      <c r="C3" s="104"/>
      <c r="D3" s="104"/>
      <c r="E3" s="104"/>
      <c r="F3" s="104"/>
      <c r="G3" s="104"/>
      <c r="H3"/>
      <c r="I3"/>
    </row>
    <row r="4" spans="1:23" ht="16" thickBot="1" x14ac:dyDescent="0.4">
      <c r="H4"/>
    </row>
    <row r="5" spans="1:23" x14ac:dyDescent="0.35">
      <c r="H5"/>
      <c r="I5" s="75" t="s">
        <v>204</v>
      </c>
      <c r="J5" s="76"/>
    </row>
    <row r="6" spans="1:23" ht="104" x14ac:dyDescent="0.35">
      <c r="B6" s="30" t="s">
        <v>175</v>
      </c>
      <c r="C6" s="63" t="s">
        <v>195</v>
      </c>
      <c r="D6" s="31" t="s">
        <v>178</v>
      </c>
      <c r="E6" s="63" t="s">
        <v>193</v>
      </c>
      <c r="F6" s="31" t="s">
        <v>272</v>
      </c>
      <c r="G6" s="31" t="s">
        <v>194</v>
      </c>
      <c r="H6"/>
      <c r="I6" s="77" t="s">
        <v>273</v>
      </c>
      <c r="J6" s="78" t="s">
        <v>205</v>
      </c>
    </row>
    <row r="7" spans="1:23" x14ac:dyDescent="0.35">
      <c r="A7" s="29">
        <v>1</v>
      </c>
      <c r="B7" s="32" t="s">
        <v>196</v>
      </c>
      <c r="C7" s="64">
        <f>EASTERN!I76</f>
        <v>4032820.9369311528</v>
      </c>
      <c r="D7" s="58">
        <f>EASTERN!J77</f>
        <v>0.70479994253071865</v>
      </c>
      <c r="E7" s="58">
        <f>EASTERN!J83</f>
        <v>5.1949324296112674E-2</v>
      </c>
      <c r="F7" s="60">
        <v>8987.2000000000007</v>
      </c>
      <c r="G7" s="61">
        <f>EASTERN!I76/'Summary Analytics'!F7</f>
        <v>448.72940815060895</v>
      </c>
      <c r="H7"/>
      <c r="I7" s="79">
        <v>5.0986946773614934E-2</v>
      </c>
      <c r="J7" s="80">
        <f>E7-I7</f>
        <v>9.6237752249773989E-4</v>
      </c>
      <c r="M7" s="96"/>
      <c r="N7" s="51"/>
      <c r="O7" s="51"/>
      <c r="P7" s="97"/>
      <c r="Q7" s="98"/>
      <c r="S7" s="98"/>
      <c r="T7" s="51"/>
      <c r="U7" s="51"/>
      <c r="V7" s="99"/>
      <c r="W7" s="98"/>
    </row>
    <row r="8" spans="1:23" x14ac:dyDescent="0.35">
      <c r="A8" s="29">
        <v>2</v>
      </c>
      <c r="B8" s="32" t="s">
        <v>148</v>
      </c>
      <c r="C8" s="64">
        <f>BROWARD!I76</f>
        <v>13674952</v>
      </c>
      <c r="D8" s="58">
        <f>BROWARD!J77</f>
        <v>0.59402397633046078</v>
      </c>
      <c r="E8" s="58">
        <f>BROWARD!J83</f>
        <v>8.0543035004379135E-2</v>
      </c>
      <c r="F8" s="60">
        <v>21275.8</v>
      </c>
      <c r="G8" s="61">
        <f>BROWARD!I76/'Summary Analytics'!F8</f>
        <v>642.74678272967412</v>
      </c>
      <c r="H8"/>
      <c r="I8" s="79">
        <v>9.2426814014628544E-2</v>
      </c>
      <c r="J8" s="80">
        <f t="shared" ref="J8:J35" si="0">E8-I8</f>
        <v>-1.188377901024941E-2</v>
      </c>
      <c r="M8" s="96"/>
      <c r="N8" s="51"/>
      <c r="O8" s="51"/>
      <c r="P8" s="97"/>
      <c r="Q8" s="98"/>
      <c r="S8" s="98"/>
      <c r="T8" s="51"/>
      <c r="U8" s="51"/>
      <c r="V8" s="99"/>
      <c r="W8" s="98"/>
    </row>
    <row r="9" spans="1:23" x14ac:dyDescent="0.35">
      <c r="A9" s="29">
        <v>3</v>
      </c>
      <c r="B9" s="32" t="s">
        <v>149</v>
      </c>
      <c r="C9" s="64">
        <f>CENTRAL!I76</f>
        <v>2273645</v>
      </c>
      <c r="D9" s="58">
        <f>CENTRAL!J77</f>
        <v>0.86244555420742441</v>
      </c>
      <c r="E9" s="58">
        <f>CENTRAL!J83</f>
        <v>4.1699362057483168E-2</v>
      </c>
      <c r="F9" s="60">
        <v>4098.1000000000004</v>
      </c>
      <c r="G9" s="61">
        <f>CENTRAL!I76/'Summary Analytics'!F9</f>
        <v>554.8046655767306</v>
      </c>
      <c r="H9"/>
      <c r="I9" s="79">
        <v>4.9186629368852278E-2</v>
      </c>
      <c r="J9" s="80">
        <f t="shared" si="0"/>
        <v>-7.4872673113691099E-3</v>
      </c>
      <c r="M9" s="96"/>
      <c r="N9" s="51"/>
      <c r="O9" s="51"/>
      <c r="P9" s="97"/>
      <c r="Q9" s="98"/>
      <c r="S9" s="98"/>
      <c r="T9" s="51"/>
      <c r="U9" s="51"/>
      <c r="V9" s="99"/>
      <c r="W9" s="98"/>
    </row>
    <row r="10" spans="1:23" x14ac:dyDescent="0.35">
      <c r="A10" s="29">
        <v>4</v>
      </c>
      <c r="B10" s="32" t="s">
        <v>150</v>
      </c>
      <c r="C10" s="64">
        <f>CHIPOLA!I76</f>
        <v>1716695.7999999998</v>
      </c>
      <c r="D10" s="58">
        <f>CHIPOLA!J77</f>
        <v>0.58257804950021252</v>
      </c>
      <c r="E10" s="58">
        <f>CHIPOLA!J83</f>
        <v>0.10526786585424569</v>
      </c>
      <c r="F10" s="60">
        <v>1323.1</v>
      </c>
      <c r="G10" s="61">
        <f>CHIPOLA!I76/'Summary Analytics'!F10</f>
        <v>1297.4800090696092</v>
      </c>
      <c r="H10"/>
      <c r="I10" s="79">
        <v>0.10768326080467688</v>
      </c>
      <c r="J10" s="80">
        <f t="shared" si="0"/>
        <v>-2.4153949504311933E-3</v>
      </c>
      <c r="M10" s="96"/>
      <c r="N10" s="51"/>
      <c r="O10" s="51"/>
      <c r="P10" s="97"/>
      <c r="Q10" s="98"/>
      <c r="S10" s="98"/>
      <c r="T10" s="51"/>
      <c r="U10" s="51"/>
      <c r="V10" s="99"/>
      <c r="W10" s="98"/>
    </row>
    <row r="11" spans="1:23" x14ac:dyDescent="0.35">
      <c r="A11" s="29">
        <v>5</v>
      </c>
      <c r="B11" s="32" t="s">
        <v>151</v>
      </c>
      <c r="C11" s="64">
        <f>DAYTONA!I76</f>
        <v>8082113.25</v>
      </c>
      <c r="D11" s="58">
        <f>DAYTONA!J77</f>
        <v>0.46630067833936972</v>
      </c>
      <c r="E11" s="58">
        <f>DAYTONA!J83</f>
        <v>9.8498158837962355E-2</v>
      </c>
      <c r="F11" s="60">
        <v>9715.6</v>
      </c>
      <c r="G11" s="61">
        <f>DAYTONA!I76/'Summary Analytics'!F11</f>
        <v>831.86969924657251</v>
      </c>
      <c r="H11"/>
      <c r="I11" s="79">
        <v>9.5386338883196031E-2</v>
      </c>
      <c r="J11" s="80">
        <f t="shared" si="0"/>
        <v>3.1118199547663233E-3</v>
      </c>
      <c r="M11" s="96"/>
      <c r="N11" s="51"/>
      <c r="O11" s="51"/>
      <c r="P11" s="97"/>
      <c r="Q11" s="98"/>
      <c r="S11" s="98"/>
      <c r="T11" s="51"/>
      <c r="U11" s="51"/>
      <c r="V11" s="99"/>
      <c r="W11" s="98"/>
    </row>
    <row r="12" spans="1:23" x14ac:dyDescent="0.35">
      <c r="A12" s="29">
        <v>6</v>
      </c>
      <c r="B12" s="32" t="s">
        <v>207</v>
      </c>
      <c r="C12" s="64">
        <f>SOUTHWESTERN!I76</f>
        <v>6213834</v>
      </c>
      <c r="D12" s="58">
        <f>SOUTHWESTERN!J77</f>
        <v>0.44851505561280497</v>
      </c>
      <c r="E12" s="58">
        <f>SOUTHWESTERN!J83</f>
        <v>8.4315652530825541E-2</v>
      </c>
      <c r="F12" s="60">
        <v>9195.1</v>
      </c>
      <c r="G12" s="61">
        <f>SOUTHWESTERN!I76/'Summary Analytics'!F12</f>
        <v>675.77666365781772</v>
      </c>
      <c r="H12"/>
      <c r="I12" s="79">
        <v>8.5928068671301011E-2</v>
      </c>
      <c r="J12" s="80">
        <f t="shared" si="0"/>
        <v>-1.61241614047547E-3</v>
      </c>
      <c r="M12" s="96"/>
      <c r="N12" s="51"/>
      <c r="O12" s="51"/>
      <c r="P12" s="97"/>
      <c r="Q12" s="98"/>
      <c r="S12" s="98"/>
      <c r="T12" s="51"/>
      <c r="U12" s="51"/>
      <c r="V12" s="99"/>
      <c r="W12" s="98"/>
    </row>
    <row r="13" spans="1:23" x14ac:dyDescent="0.35">
      <c r="A13" s="29">
        <v>7</v>
      </c>
      <c r="B13" s="32" t="s">
        <v>152</v>
      </c>
      <c r="C13" s="64">
        <f>'FSC JAX'!I76</f>
        <v>7760685.7000000011</v>
      </c>
      <c r="D13" s="58">
        <f>'FSC JAX'!J77</f>
        <v>0.66704936303997941</v>
      </c>
      <c r="E13" s="58">
        <f>'FSC JAX'!J83</f>
        <v>5.7913633807964687E-2</v>
      </c>
      <c r="F13" s="60">
        <v>13772.5</v>
      </c>
      <c r="G13" s="61">
        <f>'FSC JAX'!I76/'Summary Analytics'!F13</f>
        <v>563.49142857142863</v>
      </c>
      <c r="H13"/>
      <c r="I13" s="79">
        <v>5.6295587633268834E-2</v>
      </c>
      <c r="J13" s="80">
        <f t="shared" si="0"/>
        <v>1.618046174695853E-3</v>
      </c>
      <c r="M13" s="96"/>
      <c r="N13" s="51"/>
      <c r="O13" s="51"/>
      <c r="P13" s="97"/>
      <c r="Q13" s="98"/>
      <c r="S13" s="98"/>
      <c r="T13" s="51"/>
      <c r="U13" s="51"/>
      <c r="V13" s="99"/>
      <c r="W13" s="98"/>
    </row>
    <row r="14" spans="1:23" x14ac:dyDescent="0.35">
      <c r="A14" s="29">
        <v>8</v>
      </c>
      <c r="B14" s="32" t="s">
        <v>255</v>
      </c>
      <c r="C14" s="64">
        <f>'FL KEYS'!I76</f>
        <v>1356421.8199999994</v>
      </c>
      <c r="D14" s="58">
        <f>'FL KEYS'!J77</f>
        <v>0.66429356011484575</v>
      </c>
      <c r="E14" s="58">
        <f>'FL KEYS'!J83</f>
        <v>0.1077469479598525</v>
      </c>
      <c r="F14" s="60">
        <v>838.6</v>
      </c>
      <c r="G14" s="61">
        <f>'FL KEYS'!I76/'Summary Analytics'!F14</f>
        <v>1617.4836870975428</v>
      </c>
      <c r="H14"/>
      <c r="I14" s="79">
        <v>9.0426778193100285E-2</v>
      </c>
      <c r="J14" s="80">
        <f t="shared" si="0"/>
        <v>1.7320169766752214E-2</v>
      </c>
      <c r="M14" s="96"/>
      <c r="N14" s="51"/>
      <c r="O14" s="51"/>
      <c r="Q14" s="98"/>
      <c r="S14" s="98"/>
      <c r="T14" s="51"/>
      <c r="U14" s="51"/>
      <c r="V14" s="99"/>
      <c r="W14" s="98"/>
    </row>
    <row r="15" spans="1:23" x14ac:dyDescent="0.35">
      <c r="A15" s="29">
        <v>9</v>
      </c>
      <c r="B15" s="32" t="s">
        <v>154</v>
      </c>
      <c r="C15" s="64">
        <f>'GULF COAST'!I76</f>
        <v>2734639</v>
      </c>
      <c r="D15" s="58">
        <f>'GULF COAST'!J77</f>
        <v>0.60588790404704951</v>
      </c>
      <c r="E15" s="58">
        <f>'GULF COAST'!J83</f>
        <v>7.8229712474737367E-2</v>
      </c>
      <c r="F15" s="60">
        <v>3154.9</v>
      </c>
      <c r="G15" s="61">
        <f>'GULF COAST'!I76/'Summary Analytics'!F15</f>
        <v>866.79102348727372</v>
      </c>
      <c r="H15"/>
      <c r="I15" s="79">
        <v>8.3339331229980079E-2</v>
      </c>
      <c r="J15" s="80">
        <f t="shared" si="0"/>
        <v>-5.1096187552427119E-3</v>
      </c>
      <c r="M15" s="96"/>
      <c r="N15" s="51"/>
      <c r="O15" s="51"/>
      <c r="P15" s="97"/>
      <c r="Q15" s="98"/>
      <c r="S15" s="98"/>
      <c r="T15" s="51"/>
      <c r="U15" s="51"/>
      <c r="V15" s="99"/>
      <c r="W15" s="98"/>
    </row>
    <row r="16" spans="1:23" x14ac:dyDescent="0.35">
      <c r="A16" s="29">
        <v>10</v>
      </c>
      <c r="B16" s="32" t="s">
        <v>155</v>
      </c>
      <c r="C16" s="64">
        <f>HILLSBOROUGH!I76</f>
        <v>13137359.360000001</v>
      </c>
      <c r="D16" s="58">
        <f>HILLSBOROUGH!J77</f>
        <v>0.43480451091584349</v>
      </c>
      <c r="E16" s="58">
        <f>HILLSBOROUGH!J83</f>
        <v>0.10630948756063963</v>
      </c>
      <c r="F16" s="60">
        <v>19135.900000000001</v>
      </c>
      <c r="G16" s="61">
        <f>HILLSBOROUGH!I76/'Summary Analytics'!F16</f>
        <v>686.52947392074589</v>
      </c>
      <c r="H16"/>
      <c r="I16" s="79">
        <v>0.10448930421086965</v>
      </c>
      <c r="J16" s="80">
        <f t="shared" si="0"/>
        <v>1.8201833497699799E-3</v>
      </c>
      <c r="M16" s="96"/>
      <c r="N16" s="51"/>
      <c r="O16" s="51"/>
      <c r="P16" s="97"/>
      <c r="Q16" s="98"/>
      <c r="S16" s="98"/>
      <c r="T16" s="51"/>
      <c r="U16" s="51"/>
      <c r="V16" s="99"/>
      <c r="W16" s="98"/>
    </row>
    <row r="17" spans="1:23" x14ac:dyDescent="0.35">
      <c r="A17" s="29">
        <v>11</v>
      </c>
      <c r="B17" s="32" t="s">
        <v>156</v>
      </c>
      <c r="C17" s="64">
        <f>'INDIAN RIVER'!I76</f>
        <v>6771728.4199999999</v>
      </c>
      <c r="D17" s="58">
        <f>'INDIAN RIVER'!J77</f>
        <v>0.38829287358039033</v>
      </c>
      <c r="E17" s="58">
        <f>'INDIAN RIVER'!J83</f>
        <v>8.2080358032143017E-2</v>
      </c>
      <c r="F17" s="60">
        <v>10368.1</v>
      </c>
      <c r="G17" s="61">
        <f>'INDIAN RIVER'!I76/'Summary Analytics'!F17</f>
        <v>653.13108669862368</v>
      </c>
      <c r="H17"/>
      <c r="I17" s="79">
        <v>6.4160854767545072E-2</v>
      </c>
      <c r="J17" s="80">
        <f t="shared" si="0"/>
        <v>1.7919503264597944E-2</v>
      </c>
      <c r="M17" s="96"/>
      <c r="N17" s="51"/>
      <c r="O17" s="51"/>
      <c r="P17" s="97"/>
      <c r="Q17" s="98"/>
      <c r="S17" s="98"/>
      <c r="T17" s="51"/>
      <c r="U17" s="51"/>
      <c r="V17" s="99"/>
      <c r="W17" s="98"/>
    </row>
    <row r="18" spans="1:23" x14ac:dyDescent="0.35">
      <c r="A18" s="29">
        <v>12</v>
      </c>
      <c r="B18" s="32" t="s">
        <v>157</v>
      </c>
      <c r="C18" s="64">
        <f>GATEWAY!I76</f>
        <v>2890812.11</v>
      </c>
      <c r="D18" s="58">
        <f>GATEWAY!J77</f>
        <v>0.37331718223461979</v>
      </c>
      <c r="E18" s="58">
        <f>GATEWAY!J83</f>
        <v>0.13340507380943287</v>
      </c>
      <c r="F18" s="60">
        <v>2061.8000000000002</v>
      </c>
      <c r="G18" s="61">
        <f>GATEWAY!I76/'Summary Analytics'!F18</f>
        <v>1402.0817295566978</v>
      </c>
      <c r="H18"/>
      <c r="I18" s="79">
        <v>0.12937248482731217</v>
      </c>
      <c r="J18" s="80">
        <f t="shared" si="0"/>
        <v>4.0325889821206939E-3</v>
      </c>
      <c r="M18" s="96"/>
      <c r="N18" s="51"/>
      <c r="O18" s="51"/>
      <c r="P18" s="97"/>
      <c r="Q18" s="98"/>
      <c r="S18" s="98"/>
      <c r="T18" s="51"/>
      <c r="U18" s="51"/>
      <c r="V18" s="99"/>
      <c r="W18" s="98"/>
    </row>
    <row r="19" spans="1:23" x14ac:dyDescent="0.35">
      <c r="A19" s="29">
        <v>13</v>
      </c>
      <c r="B19" s="32" t="s">
        <v>209</v>
      </c>
      <c r="C19" s="64">
        <f>'LAKE SUMTER'!I76</f>
        <v>3068862.08</v>
      </c>
      <c r="D19" s="58">
        <f>'LAKE SUMTER'!J77</f>
        <v>0.63014874731294734</v>
      </c>
      <c r="E19" s="58">
        <f>'LAKE SUMTER'!J83</f>
        <v>0.10055996549754094</v>
      </c>
      <c r="F19" s="60">
        <v>3076.4</v>
      </c>
      <c r="G19" s="61">
        <f>'LAKE SUMTER'!I76/'Summary Analytics'!F19</f>
        <v>997.54975945910803</v>
      </c>
      <c r="H19"/>
      <c r="I19" s="79">
        <v>0.11782909077002979</v>
      </c>
      <c r="J19" s="80">
        <f t="shared" si="0"/>
        <v>-1.7269125272488847E-2</v>
      </c>
      <c r="M19" s="96"/>
      <c r="N19" s="51"/>
      <c r="O19" s="51"/>
      <c r="P19" s="97"/>
      <c r="Q19" s="98"/>
      <c r="S19" s="98"/>
      <c r="T19" s="51"/>
      <c r="U19" s="51"/>
      <c r="V19" s="99"/>
      <c r="W19" s="98"/>
    </row>
    <row r="20" spans="1:23" x14ac:dyDescent="0.35">
      <c r="A20" s="29">
        <v>14</v>
      </c>
      <c r="B20" s="32" t="s">
        <v>159</v>
      </c>
      <c r="C20" s="64">
        <f>'SCF MANATEE'!I76</f>
        <v>3641952.1274999999</v>
      </c>
      <c r="D20" s="58">
        <f>'SCF MANATEE'!J77</f>
        <v>0.72888389887182004</v>
      </c>
      <c r="E20" s="58">
        <f>'SCF MANATEE'!J83</f>
        <v>7.8337931724061449E-2</v>
      </c>
      <c r="F20" s="60">
        <v>5790</v>
      </c>
      <c r="G20" s="61">
        <f>'SCF MANATEE'!I76/'Summary Analytics'!F20</f>
        <v>629.00727590673569</v>
      </c>
      <c r="H20"/>
      <c r="I20" s="79">
        <v>8.3845966784737436E-2</v>
      </c>
      <c r="J20" s="80">
        <f t="shared" si="0"/>
        <v>-5.5080350606759865E-3</v>
      </c>
      <c r="M20" s="96"/>
      <c r="N20" s="51"/>
      <c r="O20" s="51"/>
      <c r="P20" s="97"/>
      <c r="Q20" s="98"/>
      <c r="S20" s="98"/>
      <c r="T20" s="51"/>
      <c r="U20" s="51"/>
      <c r="V20" s="99"/>
      <c r="W20" s="98"/>
    </row>
    <row r="21" spans="1:23" x14ac:dyDescent="0.35">
      <c r="A21" s="29">
        <v>15</v>
      </c>
      <c r="B21" s="32" t="s">
        <v>160</v>
      </c>
      <c r="C21" s="64">
        <f>MIAMI!I76</f>
        <v>26669673.239999998</v>
      </c>
      <c r="D21" s="58">
        <f>MIAMI!J77</f>
        <v>0.67308277324708554</v>
      </c>
      <c r="E21" s="58">
        <f>MIAMI!J83</f>
        <v>7.5497145183777953E-2</v>
      </c>
      <c r="F21" s="60">
        <v>39745.199999999997</v>
      </c>
      <c r="G21" s="61">
        <f>MIAMI!I76/'Summary Analytics'!F21</f>
        <v>671.01620422088706</v>
      </c>
      <c r="H21"/>
      <c r="I21" s="79">
        <v>8.2586330805174385E-2</v>
      </c>
      <c r="J21" s="80">
        <f t="shared" si="0"/>
        <v>-7.0891856213964322E-3</v>
      </c>
      <c r="M21" s="96"/>
      <c r="N21" s="51"/>
      <c r="O21" s="51"/>
      <c r="P21" s="97"/>
      <c r="Q21" s="98"/>
      <c r="S21" s="98"/>
      <c r="T21" s="51"/>
      <c r="U21" s="51"/>
      <c r="V21" s="99"/>
      <c r="W21" s="98"/>
    </row>
    <row r="22" spans="1:23" x14ac:dyDescent="0.35">
      <c r="A22" s="29">
        <v>16</v>
      </c>
      <c r="B22" s="32" t="s">
        <v>254</v>
      </c>
      <c r="C22" s="64">
        <f>'NORTH FLORIDA'!I76</f>
        <v>973793</v>
      </c>
      <c r="D22" s="58">
        <f>'NORTH FLORIDA'!J77</f>
        <v>0.56455755635348992</v>
      </c>
      <c r="E22" s="58">
        <f>'NORTH FLORIDA'!J83</f>
        <v>8.409735351110155E-2</v>
      </c>
      <c r="F22" s="60">
        <v>769.9</v>
      </c>
      <c r="G22" s="61">
        <f>'NORTH FLORIDA'!I76/'Summary Analytics'!F22</f>
        <v>1264.8304974672035</v>
      </c>
      <c r="H22"/>
      <c r="I22" s="79">
        <v>9.0583307637091021E-2</v>
      </c>
      <c r="J22" s="80">
        <f t="shared" si="0"/>
        <v>-6.485954125989471E-3</v>
      </c>
      <c r="M22" s="96"/>
      <c r="N22" s="51"/>
      <c r="O22" s="51"/>
      <c r="Q22" s="98"/>
      <c r="S22" s="98"/>
      <c r="T22" s="51"/>
      <c r="U22" s="51"/>
      <c r="V22" s="99"/>
      <c r="W22" s="98"/>
    </row>
    <row r="23" spans="1:23" x14ac:dyDescent="0.35">
      <c r="A23" s="29">
        <v>17</v>
      </c>
      <c r="B23" s="32" t="s">
        <v>162</v>
      </c>
      <c r="C23" s="64">
        <f>'NORTHWEST FLORIDA'!I76</f>
        <v>3717607</v>
      </c>
      <c r="D23" s="58">
        <f>'NORTHWEST FLORIDA'!J77</f>
        <v>0.60768186917667066</v>
      </c>
      <c r="E23" s="58">
        <f>'NORTHWEST FLORIDA'!J83</f>
        <v>0.1071230930945356</v>
      </c>
      <c r="F23" s="60">
        <v>3211.6</v>
      </c>
      <c r="G23" s="61">
        <f>'NORTHWEST FLORIDA'!I76/'Summary Analytics'!F23</f>
        <v>1157.5560468302403</v>
      </c>
      <c r="H23"/>
      <c r="I23" s="79">
        <v>9.972502588282145E-2</v>
      </c>
      <c r="J23" s="80">
        <f t="shared" si="0"/>
        <v>7.3980672117141544E-3</v>
      </c>
      <c r="M23" s="96"/>
      <c r="N23" s="51"/>
      <c r="O23" s="51"/>
      <c r="P23" s="97"/>
      <c r="Q23" s="98"/>
      <c r="S23" s="98"/>
      <c r="T23" s="51"/>
      <c r="U23" s="51"/>
      <c r="V23" s="99"/>
      <c r="W23" s="98"/>
    </row>
    <row r="24" spans="1:23" x14ac:dyDescent="0.35">
      <c r="A24" s="29">
        <v>18</v>
      </c>
      <c r="B24" s="32" t="s">
        <v>163</v>
      </c>
      <c r="C24" s="64">
        <f>'PALM BEACH'!I76</f>
        <v>9470528.4000000004</v>
      </c>
      <c r="D24" s="58">
        <f>'PALM BEACH'!J77</f>
        <v>0.58144108022801111</v>
      </c>
      <c r="E24" s="58">
        <f>'PALM BEACH'!J83</f>
        <v>7.1085681573166776E-2</v>
      </c>
      <c r="F24" s="60">
        <v>15839.4</v>
      </c>
      <c r="G24" s="61">
        <f>'PALM BEACH'!I76/'Summary Analytics'!F24</f>
        <v>597.90954202810713</v>
      </c>
      <c r="H24"/>
      <c r="I24" s="79">
        <v>0.10231900701919935</v>
      </c>
      <c r="J24" s="80">
        <f t="shared" si="0"/>
        <v>-3.1233325446032578E-2</v>
      </c>
      <c r="M24" s="96"/>
      <c r="N24" s="51"/>
      <c r="O24" s="51"/>
      <c r="P24" s="97"/>
      <c r="Q24" s="98"/>
      <c r="S24" s="98"/>
      <c r="T24" s="51"/>
      <c r="U24" s="51"/>
      <c r="V24" s="99"/>
      <c r="W24" s="98"/>
    </row>
    <row r="25" spans="1:23" x14ac:dyDescent="0.35">
      <c r="A25" s="29">
        <v>19</v>
      </c>
      <c r="B25" s="32" t="s">
        <v>208</v>
      </c>
      <c r="C25" s="64">
        <f>PASCO!I76</f>
        <v>3373819.4499999997</v>
      </c>
      <c r="D25" s="58">
        <f>PASCO!J77</f>
        <v>0.72241735134533147</v>
      </c>
      <c r="E25" s="58">
        <f>PASCO!J83</f>
        <v>5.8836114580114972E-2</v>
      </c>
      <c r="F25" s="60">
        <v>6039.3</v>
      </c>
      <c r="G25" s="61">
        <f>PASCO!I76/'Summary Analytics'!F25</f>
        <v>558.64412266322245</v>
      </c>
      <c r="H25"/>
      <c r="I25" s="79">
        <v>5.9552280246236253E-2</v>
      </c>
      <c r="J25" s="80">
        <f t="shared" si="0"/>
        <v>-7.1616566612128091E-4</v>
      </c>
      <c r="M25" s="96"/>
      <c r="N25" s="51"/>
      <c r="O25" s="51"/>
      <c r="P25" s="97"/>
      <c r="Q25" s="98"/>
      <c r="S25" s="98"/>
      <c r="T25" s="51"/>
      <c r="U25" s="51"/>
      <c r="V25" s="99"/>
      <c r="W25" s="98"/>
    </row>
    <row r="26" spans="1:23" x14ac:dyDescent="0.35">
      <c r="A26" s="29">
        <v>20</v>
      </c>
      <c r="B26" s="32" t="s">
        <v>164</v>
      </c>
      <c r="C26" s="64">
        <f>PENSACOLA!I76</f>
        <v>5127237</v>
      </c>
      <c r="D26" s="58">
        <f>PENSACOLA!J77</f>
        <v>0.6767472071322902</v>
      </c>
      <c r="E26" s="58">
        <f>PENSACOLA!J83</f>
        <v>8.6414624620146208E-2</v>
      </c>
      <c r="F26" s="60">
        <v>5511.4</v>
      </c>
      <c r="G26" s="61">
        <f>PENSACOLA!I76/'Summary Analytics'!F26</f>
        <v>930.29665783648443</v>
      </c>
      <c r="H26"/>
      <c r="I26" s="79">
        <v>7.0705064774742046E-2</v>
      </c>
      <c r="J26" s="80">
        <f t="shared" si="0"/>
        <v>1.5709559845404161E-2</v>
      </c>
      <c r="M26" s="96"/>
      <c r="N26" s="51"/>
      <c r="O26" s="51"/>
      <c r="P26" s="97"/>
      <c r="Q26" s="98"/>
      <c r="S26" s="98"/>
      <c r="T26" s="51"/>
      <c r="U26" s="51"/>
      <c r="V26" s="99"/>
      <c r="W26" s="98"/>
    </row>
    <row r="27" spans="1:23" x14ac:dyDescent="0.35">
      <c r="A27" s="29">
        <v>21</v>
      </c>
      <c r="B27" s="32" t="s">
        <v>165</v>
      </c>
      <c r="C27" s="64">
        <f>POLK!I76</f>
        <v>5277016.34</v>
      </c>
      <c r="D27" s="58">
        <f>POLK!J77</f>
        <v>0.51760441430176629</v>
      </c>
      <c r="E27" s="58">
        <f>POLK!J83</f>
        <v>9.2169067664580023E-2</v>
      </c>
      <c r="F27" s="60">
        <v>5190.3999999999996</v>
      </c>
      <c r="G27" s="61">
        <f>POLK!I76/'Summary Analytics'!F27</f>
        <v>1016.687796701603</v>
      </c>
      <c r="H27"/>
      <c r="I27" s="79">
        <v>9.0213161004082512E-2</v>
      </c>
      <c r="J27" s="80">
        <f t="shared" si="0"/>
        <v>1.9559066604975112E-3</v>
      </c>
      <c r="M27" s="96"/>
      <c r="N27" s="51"/>
      <c r="O27" s="51"/>
      <c r="P27" s="97"/>
      <c r="Q27" s="98"/>
      <c r="S27" s="98"/>
      <c r="T27" s="51"/>
      <c r="U27" s="51"/>
      <c r="V27" s="99"/>
      <c r="W27" s="98"/>
    </row>
    <row r="28" spans="1:23" x14ac:dyDescent="0.35">
      <c r="A28" s="29">
        <v>22</v>
      </c>
      <c r="B28" s="32" t="s">
        <v>166</v>
      </c>
      <c r="C28" s="64">
        <f>'ST JOHNS'!I76</f>
        <v>3732047.2500000005</v>
      </c>
      <c r="D28" s="58">
        <f>'ST JOHNS'!J77</f>
        <v>0.55456758642517401</v>
      </c>
      <c r="E28" s="58">
        <f>'ST JOHNS'!J83</f>
        <v>9.687141417589723E-2</v>
      </c>
      <c r="F28" s="60">
        <v>3932.5</v>
      </c>
      <c r="G28" s="61">
        <f>'ST JOHNS'!I76/'Summary Analytics'!F28</f>
        <v>949.02663699936443</v>
      </c>
      <c r="H28"/>
      <c r="I28" s="79">
        <v>9.8094780997200495E-2</v>
      </c>
      <c r="J28" s="80">
        <f t="shared" si="0"/>
        <v>-1.223366821303265E-3</v>
      </c>
      <c r="M28" s="96"/>
      <c r="N28" s="51"/>
      <c r="O28" s="51"/>
      <c r="P28" s="97"/>
      <c r="Q28" s="98"/>
      <c r="S28" s="98"/>
      <c r="T28" s="51"/>
      <c r="U28" s="51"/>
      <c r="V28" s="99"/>
      <c r="W28" s="98"/>
    </row>
    <row r="29" spans="1:23" x14ac:dyDescent="0.35">
      <c r="A29" s="29">
        <v>23</v>
      </c>
      <c r="B29" s="32" t="s">
        <v>167</v>
      </c>
      <c r="C29" s="64">
        <f>'ST PETE'!I76</f>
        <v>16189795.869999999</v>
      </c>
      <c r="D29" s="58">
        <f>'ST PETE'!J77</f>
        <v>0.27058744868048878</v>
      </c>
      <c r="E29" s="58">
        <f>'ST PETE'!J83</f>
        <v>0.12033330180420142</v>
      </c>
      <c r="F29" s="60">
        <v>14674.1</v>
      </c>
      <c r="G29" s="61">
        <f>'ST PETE'!I76/'Summary Analytics'!F29</f>
        <v>1103.2905506981688</v>
      </c>
      <c r="H29"/>
      <c r="I29" s="79">
        <v>0.10011068220020784</v>
      </c>
      <c r="J29" s="80">
        <f t="shared" si="0"/>
        <v>2.0222619603993575E-2</v>
      </c>
      <c r="M29" s="96"/>
      <c r="N29" s="51"/>
      <c r="O29" s="51"/>
      <c r="P29" s="97"/>
      <c r="Q29" s="98"/>
      <c r="S29" s="98"/>
      <c r="T29" s="51"/>
      <c r="U29" s="51"/>
      <c r="V29" s="99"/>
      <c r="W29" s="98"/>
    </row>
    <row r="30" spans="1:23" x14ac:dyDescent="0.35">
      <c r="A30" s="29">
        <v>24</v>
      </c>
      <c r="B30" s="32" t="s">
        <v>168</v>
      </c>
      <c r="C30" s="64">
        <f>'SANTA FE'!I76</f>
        <v>5183596</v>
      </c>
      <c r="D30" s="58">
        <f>'SANTA FE'!J77</f>
        <v>0.68368628842288159</v>
      </c>
      <c r="E30" s="58">
        <f>'SANTA FE'!J83</f>
        <v>5.9868322069720904E-2</v>
      </c>
      <c r="F30" s="60">
        <v>9586</v>
      </c>
      <c r="G30" s="61">
        <f>'SANTA FE'!I76/'Summary Analytics'!F30</f>
        <v>540.74650532025873</v>
      </c>
      <c r="H30"/>
      <c r="I30" s="79">
        <v>9.4142565541087464E-2</v>
      </c>
      <c r="J30" s="80">
        <f t="shared" si="0"/>
        <v>-3.427424347136656E-2</v>
      </c>
      <c r="M30" s="96"/>
      <c r="N30" s="51"/>
      <c r="O30" s="51"/>
      <c r="P30" s="97"/>
      <c r="Q30" s="98"/>
      <c r="S30" s="98"/>
      <c r="T30" s="51"/>
      <c r="U30" s="51"/>
      <c r="V30" s="99"/>
      <c r="W30" s="98"/>
    </row>
    <row r="31" spans="1:23" x14ac:dyDescent="0.35">
      <c r="A31" s="29">
        <v>25</v>
      </c>
      <c r="B31" s="32" t="s">
        <v>169</v>
      </c>
      <c r="C31" s="64">
        <f>SEMINOLE!I76</f>
        <v>7667498.4199999999</v>
      </c>
      <c r="D31" s="58">
        <f>SEMINOLE!J77</f>
        <v>0.50314518687137166</v>
      </c>
      <c r="E31" s="58">
        <f>SEMINOLE!J83</f>
        <v>9.4852183328298922E-2</v>
      </c>
      <c r="F31" s="60">
        <v>10124</v>
      </c>
      <c r="G31" s="61">
        <f>SEMINOLE!I76/'Summary Analytics'!F31</f>
        <v>757.35859541683124</v>
      </c>
      <c r="H31"/>
      <c r="I31" s="79">
        <v>9.467196539345421E-2</v>
      </c>
      <c r="J31" s="80">
        <f t="shared" si="0"/>
        <v>1.8021793484471194E-4</v>
      </c>
      <c r="M31" s="96"/>
      <c r="N31" s="51"/>
      <c r="O31" s="51"/>
      <c r="P31" s="97"/>
      <c r="Q31" s="98"/>
      <c r="S31" s="98"/>
      <c r="T31" s="51"/>
      <c r="U31" s="51"/>
      <c r="V31" s="99"/>
      <c r="W31" s="98"/>
    </row>
    <row r="32" spans="1:23" x14ac:dyDescent="0.35">
      <c r="A32" s="29">
        <v>26</v>
      </c>
      <c r="B32" s="32" t="s">
        <v>170</v>
      </c>
      <c r="C32" s="64">
        <f>'SOUTH FLORIDA'!I76</f>
        <v>3089968.93</v>
      </c>
      <c r="D32" s="58">
        <f>'SOUTH FLORIDA'!J77</f>
        <v>0.45804961580049397</v>
      </c>
      <c r="E32" s="58">
        <f>'SOUTH FLORIDA'!J83</f>
        <v>0.10409835160241512</v>
      </c>
      <c r="F32" s="60">
        <v>2387.1</v>
      </c>
      <c r="G32" s="61">
        <f>'SOUTH FLORIDA'!I76/'Summary Analytics'!F32</f>
        <v>1294.4446943990617</v>
      </c>
      <c r="H32"/>
      <c r="I32" s="79">
        <v>0.11164715093166394</v>
      </c>
      <c r="J32" s="80">
        <f t="shared" si="0"/>
        <v>-7.5487993292488176E-3</v>
      </c>
      <c r="M32" s="96"/>
      <c r="N32" s="51"/>
      <c r="O32" s="51"/>
      <c r="P32" s="97"/>
      <c r="Q32" s="98"/>
      <c r="S32" s="98"/>
      <c r="T32" s="51"/>
      <c r="U32" s="51"/>
      <c r="V32" s="99"/>
      <c r="W32" s="98"/>
    </row>
    <row r="33" spans="1:23" x14ac:dyDescent="0.35">
      <c r="A33" s="29">
        <v>27</v>
      </c>
      <c r="B33" s="32" t="s">
        <v>171</v>
      </c>
      <c r="C33" s="64">
        <f>TALLAHASSEE!I76</f>
        <v>3959510</v>
      </c>
      <c r="D33" s="58">
        <f>TALLAHASSEE!J77</f>
        <v>0.79620255731560197</v>
      </c>
      <c r="E33" s="58">
        <f>TALLAHASSEE!J83</f>
        <v>5.8285629738772375E-2</v>
      </c>
      <c r="F33" s="60">
        <v>8985.6</v>
      </c>
      <c r="G33" s="61">
        <f>TALLAHASSEE!I76/'Summary Analytics'!F33</f>
        <v>440.65059650997148</v>
      </c>
      <c r="H33"/>
      <c r="I33" s="79">
        <v>8.1675094607681867E-2</v>
      </c>
      <c r="J33" s="80">
        <f t="shared" si="0"/>
        <v>-2.3389464868909492E-2</v>
      </c>
      <c r="M33" s="96"/>
      <c r="N33" s="51"/>
      <c r="O33" s="51"/>
      <c r="P33" s="97"/>
      <c r="Q33" s="98"/>
      <c r="S33" s="98"/>
      <c r="T33" s="51"/>
      <c r="U33" s="51"/>
      <c r="V33" s="99"/>
      <c r="W33" s="98"/>
    </row>
    <row r="34" spans="1:23" x14ac:dyDescent="0.35">
      <c r="A34" s="29">
        <v>28</v>
      </c>
      <c r="B34" s="32" t="s">
        <v>172</v>
      </c>
      <c r="C34" s="64">
        <f>VALENCIA!I76</f>
        <v>16040840.439999999</v>
      </c>
      <c r="D34" s="58">
        <f>VALENCIA!J77</f>
        <v>0.53580030649957056</v>
      </c>
      <c r="E34" s="58">
        <f>VALENCIA!J83</f>
        <v>6.8446644694009851E-2</v>
      </c>
      <c r="F34" s="60">
        <v>30851</v>
      </c>
      <c r="G34" s="61">
        <f>VALENCIA!I76/'Summary Analytics'!F34</f>
        <v>519.94555897701855</v>
      </c>
      <c r="H34"/>
      <c r="I34" s="79">
        <v>6.1588612350014782E-2</v>
      </c>
      <c r="J34" s="80">
        <f t="shared" si="0"/>
        <v>6.8580323439950686E-3</v>
      </c>
      <c r="M34" s="96"/>
      <c r="N34" s="51"/>
      <c r="O34" s="51"/>
      <c r="P34" s="97"/>
      <c r="Q34" s="98"/>
      <c r="S34" s="98"/>
      <c r="T34" s="51"/>
      <c r="U34" s="51"/>
      <c r="V34" s="99"/>
      <c r="W34" s="98"/>
    </row>
    <row r="35" spans="1:23" x14ac:dyDescent="0.35">
      <c r="B35" s="32" t="s">
        <v>177</v>
      </c>
      <c r="C35" s="64">
        <f>SUM(C7:C34)</f>
        <v>187829452.94443116</v>
      </c>
      <c r="D35" s="58">
        <f>'System Summary'!J77</f>
        <v>0.59718906546750372</v>
      </c>
      <c r="E35" s="58">
        <f>'System Summary'!I83</f>
        <v>8.0287711868317582E-2</v>
      </c>
      <c r="F35" s="59">
        <f>SUM(F7:F34)</f>
        <v>269640.59999999998</v>
      </c>
      <c r="G35" s="57">
        <f>'System Summary'!I76/'Summary Analytics'!F35</f>
        <v>696.5918819346939</v>
      </c>
      <c r="H35"/>
      <c r="I35" s="79">
        <v>8.3129825982777003E-2</v>
      </c>
      <c r="J35" s="80">
        <f t="shared" si="0"/>
        <v>-2.8421141144594209E-3</v>
      </c>
      <c r="M35" s="96"/>
      <c r="N35" s="51"/>
      <c r="O35" s="51"/>
      <c r="P35" s="97"/>
      <c r="Q35" s="98"/>
      <c r="S35" s="98"/>
      <c r="T35" s="51"/>
      <c r="U35" s="51"/>
      <c r="V35" s="99"/>
      <c r="W35" s="98"/>
    </row>
    <row r="36" spans="1:23" x14ac:dyDescent="0.35">
      <c r="B36" s="33"/>
      <c r="C36" s="33"/>
      <c r="D36" s="33"/>
      <c r="E36" s="33"/>
      <c r="H36"/>
      <c r="I36" s="81"/>
      <c r="J36" s="82"/>
    </row>
    <row r="37" spans="1:23" x14ac:dyDescent="0.35">
      <c r="B37" s="52" t="s">
        <v>190</v>
      </c>
      <c r="C37" s="52"/>
      <c r="D37" s="51">
        <f>MAX(D7:D34)</f>
        <v>0.86244555420742441</v>
      </c>
      <c r="E37" s="51">
        <f>MAX(E7:E34)</f>
        <v>0.13340507380943287</v>
      </c>
      <c r="F37" s="54">
        <f t="shared" ref="F37:G37" si="1">MAX(F7:F34)</f>
        <v>39745.199999999997</v>
      </c>
      <c r="G37" s="55">
        <f t="shared" si="1"/>
        <v>1617.4836870975428</v>
      </c>
      <c r="H37" s="55"/>
      <c r="I37" s="83">
        <f>MAX(I7:I34)</f>
        <v>0.12937248482731217</v>
      </c>
      <c r="J37" s="82"/>
    </row>
    <row r="38" spans="1:23" x14ac:dyDescent="0.35">
      <c r="B38" s="52" t="s">
        <v>191</v>
      </c>
      <c r="C38" s="52"/>
      <c r="D38" s="51">
        <f>MIN(D7:D34)</f>
        <v>0.27058744868048878</v>
      </c>
      <c r="E38" s="51">
        <f>MIN(E7:E34)</f>
        <v>4.1699362057483168E-2</v>
      </c>
      <c r="F38" s="54">
        <f t="shared" ref="F38:G38" si="2">MIN(F7:F34)</f>
        <v>769.9</v>
      </c>
      <c r="G38" s="55">
        <f t="shared" si="2"/>
        <v>440.65059650997148</v>
      </c>
      <c r="H38" s="55"/>
      <c r="I38" s="83">
        <f>MIN(I7:I34)</f>
        <v>4.9186629368852278E-2</v>
      </c>
      <c r="J38" s="82"/>
    </row>
    <row r="39" spans="1:23" ht="16" thickBot="1" x14ac:dyDescent="0.4">
      <c r="B39" s="52" t="s">
        <v>189</v>
      </c>
      <c r="C39" s="52"/>
      <c r="D39" s="51">
        <f>D37-D38</f>
        <v>0.59185810552693563</v>
      </c>
      <c r="E39" s="51">
        <f>E37-E38</f>
        <v>9.1705711751949692E-2</v>
      </c>
      <c r="F39" s="54">
        <f t="shared" ref="F39:G39" si="3">F37-F38</f>
        <v>38975.299999999996</v>
      </c>
      <c r="G39" s="55">
        <f t="shared" si="3"/>
        <v>1176.8330905875714</v>
      </c>
      <c r="H39" s="55"/>
      <c r="I39" s="84">
        <f>I37-I38</f>
        <v>8.0185855458459895E-2</v>
      </c>
      <c r="J39" s="85"/>
    </row>
    <row r="45" spans="1:23" x14ac:dyDescent="0.35">
      <c r="B45" s="34"/>
      <c r="C45" s="34"/>
      <c r="D45" s="34"/>
      <c r="E45" s="34"/>
      <c r="F45" s="34"/>
    </row>
    <row r="74" spans="2:6" x14ac:dyDescent="0.35">
      <c r="B74" s="34"/>
      <c r="C74" s="34"/>
      <c r="D74" s="34"/>
      <c r="E74" s="34"/>
      <c r="F74" s="34"/>
    </row>
  </sheetData>
  <conditionalFormatting sqref="D7:D34">
    <cfRule type="colorScale" priority="7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E7:E35">
    <cfRule type="colorScale" priority="3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F7:F34">
    <cfRule type="colorScale" priority="5">
      <colorScale>
        <cfvo type="min"/>
        <cfvo type="percentile" val="50"/>
        <cfvo type="max"/>
        <color rgb="FF5A8AC6"/>
        <color rgb="FFFCFCFF"/>
        <color rgb="FFFFC000"/>
      </colorScale>
    </cfRule>
  </conditionalFormatting>
  <conditionalFormatting sqref="G7:G34">
    <cfRule type="colorScale" priority="4">
      <colorScale>
        <cfvo type="min"/>
        <cfvo type="percentile" val="50"/>
        <cfvo type="max"/>
        <color rgb="FF5A8AC6"/>
        <color rgb="FFFCFCFF"/>
        <color rgb="FFFFC000"/>
      </colorScale>
    </cfRule>
  </conditionalFormatting>
  <conditionalFormatting sqref="I7:I35">
    <cfRule type="colorScale" priority="2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J7:J35">
    <cfRule type="colorScale" priority="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pageMargins left="0.7" right="0.7" top="0.75" bottom="0.75" header="0.3" footer="0.3"/>
  <pageSetup scale="62" orientation="portrait" r:id="rId1"/>
  <headerFooter>
    <oddFooter>&amp;L&amp;Z&amp;F</oddFooter>
  </headerFooter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00B0F0"/>
    <pageSetUpPr fitToPage="1"/>
  </sheetPr>
  <dimension ref="A1:L140"/>
  <sheetViews>
    <sheetView zoomScaleNormal="100" workbookViewId="0"/>
  </sheetViews>
  <sheetFormatPr defaultColWidth="9.1796875" defaultRowHeight="14.5" x14ac:dyDescent="0.35"/>
  <cols>
    <col min="1" max="2" width="2.81640625" style="144" customWidth="1"/>
    <col min="3" max="3" width="10.453125" style="145" bestFit="1" customWidth="1"/>
    <col min="4" max="5" width="2.81640625" style="144" customWidth="1"/>
    <col min="6" max="6" width="80.7265625" style="144" bestFit="1" customWidth="1"/>
    <col min="7" max="7" width="27.81640625" style="144" customWidth="1"/>
    <col min="8" max="8" width="15.26953125" style="144" bestFit="1" customWidth="1"/>
    <col min="9" max="9" width="27.26953125" style="144" customWidth="1"/>
    <col min="10" max="10" width="26.81640625" style="144" customWidth="1"/>
    <col min="11" max="11" width="25.81640625" style="144" customWidth="1"/>
    <col min="12" max="12" width="82.54296875" style="144" customWidth="1"/>
    <col min="13" max="16384" width="9.1796875" style="144"/>
  </cols>
  <sheetData>
    <row r="1" spans="1:12" x14ac:dyDescent="0.35">
      <c r="A1" s="146"/>
      <c r="B1" s="146"/>
      <c r="C1" s="146"/>
      <c r="D1" s="146"/>
      <c r="E1" s="146"/>
      <c r="F1" s="146"/>
      <c r="G1" s="146"/>
      <c r="H1" s="146"/>
      <c r="I1" s="146" t="s">
        <v>0</v>
      </c>
      <c r="J1" s="146"/>
      <c r="K1" s="146"/>
      <c r="L1" s="146"/>
    </row>
    <row r="2" spans="1:12" x14ac:dyDescent="0.35">
      <c r="A2" s="146"/>
      <c r="B2" s="146"/>
      <c r="C2" s="146"/>
      <c r="D2" s="146"/>
      <c r="E2" s="146"/>
      <c r="F2" s="146"/>
      <c r="G2" s="146"/>
      <c r="H2" s="146"/>
      <c r="I2" s="147" t="s">
        <v>197</v>
      </c>
      <c r="J2" s="146"/>
      <c r="K2" s="146"/>
      <c r="L2" s="146"/>
    </row>
    <row r="3" spans="1:12" x14ac:dyDescent="0.35">
      <c r="A3" s="148" t="s">
        <v>198</v>
      </c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147"/>
    </row>
    <row r="4" spans="1:12" ht="19.5" customHeight="1" x14ac:dyDescent="0.35">
      <c r="A4" s="149" t="s">
        <v>207</v>
      </c>
      <c r="B4" s="150"/>
      <c r="C4" s="150"/>
      <c r="D4" s="150"/>
      <c r="E4" s="150"/>
      <c r="F4" s="150"/>
      <c r="G4" s="150"/>
      <c r="H4" s="150"/>
      <c r="I4" s="150"/>
      <c r="J4" s="150"/>
      <c r="K4" s="150"/>
      <c r="L4" s="150"/>
    </row>
    <row r="5" spans="1:12" x14ac:dyDescent="0.35">
      <c r="A5" s="150"/>
      <c r="B5" s="150"/>
      <c r="C5" s="150"/>
      <c r="D5" s="150"/>
      <c r="E5" s="150"/>
      <c r="F5" s="150"/>
      <c r="G5" s="150"/>
      <c r="H5" s="150"/>
      <c r="I5" s="150"/>
      <c r="J5" s="150"/>
      <c r="K5" s="150"/>
      <c r="L5" s="150"/>
    </row>
    <row r="6" spans="1:12" s="7" customFormat="1" x14ac:dyDescent="0.35">
      <c r="A6" s="128" t="s">
        <v>2</v>
      </c>
      <c r="B6" s="129"/>
      <c r="C6" s="129"/>
      <c r="D6" s="128" t="s">
        <v>3</v>
      </c>
      <c r="E6" s="129"/>
      <c r="F6" s="129"/>
      <c r="G6" s="118" t="s">
        <v>274</v>
      </c>
      <c r="H6" s="130" t="s">
        <v>4</v>
      </c>
      <c r="I6" s="130" t="s">
        <v>5</v>
      </c>
      <c r="J6" s="130" t="s">
        <v>6</v>
      </c>
      <c r="K6" s="130" t="s">
        <v>7</v>
      </c>
      <c r="L6" s="130" t="s">
        <v>199</v>
      </c>
    </row>
    <row r="7" spans="1:12" x14ac:dyDescent="0.35">
      <c r="A7" s="151" t="s">
        <v>9</v>
      </c>
      <c r="B7" s="152"/>
      <c r="C7" s="153"/>
      <c r="D7" s="154" t="s">
        <v>10</v>
      </c>
      <c r="E7" s="153"/>
      <c r="F7" s="153"/>
      <c r="G7" s="155"/>
      <c r="H7" s="152"/>
      <c r="I7" s="155"/>
      <c r="J7" s="155"/>
      <c r="K7" s="155"/>
      <c r="L7" s="154"/>
    </row>
    <row r="8" spans="1:12" x14ac:dyDescent="0.35">
      <c r="A8" s="151"/>
      <c r="B8" s="152" t="s">
        <v>11</v>
      </c>
      <c r="C8" s="153"/>
      <c r="D8" s="156"/>
      <c r="E8" s="152" t="s">
        <v>12</v>
      </c>
      <c r="F8" s="153"/>
      <c r="G8" s="155">
        <v>3015232</v>
      </c>
      <c r="H8" s="152"/>
      <c r="I8" s="155">
        <v>2474379</v>
      </c>
      <c r="J8" s="155">
        <v>540853</v>
      </c>
      <c r="K8" s="155"/>
      <c r="L8" s="157"/>
    </row>
    <row r="9" spans="1:12" x14ac:dyDescent="0.35">
      <c r="A9" s="151"/>
      <c r="B9" s="152"/>
      <c r="C9" s="153" t="s">
        <v>13</v>
      </c>
      <c r="D9" s="156"/>
      <c r="E9" s="153"/>
      <c r="F9" s="152" t="s">
        <v>14</v>
      </c>
      <c r="G9" s="86">
        <v>0</v>
      </c>
      <c r="H9" s="158"/>
      <c r="I9" s="86">
        <v>0</v>
      </c>
      <c r="J9" s="86">
        <v>0</v>
      </c>
      <c r="K9" s="155">
        <v>0</v>
      </c>
      <c r="L9" s="159"/>
    </row>
    <row r="10" spans="1:12" x14ac:dyDescent="0.35">
      <c r="A10" s="151"/>
      <c r="B10" s="152"/>
      <c r="C10" s="153" t="s">
        <v>16</v>
      </c>
      <c r="D10" s="156"/>
      <c r="E10" s="153"/>
      <c r="F10" s="152" t="s">
        <v>17</v>
      </c>
      <c r="G10" s="86">
        <v>417</v>
      </c>
      <c r="H10" s="158" t="s">
        <v>15</v>
      </c>
      <c r="I10" s="86">
        <v>417</v>
      </c>
      <c r="J10" s="86"/>
      <c r="K10" s="155">
        <v>417</v>
      </c>
      <c r="L10" s="159"/>
    </row>
    <row r="11" spans="1:12" x14ac:dyDescent="0.35">
      <c r="A11" s="151"/>
      <c r="B11" s="152"/>
      <c r="C11" s="153" t="s">
        <v>18</v>
      </c>
      <c r="D11" s="156"/>
      <c r="E11" s="153"/>
      <c r="F11" s="152" t="s">
        <v>19</v>
      </c>
      <c r="G11" s="86">
        <v>1482597</v>
      </c>
      <c r="H11" s="158" t="s">
        <v>15</v>
      </c>
      <c r="I11" s="86">
        <v>1482597</v>
      </c>
      <c r="J11" s="86">
        <v>0</v>
      </c>
      <c r="K11" s="155">
        <v>1482597</v>
      </c>
      <c r="L11" s="159"/>
    </row>
    <row r="12" spans="1:12" x14ac:dyDescent="0.35">
      <c r="A12" s="151"/>
      <c r="B12" s="152"/>
      <c r="C12" s="153" t="s">
        <v>20</v>
      </c>
      <c r="D12" s="156"/>
      <c r="E12" s="153"/>
      <c r="F12" s="152" t="s">
        <v>21</v>
      </c>
      <c r="G12" s="86">
        <v>0</v>
      </c>
      <c r="H12" s="158"/>
      <c r="I12" s="86"/>
      <c r="J12" s="86"/>
      <c r="K12" s="155">
        <v>0</v>
      </c>
      <c r="L12" s="159"/>
    </row>
    <row r="13" spans="1:12" x14ac:dyDescent="0.35">
      <c r="A13" s="151"/>
      <c r="B13" s="152"/>
      <c r="C13" s="153" t="s">
        <v>22</v>
      </c>
      <c r="D13" s="156"/>
      <c r="E13" s="153"/>
      <c r="F13" s="152" t="s">
        <v>23</v>
      </c>
      <c r="G13" s="86">
        <v>654615</v>
      </c>
      <c r="H13" s="158" t="s">
        <v>15</v>
      </c>
      <c r="I13" s="86">
        <v>654615</v>
      </c>
      <c r="J13" s="86"/>
      <c r="K13" s="155">
        <v>654615</v>
      </c>
      <c r="L13" s="159"/>
    </row>
    <row r="14" spans="1:12" x14ac:dyDescent="0.35">
      <c r="A14" s="151"/>
      <c r="B14" s="152"/>
      <c r="C14" s="153" t="s">
        <v>25</v>
      </c>
      <c r="D14" s="156"/>
      <c r="E14" s="153"/>
      <c r="F14" s="152" t="s">
        <v>26</v>
      </c>
      <c r="G14" s="86"/>
      <c r="H14" s="158"/>
      <c r="I14" s="86"/>
      <c r="J14" s="86"/>
      <c r="K14" s="155">
        <v>0</v>
      </c>
      <c r="L14" s="159"/>
    </row>
    <row r="15" spans="1:12" x14ac:dyDescent="0.35">
      <c r="A15" s="151"/>
      <c r="B15" s="152"/>
      <c r="C15" s="153" t="s">
        <v>27</v>
      </c>
      <c r="D15" s="156"/>
      <c r="E15" s="153"/>
      <c r="F15" s="152" t="s">
        <v>28</v>
      </c>
      <c r="G15" s="86"/>
      <c r="H15" s="158"/>
      <c r="I15" s="86"/>
      <c r="J15" s="86"/>
      <c r="K15" s="155">
        <v>0</v>
      </c>
      <c r="L15" s="159"/>
    </row>
    <row r="16" spans="1:12" x14ac:dyDescent="0.35">
      <c r="A16" s="151"/>
      <c r="B16" s="152"/>
      <c r="C16" s="153" t="s">
        <v>29</v>
      </c>
      <c r="D16" s="156"/>
      <c r="E16" s="153"/>
      <c r="F16" s="152" t="s">
        <v>30</v>
      </c>
      <c r="G16" s="86">
        <v>886</v>
      </c>
      <c r="H16" s="158" t="s">
        <v>24</v>
      </c>
      <c r="I16" s="86"/>
      <c r="J16" s="86">
        <v>886</v>
      </c>
      <c r="K16" s="155">
        <v>886</v>
      </c>
      <c r="L16" s="159" t="s">
        <v>265</v>
      </c>
    </row>
    <row r="17" spans="1:12" x14ac:dyDescent="0.35">
      <c r="A17" s="151"/>
      <c r="B17" s="152"/>
      <c r="C17" s="153" t="s">
        <v>31</v>
      </c>
      <c r="D17" s="156"/>
      <c r="E17" s="153"/>
      <c r="F17" s="152" t="s">
        <v>32</v>
      </c>
      <c r="G17" s="86"/>
      <c r="H17" s="158"/>
      <c r="I17" s="86"/>
      <c r="J17" s="86"/>
      <c r="K17" s="155">
        <v>0</v>
      </c>
      <c r="L17" s="159"/>
    </row>
    <row r="18" spans="1:12" x14ac:dyDescent="0.35">
      <c r="A18" s="151"/>
      <c r="B18" s="152"/>
      <c r="C18" s="153" t="s">
        <v>33</v>
      </c>
      <c r="D18" s="156"/>
      <c r="E18" s="153"/>
      <c r="F18" s="152" t="s">
        <v>34</v>
      </c>
      <c r="G18" s="86">
        <v>539967</v>
      </c>
      <c r="H18" s="158" t="s">
        <v>24</v>
      </c>
      <c r="I18" s="86"/>
      <c r="J18" s="86">
        <v>539967</v>
      </c>
      <c r="K18" s="155">
        <v>539967</v>
      </c>
      <c r="L18" s="159" t="s">
        <v>244</v>
      </c>
    </row>
    <row r="19" spans="1:12" x14ac:dyDescent="0.35">
      <c r="A19" s="151"/>
      <c r="B19" s="152"/>
      <c r="C19" s="153" t="s">
        <v>35</v>
      </c>
      <c r="D19" s="156"/>
      <c r="E19" s="153"/>
      <c r="F19" s="152" t="s">
        <v>36</v>
      </c>
      <c r="G19" s="91"/>
      <c r="H19" s="158"/>
      <c r="I19" s="91"/>
      <c r="J19" s="91"/>
      <c r="K19" s="155">
        <v>0</v>
      </c>
      <c r="L19" s="159"/>
    </row>
    <row r="20" spans="1:12" x14ac:dyDescent="0.35">
      <c r="A20" s="151"/>
      <c r="B20" s="152"/>
      <c r="C20" s="153" t="s">
        <v>37</v>
      </c>
      <c r="D20" s="156"/>
      <c r="E20" s="153"/>
      <c r="F20" s="152" t="s">
        <v>38</v>
      </c>
      <c r="G20" s="86">
        <v>336750</v>
      </c>
      <c r="H20" s="158" t="s">
        <v>15</v>
      </c>
      <c r="I20" s="86">
        <v>336750</v>
      </c>
      <c r="J20" s="86"/>
      <c r="K20" s="155">
        <v>336750</v>
      </c>
      <c r="L20" s="159"/>
    </row>
    <row r="21" spans="1:12" x14ac:dyDescent="0.35">
      <c r="A21" s="151"/>
      <c r="B21" s="152"/>
      <c r="C21" s="153" t="s">
        <v>39</v>
      </c>
      <c r="D21" s="156"/>
      <c r="E21" s="153"/>
      <c r="F21" s="152" t="s">
        <v>40</v>
      </c>
      <c r="G21" s="86"/>
      <c r="H21" s="158"/>
      <c r="I21" s="86"/>
      <c r="J21" s="86"/>
      <c r="K21" s="155">
        <v>0</v>
      </c>
      <c r="L21" s="159"/>
    </row>
    <row r="22" spans="1:12" x14ac:dyDescent="0.35">
      <c r="A22" s="151"/>
      <c r="B22" s="152"/>
      <c r="C22" s="153" t="s">
        <v>41</v>
      </c>
      <c r="D22" s="156"/>
      <c r="E22" s="153"/>
      <c r="F22" s="152" t="s">
        <v>42</v>
      </c>
      <c r="G22" s="86"/>
      <c r="H22" s="158"/>
      <c r="I22" s="86"/>
      <c r="J22" s="86"/>
      <c r="K22" s="155">
        <v>0</v>
      </c>
      <c r="L22" s="159"/>
    </row>
    <row r="23" spans="1:12" x14ac:dyDescent="0.35">
      <c r="A23" s="151"/>
      <c r="B23" s="152"/>
      <c r="C23" s="153" t="s">
        <v>43</v>
      </c>
      <c r="D23" s="156"/>
      <c r="E23" s="153"/>
      <c r="F23" s="152" t="s">
        <v>44</v>
      </c>
      <c r="G23" s="86"/>
      <c r="H23" s="158"/>
      <c r="I23" s="86"/>
      <c r="J23" s="86"/>
      <c r="K23" s="155">
        <v>0</v>
      </c>
      <c r="L23" s="159"/>
    </row>
    <row r="24" spans="1:12" x14ac:dyDescent="0.35">
      <c r="A24" s="152"/>
      <c r="B24" s="152"/>
      <c r="C24" s="160" t="s">
        <v>45</v>
      </c>
      <c r="D24" s="156"/>
      <c r="E24" s="160"/>
      <c r="F24" s="152" t="s">
        <v>46</v>
      </c>
      <c r="G24" s="92"/>
      <c r="H24" s="158"/>
      <c r="I24" s="92"/>
      <c r="J24" s="92"/>
      <c r="K24" s="155">
        <v>0</v>
      </c>
      <c r="L24" s="159"/>
    </row>
    <row r="25" spans="1:12" x14ac:dyDescent="0.35">
      <c r="A25" s="151"/>
      <c r="B25" s="152" t="s">
        <v>47</v>
      </c>
      <c r="C25" s="153"/>
      <c r="D25" s="156"/>
      <c r="E25" s="152" t="s">
        <v>48</v>
      </c>
      <c r="F25" s="153"/>
      <c r="G25" s="155">
        <v>2022482</v>
      </c>
      <c r="H25" s="152"/>
      <c r="I25" s="155">
        <v>1487159</v>
      </c>
      <c r="J25" s="155">
        <v>535323</v>
      </c>
      <c r="K25" s="155"/>
      <c r="L25" s="157"/>
    </row>
    <row r="26" spans="1:12" x14ac:dyDescent="0.35">
      <c r="A26" s="151"/>
      <c r="B26" s="152"/>
      <c r="C26" s="153" t="s">
        <v>49</v>
      </c>
      <c r="D26" s="156"/>
      <c r="E26" s="153"/>
      <c r="F26" s="152" t="s">
        <v>50</v>
      </c>
      <c r="G26" s="86"/>
      <c r="H26" s="158"/>
      <c r="I26" s="86"/>
      <c r="J26" s="86"/>
      <c r="K26" s="155">
        <v>0</v>
      </c>
      <c r="L26" s="159"/>
    </row>
    <row r="27" spans="1:12" x14ac:dyDescent="0.35">
      <c r="A27" s="151"/>
      <c r="B27" s="152"/>
      <c r="C27" s="153" t="s">
        <v>51</v>
      </c>
      <c r="D27" s="156"/>
      <c r="E27" s="153"/>
      <c r="F27" s="152" t="s">
        <v>52</v>
      </c>
      <c r="G27" s="86"/>
      <c r="H27" s="158"/>
      <c r="I27" s="86"/>
      <c r="J27" s="86"/>
      <c r="K27" s="155">
        <v>0</v>
      </c>
      <c r="L27" s="159"/>
    </row>
    <row r="28" spans="1:12" x14ac:dyDescent="0.35">
      <c r="A28" s="151"/>
      <c r="B28" s="152"/>
      <c r="C28" s="153" t="s">
        <v>53</v>
      </c>
      <c r="D28" s="156"/>
      <c r="E28" s="153"/>
      <c r="F28" s="152" t="s">
        <v>54</v>
      </c>
      <c r="G28" s="86">
        <v>1496127</v>
      </c>
      <c r="H28" s="158" t="s">
        <v>59</v>
      </c>
      <c r="I28" s="86">
        <v>960857</v>
      </c>
      <c r="J28" s="86">
        <v>535270</v>
      </c>
      <c r="K28" s="155">
        <v>1496127</v>
      </c>
      <c r="L28" s="159" t="s">
        <v>245</v>
      </c>
    </row>
    <row r="29" spans="1:12" x14ac:dyDescent="0.35">
      <c r="A29" s="151"/>
      <c r="B29" s="152"/>
      <c r="C29" s="153" t="s">
        <v>55</v>
      </c>
      <c r="D29" s="156"/>
      <c r="E29" s="153"/>
      <c r="F29" s="152" t="s">
        <v>56</v>
      </c>
      <c r="G29" s="86">
        <v>210038</v>
      </c>
      <c r="H29" s="158" t="s">
        <v>15</v>
      </c>
      <c r="I29" s="86">
        <v>210038</v>
      </c>
      <c r="J29" s="86"/>
      <c r="K29" s="155">
        <v>210038</v>
      </c>
      <c r="L29" s="159"/>
    </row>
    <row r="30" spans="1:12" x14ac:dyDescent="0.35">
      <c r="A30" s="151"/>
      <c r="B30" s="152"/>
      <c r="C30" s="153" t="s">
        <v>57</v>
      </c>
      <c r="D30" s="156"/>
      <c r="E30" s="153"/>
      <c r="F30" s="152" t="s">
        <v>58</v>
      </c>
      <c r="G30" s="86"/>
      <c r="H30" s="158"/>
      <c r="I30" s="86"/>
      <c r="J30" s="86"/>
      <c r="K30" s="155">
        <v>0</v>
      </c>
      <c r="L30" s="159"/>
    </row>
    <row r="31" spans="1:12" x14ac:dyDescent="0.35">
      <c r="A31" s="151"/>
      <c r="B31" s="152"/>
      <c r="C31" s="153" t="s">
        <v>60</v>
      </c>
      <c r="D31" s="156"/>
      <c r="E31" s="153"/>
      <c r="F31" s="152" t="s">
        <v>61</v>
      </c>
      <c r="G31" s="86">
        <v>316264</v>
      </c>
      <c r="H31" s="158" t="s">
        <v>15</v>
      </c>
      <c r="I31" s="86">
        <v>316264</v>
      </c>
      <c r="J31" s="86"/>
      <c r="K31" s="155">
        <v>316264</v>
      </c>
      <c r="L31" s="159"/>
    </row>
    <row r="32" spans="1:12" x14ac:dyDescent="0.35">
      <c r="A32" s="151"/>
      <c r="B32" s="152"/>
      <c r="C32" s="153" t="s">
        <v>62</v>
      </c>
      <c r="D32" s="156"/>
      <c r="E32" s="153"/>
      <c r="F32" s="152" t="s">
        <v>63</v>
      </c>
      <c r="G32" s="86"/>
      <c r="H32" s="158"/>
      <c r="I32" s="86"/>
      <c r="J32" s="86"/>
      <c r="K32" s="155">
        <v>0</v>
      </c>
      <c r="L32" s="159"/>
    </row>
    <row r="33" spans="1:12" x14ac:dyDescent="0.35">
      <c r="A33" s="152"/>
      <c r="B33" s="152"/>
      <c r="C33" s="153" t="s">
        <v>64</v>
      </c>
      <c r="D33" s="152"/>
      <c r="E33" s="153"/>
      <c r="F33" s="152" t="s">
        <v>65</v>
      </c>
      <c r="G33" s="86"/>
      <c r="H33" s="158"/>
      <c r="I33" s="86"/>
      <c r="J33" s="86"/>
      <c r="K33" s="155">
        <v>0</v>
      </c>
      <c r="L33" s="159"/>
    </row>
    <row r="34" spans="1:12" x14ac:dyDescent="0.35">
      <c r="A34" s="152"/>
      <c r="B34" s="152"/>
      <c r="C34" s="153" t="s">
        <v>66</v>
      </c>
      <c r="D34" s="152"/>
      <c r="E34" s="152"/>
      <c r="F34" s="152" t="s">
        <v>67</v>
      </c>
      <c r="G34" s="86"/>
      <c r="H34" s="158"/>
      <c r="I34" s="86"/>
      <c r="J34" s="86"/>
      <c r="K34" s="155">
        <v>0</v>
      </c>
      <c r="L34" s="159"/>
    </row>
    <row r="35" spans="1:12" x14ac:dyDescent="0.35">
      <c r="A35" s="152"/>
      <c r="B35" s="152"/>
      <c r="C35" s="153" t="s">
        <v>68</v>
      </c>
      <c r="D35" s="152"/>
      <c r="E35" s="153"/>
      <c r="F35" s="152" t="s">
        <v>69</v>
      </c>
      <c r="G35" s="86"/>
      <c r="H35" s="158"/>
      <c r="I35" s="86"/>
      <c r="J35" s="86"/>
      <c r="K35" s="155">
        <v>0</v>
      </c>
      <c r="L35" s="159"/>
    </row>
    <row r="36" spans="1:12" x14ac:dyDescent="0.35">
      <c r="A36" s="152"/>
      <c r="B36" s="152"/>
      <c r="C36" s="153" t="s">
        <v>70</v>
      </c>
      <c r="D36" s="152"/>
      <c r="E36" s="152"/>
      <c r="F36" s="152" t="s">
        <v>71</v>
      </c>
      <c r="G36" s="86"/>
      <c r="H36" s="158"/>
      <c r="I36" s="86"/>
      <c r="J36" s="86"/>
      <c r="K36" s="155">
        <v>0</v>
      </c>
      <c r="L36" s="159"/>
    </row>
    <row r="37" spans="1:12" x14ac:dyDescent="0.35">
      <c r="A37" s="152"/>
      <c r="B37" s="152"/>
      <c r="C37" s="153" t="s">
        <v>72</v>
      </c>
      <c r="D37" s="152"/>
      <c r="E37" s="161"/>
      <c r="F37" s="152" t="s">
        <v>73</v>
      </c>
      <c r="G37" s="86"/>
      <c r="H37" s="158"/>
      <c r="I37" s="86"/>
      <c r="J37" s="86"/>
      <c r="K37" s="155">
        <v>0</v>
      </c>
      <c r="L37" s="159"/>
    </row>
    <row r="38" spans="1:12" x14ac:dyDescent="0.35">
      <c r="A38" s="152"/>
      <c r="B38" s="152"/>
      <c r="C38" s="153" t="s">
        <v>74</v>
      </c>
      <c r="D38" s="152"/>
      <c r="E38" s="152"/>
      <c r="F38" s="152" t="s">
        <v>75</v>
      </c>
      <c r="G38" s="86"/>
      <c r="H38" s="158"/>
      <c r="I38" s="86"/>
      <c r="J38" s="86"/>
      <c r="K38" s="155">
        <v>0</v>
      </c>
      <c r="L38" s="159"/>
    </row>
    <row r="39" spans="1:12" x14ac:dyDescent="0.35">
      <c r="A39" s="152"/>
      <c r="B39" s="152"/>
      <c r="C39" s="153" t="s">
        <v>76</v>
      </c>
      <c r="D39" s="152"/>
      <c r="E39" s="152"/>
      <c r="F39" s="152" t="s">
        <v>77</v>
      </c>
      <c r="G39" s="86"/>
      <c r="H39" s="158"/>
      <c r="I39" s="86"/>
      <c r="J39" s="86"/>
      <c r="K39" s="155">
        <v>0</v>
      </c>
      <c r="L39" s="159"/>
    </row>
    <row r="40" spans="1:12" x14ac:dyDescent="0.35">
      <c r="A40" s="152"/>
      <c r="B40" s="152"/>
      <c r="C40" s="153" t="s">
        <v>78</v>
      </c>
      <c r="D40" s="152"/>
      <c r="E40" s="152"/>
      <c r="F40" s="152" t="s">
        <v>79</v>
      </c>
      <c r="G40" s="86">
        <v>53</v>
      </c>
      <c r="H40" s="158"/>
      <c r="I40" s="86"/>
      <c r="J40" s="86">
        <v>53</v>
      </c>
      <c r="K40" s="155">
        <v>53</v>
      </c>
      <c r="L40" s="159" t="s">
        <v>277</v>
      </c>
    </row>
    <row r="41" spans="1:12" x14ac:dyDescent="0.35">
      <c r="A41" s="152"/>
      <c r="B41" s="152"/>
      <c r="C41" s="153" t="s">
        <v>80</v>
      </c>
      <c r="D41" s="152"/>
      <c r="E41" s="152"/>
      <c r="F41" s="152" t="s">
        <v>81</v>
      </c>
      <c r="G41" s="86"/>
      <c r="H41" s="158"/>
      <c r="I41" s="86"/>
      <c r="J41" s="86"/>
      <c r="K41" s="155">
        <v>0</v>
      </c>
      <c r="L41" s="159"/>
    </row>
    <row r="42" spans="1:12" x14ac:dyDescent="0.35">
      <c r="A42" s="152"/>
      <c r="B42" s="152" t="s">
        <v>82</v>
      </c>
      <c r="C42" s="153"/>
      <c r="D42" s="152"/>
      <c r="E42" s="152" t="s">
        <v>83</v>
      </c>
      <c r="F42" s="152"/>
      <c r="G42" s="155">
        <v>4977237</v>
      </c>
      <c r="H42" s="152"/>
      <c r="I42" s="155">
        <v>2252296</v>
      </c>
      <c r="J42" s="155">
        <v>2724941</v>
      </c>
      <c r="K42" s="155"/>
      <c r="L42" s="157"/>
    </row>
    <row r="43" spans="1:12" x14ac:dyDescent="0.35">
      <c r="A43" s="152"/>
      <c r="B43" s="152"/>
      <c r="C43" s="153" t="s">
        <v>84</v>
      </c>
      <c r="D43" s="152"/>
      <c r="E43" s="152"/>
      <c r="F43" s="152" t="s">
        <v>85</v>
      </c>
      <c r="G43" s="86"/>
      <c r="H43" s="158"/>
      <c r="I43" s="86"/>
      <c r="J43" s="86"/>
      <c r="K43" s="155">
        <v>0</v>
      </c>
      <c r="L43" s="159"/>
    </row>
    <row r="44" spans="1:12" x14ac:dyDescent="0.35">
      <c r="A44" s="152"/>
      <c r="B44" s="152"/>
      <c r="C44" s="153" t="s">
        <v>86</v>
      </c>
      <c r="D44" s="152"/>
      <c r="E44" s="152"/>
      <c r="F44" s="152" t="s">
        <v>87</v>
      </c>
      <c r="G44" s="86">
        <v>1092299</v>
      </c>
      <c r="H44" s="158" t="s">
        <v>59</v>
      </c>
      <c r="I44" s="86">
        <v>273075</v>
      </c>
      <c r="J44" s="86">
        <v>819224</v>
      </c>
      <c r="K44" s="155">
        <v>1092299</v>
      </c>
      <c r="L44" s="159"/>
    </row>
    <row r="45" spans="1:12" x14ac:dyDescent="0.35">
      <c r="A45" s="152"/>
      <c r="B45" s="152"/>
      <c r="C45" s="153" t="s">
        <v>88</v>
      </c>
      <c r="D45" s="152"/>
      <c r="E45" s="152"/>
      <c r="F45" s="152" t="s">
        <v>89</v>
      </c>
      <c r="G45" s="86"/>
      <c r="H45" s="158"/>
      <c r="I45" s="86"/>
      <c r="J45" s="86"/>
      <c r="K45" s="155">
        <v>0</v>
      </c>
      <c r="L45" s="159"/>
    </row>
    <row r="46" spans="1:12" x14ac:dyDescent="0.35">
      <c r="A46" s="152"/>
      <c r="B46" s="152"/>
      <c r="C46" s="153" t="s">
        <v>90</v>
      </c>
      <c r="D46" s="152"/>
      <c r="E46" s="152"/>
      <c r="F46" s="152" t="s">
        <v>91</v>
      </c>
      <c r="G46" s="86"/>
      <c r="H46" s="158"/>
      <c r="I46" s="86"/>
      <c r="J46" s="86"/>
      <c r="K46" s="155">
        <v>0</v>
      </c>
      <c r="L46" s="159"/>
    </row>
    <row r="47" spans="1:12" x14ac:dyDescent="0.35">
      <c r="A47" s="152"/>
      <c r="B47" s="152"/>
      <c r="C47" s="153" t="s">
        <v>92</v>
      </c>
      <c r="D47" s="152"/>
      <c r="E47" s="152"/>
      <c r="F47" s="152" t="s">
        <v>93</v>
      </c>
      <c r="G47" s="86">
        <v>1316359</v>
      </c>
      <c r="H47" s="158" t="s">
        <v>15</v>
      </c>
      <c r="I47" s="86">
        <v>1316359</v>
      </c>
      <c r="J47" s="86"/>
      <c r="K47" s="155">
        <v>1316359</v>
      </c>
      <c r="L47" s="159"/>
    </row>
    <row r="48" spans="1:12" x14ac:dyDescent="0.35">
      <c r="A48" s="152"/>
      <c r="B48" s="152"/>
      <c r="C48" s="153" t="s">
        <v>94</v>
      </c>
      <c r="D48" s="152"/>
      <c r="E48" s="152"/>
      <c r="F48" s="152" t="s">
        <v>95</v>
      </c>
      <c r="G48" s="86"/>
      <c r="H48" s="158"/>
      <c r="I48" s="86"/>
      <c r="J48" s="86"/>
      <c r="K48" s="155">
        <v>0</v>
      </c>
      <c r="L48" s="159"/>
    </row>
    <row r="49" spans="1:12" x14ac:dyDescent="0.35">
      <c r="A49" s="152"/>
      <c r="B49" s="152"/>
      <c r="C49" s="153" t="s">
        <v>96</v>
      </c>
      <c r="D49" s="152"/>
      <c r="E49" s="152"/>
      <c r="F49" s="152" t="s">
        <v>97</v>
      </c>
      <c r="G49" s="86">
        <v>233675</v>
      </c>
      <c r="H49" s="158" t="s">
        <v>15</v>
      </c>
      <c r="I49" s="86">
        <v>233675</v>
      </c>
      <c r="J49" s="86"/>
      <c r="K49" s="155">
        <v>233675</v>
      </c>
      <c r="L49" s="159"/>
    </row>
    <row r="50" spans="1:12" x14ac:dyDescent="0.35">
      <c r="A50" s="152"/>
      <c r="B50" s="152"/>
      <c r="C50" s="153" t="s">
        <v>98</v>
      </c>
      <c r="D50" s="152"/>
      <c r="E50" s="152"/>
      <c r="F50" s="152" t="s">
        <v>99</v>
      </c>
      <c r="G50" s="86"/>
      <c r="H50" s="158"/>
      <c r="I50" s="86"/>
      <c r="J50" s="86"/>
      <c r="K50" s="155">
        <v>0</v>
      </c>
      <c r="L50" s="159"/>
    </row>
    <row r="51" spans="1:12" x14ac:dyDescent="0.35">
      <c r="A51" s="152"/>
      <c r="B51" s="152"/>
      <c r="C51" s="153" t="s">
        <v>100</v>
      </c>
      <c r="D51" s="152"/>
      <c r="E51" s="152"/>
      <c r="F51" s="152" t="s">
        <v>101</v>
      </c>
      <c r="G51" s="86"/>
      <c r="H51" s="158"/>
      <c r="I51" s="86"/>
      <c r="J51" s="86"/>
      <c r="K51" s="155">
        <v>0</v>
      </c>
      <c r="L51" s="159"/>
    </row>
    <row r="52" spans="1:12" x14ac:dyDescent="0.35">
      <c r="A52" s="152"/>
      <c r="B52" s="152"/>
      <c r="C52" s="153" t="s">
        <v>102</v>
      </c>
      <c r="D52" s="152"/>
      <c r="E52" s="152"/>
      <c r="F52" s="152" t="s">
        <v>103</v>
      </c>
      <c r="G52" s="86"/>
      <c r="H52" s="158"/>
      <c r="I52" s="86"/>
      <c r="J52" s="86"/>
      <c r="K52" s="155">
        <v>0</v>
      </c>
      <c r="L52" s="159"/>
    </row>
    <row r="53" spans="1:12" x14ac:dyDescent="0.35">
      <c r="A53" s="152"/>
      <c r="B53" s="152"/>
      <c r="C53" s="153" t="s">
        <v>104</v>
      </c>
      <c r="D53" s="152"/>
      <c r="E53" s="152"/>
      <c r="F53" s="152" t="s">
        <v>105</v>
      </c>
      <c r="G53" s="86"/>
      <c r="H53" s="158"/>
      <c r="I53" s="86"/>
      <c r="J53" s="86"/>
      <c r="K53" s="155">
        <v>0</v>
      </c>
      <c r="L53" s="159"/>
    </row>
    <row r="54" spans="1:12" x14ac:dyDescent="0.35">
      <c r="A54" s="152"/>
      <c r="B54" s="152"/>
      <c r="C54" s="153" t="s">
        <v>106</v>
      </c>
      <c r="D54" s="152"/>
      <c r="E54" s="152"/>
      <c r="F54" s="152" t="s">
        <v>107</v>
      </c>
      <c r="G54" s="86">
        <v>188872</v>
      </c>
      <c r="H54" s="158" t="s">
        <v>15</v>
      </c>
      <c r="I54" s="86">
        <v>188872</v>
      </c>
      <c r="J54" s="86"/>
      <c r="K54" s="155">
        <v>188872</v>
      </c>
      <c r="L54" s="159"/>
    </row>
    <row r="55" spans="1:12" x14ac:dyDescent="0.35">
      <c r="A55" s="152"/>
      <c r="B55" s="152"/>
      <c r="C55" s="153" t="s">
        <v>108</v>
      </c>
      <c r="D55" s="152"/>
      <c r="E55" s="152"/>
      <c r="F55" s="152" t="s">
        <v>109</v>
      </c>
      <c r="G55" s="86">
        <v>215505</v>
      </c>
      <c r="H55" s="158" t="s">
        <v>24</v>
      </c>
      <c r="I55" s="86"/>
      <c r="J55" s="86">
        <v>215505</v>
      </c>
      <c r="K55" s="155">
        <v>215505</v>
      </c>
      <c r="L55" s="159"/>
    </row>
    <row r="56" spans="1:12" x14ac:dyDescent="0.35">
      <c r="A56" s="152"/>
      <c r="B56" s="152"/>
      <c r="C56" s="153" t="s">
        <v>110</v>
      </c>
      <c r="D56" s="152"/>
      <c r="E56" s="152"/>
      <c r="F56" s="152" t="s">
        <v>111</v>
      </c>
      <c r="G56" s="86"/>
      <c r="H56" s="158"/>
      <c r="I56" s="86"/>
      <c r="J56" s="86"/>
      <c r="K56" s="155">
        <v>0</v>
      </c>
      <c r="L56" s="159"/>
    </row>
    <row r="57" spans="1:12" x14ac:dyDescent="0.35">
      <c r="A57" s="152"/>
      <c r="B57" s="152"/>
      <c r="C57" s="153" t="s">
        <v>112</v>
      </c>
      <c r="D57" s="152"/>
      <c r="E57" s="152"/>
      <c r="F57" s="152" t="s">
        <v>113</v>
      </c>
      <c r="G57" s="86"/>
      <c r="H57" s="158"/>
      <c r="I57" s="86"/>
      <c r="J57" s="86"/>
      <c r="K57" s="155">
        <v>0</v>
      </c>
      <c r="L57" s="159"/>
    </row>
    <row r="58" spans="1:12" x14ac:dyDescent="0.35">
      <c r="A58" s="152"/>
      <c r="B58" s="152"/>
      <c r="C58" s="153" t="s">
        <v>114</v>
      </c>
      <c r="D58" s="152"/>
      <c r="E58" s="152"/>
      <c r="F58" s="152" t="s">
        <v>115</v>
      </c>
      <c r="G58" s="86"/>
      <c r="H58" s="158"/>
      <c r="I58" s="86"/>
      <c r="J58" s="86"/>
      <c r="K58" s="155">
        <v>0</v>
      </c>
      <c r="L58" s="159"/>
    </row>
    <row r="59" spans="1:12" x14ac:dyDescent="0.35">
      <c r="A59" s="152"/>
      <c r="B59" s="152"/>
      <c r="C59" s="153" t="s">
        <v>116</v>
      </c>
      <c r="D59" s="152"/>
      <c r="E59" s="152"/>
      <c r="F59" s="152" t="s">
        <v>117</v>
      </c>
      <c r="G59" s="86"/>
      <c r="H59" s="158"/>
      <c r="I59" s="86"/>
      <c r="J59" s="86"/>
      <c r="K59" s="155">
        <v>0</v>
      </c>
      <c r="L59" s="159"/>
    </row>
    <row r="60" spans="1:12" x14ac:dyDescent="0.35">
      <c r="A60" s="152"/>
      <c r="B60" s="152"/>
      <c r="C60" s="153" t="s">
        <v>118</v>
      </c>
      <c r="D60" s="152"/>
      <c r="E60" s="152"/>
      <c r="F60" s="152" t="s">
        <v>119</v>
      </c>
      <c r="G60" s="86"/>
      <c r="H60" s="158"/>
      <c r="I60" s="86"/>
      <c r="J60" s="86"/>
      <c r="K60" s="155">
        <v>0</v>
      </c>
      <c r="L60" s="159"/>
    </row>
    <row r="61" spans="1:12" x14ac:dyDescent="0.35">
      <c r="A61" s="152"/>
      <c r="B61" s="152"/>
      <c r="C61" s="153" t="s">
        <v>120</v>
      </c>
      <c r="D61" s="152"/>
      <c r="E61" s="152"/>
      <c r="F61" s="152" t="s">
        <v>121</v>
      </c>
      <c r="G61" s="86"/>
      <c r="H61" s="158"/>
      <c r="I61" s="86"/>
      <c r="J61" s="86"/>
      <c r="K61" s="155">
        <v>0</v>
      </c>
      <c r="L61" s="159"/>
    </row>
    <row r="62" spans="1:12" x14ac:dyDescent="0.35">
      <c r="A62" s="152"/>
      <c r="B62" s="152"/>
      <c r="C62" s="153" t="s">
        <v>122</v>
      </c>
      <c r="D62" s="152"/>
      <c r="E62" s="152"/>
      <c r="F62" s="152" t="s">
        <v>123</v>
      </c>
      <c r="G62" s="86">
        <v>1881099</v>
      </c>
      <c r="H62" s="158" t="s">
        <v>59</v>
      </c>
      <c r="I62" s="86">
        <v>240315</v>
      </c>
      <c r="J62" s="86">
        <v>1640784</v>
      </c>
      <c r="K62" s="155">
        <v>1881099</v>
      </c>
      <c r="L62" s="159" t="s">
        <v>246</v>
      </c>
    </row>
    <row r="63" spans="1:12" x14ac:dyDescent="0.35">
      <c r="A63" s="152"/>
      <c r="B63" s="152"/>
      <c r="C63" s="153" t="s">
        <v>124</v>
      </c>
      <c r="D63" s="152"/>
      <c r="E63" s="152"/>
      <c r="F63" s="152" t="s">
        <v>125</v>
      </c>
      <c r="G63" s="86">
        <v>49428</v>
      </c>
      <c r="H63" s="158" t="s">
        <v>24</v>
      </c>
      <c r="I63" s="86"/>
      <c r="J63" s="86">
        <v>49428</v>
      </c>
      <c r="K63" s="155">
        <v>49428</v>
      </c>
      <c r="L63" s="159" t="s">
        <v>247</v>
      </c>
    </row>
    <row r="64" spans="1:12" hidden="1" x14ac:dyDescent="0.35">
      <c r="A64" s="152"/>
      <c r="B64" s="152" t="s">
        <v>126</v>
      </c>
      <c r="C64" s="153"/>
      <c r="D64" s="152"/>
      <c r="E64" s="152" t="s">
        <v>127</v>
      </c>
      <c r="F64" s="152"/>
      <c r="G64" s="155"/>
      <c r="H64" s="152"/>
      <c r="I64" s="155"/>
      <c r="J64" s="155"/>
      <c r="K64" s="155"/>
      <c r="L64" s="157"/>
    </row>
    <row r="65" spans="1:12" hidden="1" x14ac:dyDescent="0.35">
      <c r="A65" s="152"/>
      <c r="B65" s="152" t="s">
        <v>128</v>
      </c>
      <c r="C65" s="153"/>
      <c r="D65" s="152"/>
      <c r="E65" s="152" t="s">
        <v>127</v>
      </c>
      <c r="F65" s="152"/>
      <c r="G65" s="155"/>
      <c r="H65" s="152"/>
      <c r="I65" s="155"/>
      <c r="J65" s="155"/>
      <c r="K65" s="155"/>
      <c r="L65" s="157"/>
    </row>
    <row r="66" spans="1:12" x14ac:dyDescent="0.35">
      <c r="A66" s="152"/>
      <c r="B66" s="152" t="s">
        <v>129</v>
      </c>
      <c r="C66" s="153"/>
      <c r="D66" s="152"/>
      <c r="E66" s="152" t="s">
        <v>130</v>
      </c>
      <c r="F66" s="152"/>
      <c r="G66" s="155">
        <v>0</v>
      </c>
      <c r="H66" s="152"/>
      <c r="I66" s="155">
        <v>0</v>
      </c>
      <c r="J66" s="155">
        <v>0</v>
      </c>
      <c r="K66" s="155"/>
      <c r="L66" s="157"/>
    </row>
    <row r="67" spans="1:12" x14ac:dyDescent="0.35">
      <c r="A67" s="152"/>
      <c r="B67" s="152"/>
      <c r="C67" s="153" t="s">
        <v>131</v>
      </c>
      <c r="D67" s="152"/>
      <c r="E67" s="152"/>
      <c r="F67" s="152" t="s">
        <v>132</v>
      </c>
      <c r="G67" s="86"/>
      <c r="H67" s="158"/>
      <c r="I67" s="86"/>
      <c r="J67" s="86">
        <v>0</v>
      </c>
      <c r="K67" s="155">
        <v>0</v>
      </c>
      <c r="L67" s="159"/>
    </row>
    <row r="68" spans="1:12" x14ac:dyDescent="0.35">
      <c r="A68" s="152"/>
      <c r="B68" s="152"/>
      <c r="C68" s="153" t="s">
        <v>133</v>
      </c>
      <c r="D68" s="152"/>
      <c r="E68" s="152"/>
      <c r="F68" s="152" t="s">
        <v>134</v>
      </c>
      <c r="G68" s="86"/>
      <c r="H68" s="158"/>
      <c r="I68" s="86"/>
      <c r="J68" s="86"/>
      <c r="K68" s="155">
        <v>0</v>
      </c>
      <c r="L68" s="159"/>
    </row>
    <row r="69" spans="1:12" x14ac:dyDescent="0.35">
      <c r="A69" s="152"/>
      <c r="B69" s="152"/>
      <c r="C69" s="153" t="s">
        <v>135</v>
      </c>
      <c r="D69" s="152"/>
      <c r="E69" s="152"/>
      <c r="F69" s="152" t="s">
        <v>136</v>
      </c>
      <c r="G69" s="86"/>
      <c r="H69" s="158"/>
      <c r="I69" s="86"/>
      <c r="J69" s="86"/>
      <c r="K69" s="155">
        <v>0</v>
      </c>
      <c r="L69" s="159"/>
    </row>
    <row r="70" spans="1:12" x14ac:dyDescent="0.35">
      <c r="A70" s="152"/>
      <c r="B70" s="152" t="s">
        <v>137</v>
      </c>
      <c r="C70" s="153"/>
      <c r="D70" s="152"/>
      <c r="E70" s="152" t="s">
        <v>138</v>
      </c>
      <c r="F70" s="152"/>
      <c r="G70" s="155">
        <v>1252508</v>
      </c>
      <c r="H70" s="152"/>
      <c r="I70" s="155">
        <v>0</v>
      </c>
      <c r="J70" s="155">
        <v>1252508</v>
      </c>
      <c r="K70" s="155"/>
      <c r="L70" s="157"/>
    </row>
    <row r="71" spans="1:12" x14ac:dyDescent="0.35">
      <c r="A71" s="152"/>
      <c r="B71" s="152"/>
      <c r="C71" s="153" t="s">
        <v>139</v>
      </c>
      <c r="D71" s="152"/>
      <c r="E71" s="152"/>
      <c r="F71" s="152" t="s">
        <v>140</v>
      </c>
      <c r="G71" s="86"/>
      <c r="H71" s="158"/>
      <c r="I71" s="86"/>
      <c r="J71" s="86"/>
      <c r="K71" s="155">
        <v>0</v>
      </c>
      <c r="L71" s="159"/>
    </row>
    <row r="72" spans="1:12" x14ac:dyDescent="0.35">
      <c r="A72" s="152"/>
      <c r="B72" s="152"/>
      <c r="C72" s="153" t="s">
        <v>141</v>
      </c>
      <c r="D72" s="152"/>
      <c r="E72" s="152"/>
      <c r="F72" s="152" t="s">
        <v>142</v>
      </c>
      <c r="G72" s="86">
        <v>343822</v>
      </c>
      <c r="H72" s="158" t="s">
        <v>24</v>
      </c>
      <c r="I72" s="86"/>
      <c r="J72" s="86">
        <v>343822</v>
      </c>
      <c r="K72" s="155">
        <v>343822</v>
      </c>
      <c r="L72" s="159" t="s">
        <v>248</v>
      </c>
    </row>
    <row r="73" spans="1:12" x14ac:dyDescent="0.35">
      <c r="A73" s="152"/>
      <c r="B73" s="152"/>
      <c r="C73" s="153" t="s">
        <v>143</v>
      </c>
      <c r="D73" s="152"/>
      <c r="E73" s="152"/>
      <c r="F73" s="152" t="s">
        <v>144</v>
      </c>
      <c r="G73" s="86">
        <v>908686</v>
      </c>
      <c r="H73" s="158" t="s">
        <v>24</v>
      </c>
      <c r="I73" s="86"/>
      <c r="J73" s="86">
        <v>908686</v>
      </c>
      <c r="K73" s="155">
        <v>908686</v>
      </c>
      <c r="L73" s="159" t="s">
        <v>249</v>
      </c>
    </row>
    <row r="74" spans="1:12" hidden="1" x14ac:dyDescent="0.35">
      <c r="A74" s="152"/>
      <c r="B74" s="152" t="s">
        <v>145</v>
      </c>
      <c r="C74" s="153"/>
      <c r="D74" s="152"/>
      <c r="E74" s="152" t="s">
        <v>127</v>
      </c>
      <c r="F74" s="152"/>
      <c r="G74" s="155"/>
      <c r="H74" s="152"/>
      <c r="I74" s="155"/>
      <c r="J74" s="155"/>
      <c r="K74" s="155"/>
      <c r="L74" s="157"/>
    </row>
    <row r="75" spans="1:12" hidden="1" x14ac:dyDescent="0.35">
      <c r="A75" s="152"/>
      <c r="B75" s="152" t="s">
        <v>146</v>
      </c>
      <c r="C75" s="153"/>
      <c r="D75" s="152"/>
      <c r="E75" s="152" t="s">
        <v>127</v>
      </c>
      <c r="F75" s="152"/>
      <c r="G75" s="155"/>
      <c r="H75" s="152"/>
      <c r="I75" s="155"/>
      <c r="J75" s="155"/>
      <c r="K75" s="155"/>
      <c r="L75" s="157"/>
    </row>
    <row r="76" spans="1:12" s="7" customFormat="1" x14ac:dyDescent="0.35">
      <c r="A76" s="129" t="s">
        <v>147</v>
      </c>
      <c r="B76" s="129"/>
      <c r="C76" s="122"/>
      <c r="D76" s="129"/>
      <c r="E76" s="129"/>
      <c r="F76" s="129"/>
      <c r="G76" s="138">
        <v>11267459</v>
      </c>
      <c r="H76" s="88"/>
      <c r="I76" s="138">
        <v>6213834</v>
      </c>
      <c r="J76" s="138">
        <v>5053625</v>
      </c>
      <c r="K76" s="155">
        <v>11267459</v>
      </c>
      <c r="L76" s="131"/>
    </row>
    <row r="77" spans="1:12" x14ac:dyDescent="0.35">
      <c r="A77" s="150"/>
      <c r="B77" s="150"/>
      <c r="C77" s="150"/>
      <c r="D77" s="150"/>
      <c r="E77" s="150"/>
      <c r="F77" s="162" t="s">
        <v>200</v>
      </c>
      <c r="G77" s="140">
        <v>11267459</v>
      </c>
      <c r="H77" s="156"/>
      <c r="I77" s="163">
        <v>0.55148494438719498</v>
      </c>
      <c r="J77" s="163">
        <v>0.44851505561280497</v>
      </c>
      <c r="K77" s="164"/>
      <c r="L77" s="150"/>
    </row>
    <row r="79" spans="1:12" x14ac:dyDescent="0.35">
      <c r="A79" s="150"/>
      <c r="B79" s="150"/>
      <c r="C79" s="150"/>
      <c r="D79" s="150"/>
      <c r="E79" s="150"/>
      <c r="F79" s="150" t="s">
        <v>201</v>
      </c>
      <c r="G79" s="150"/>
      <c r="H79" s="150"/>
      <c r="I79" s="150"/>
      <c r="J79" s="150"/>
      <c r="K79" s="150"/>
      <c r="L79" s="150"/>
    </row>
    <row r="80" spans="1:12" hidden="1" x14ac:dyDescent="0.35">
      <c r="A80" s="150"/>
      <c r="B80" s="150"/>
      <c r="C80" s="150"/>
      <c r="D80" s="150"/>
      <c r="E80" s="150"/>
      <c r="F80" s="150"/>
      <c r="G80" s="150"/>
      <c r="H80" s="150" t="s">
        <v>15</v>
      </c>
      <c r="I80" s="150"/>
      <c r="J80" s="150"/>
      <c r="K80" s="150"/>
      <c r="L80" s="150"/>
    </row>
    <row r="81" spans="3:11" hidden="1" x14ac:dyDescent="0.35">
      <c r="C81" s="150"/>
      <c r="D81" s="150"/>
      <c r="E81" s="150"/>
      <c r="F81" s="150"/>
      <c r="G81" s="150"/>
      <c r="H81" s="150" t="s">
        <v>24</v>
      </c>
      <c r="I81" s="150"/>
      <c r="J81" s="150"/>
      <c r="K81" s="150"/>
    </row>
    <row r="82" spans="3:11" hidden="1" x14ac:dyDescent="0.35">
      <c r="C82" s="150"/>
      <c r="D82" s="150"/>
      <c r="E82" s="150"/>
      <c r="F82" s="150"/>
      <c r="G82" s="150"/>
      <c r="H82" s="150" t="s">
        <v>59</v>
      </c>
      <c r="I82" s="150"/>
      <c r="J82" s="150"/>
      <c r="K82" s="150"/>
    </row>
    <row r="83" spans="3:11" x14ac:dyDescent="0.35">
      <c r="C83" s="150"/>
      <c r="D83" s="150"/>
      <c r="E83" s="150"/>
      <c r="F83" s="150"/>
      <c r="G83" s="150"/>
      <c r="H83" s="162" t="s">
        <v>202</v>
      </c>
      <c r="I83" s="155">
        <v>73697276.999999985</v>
      </c>
      <c r="J83" s="161">
        <v>8.4315652530825541E-2</v>
      </c>
      <c r="K83" s="150" t="s">
        <v>203</v>
      </c>
    </row>
    <row r="97" spans="3:3" x14ac:dyDescent="0.35">
      <c r="C97" s="144"/>
    </row>
    <row r="98" spans="3:3" x14ac:dyDescent="0.35">
      <c r="C98" s="144"/>
    </row>
    <row r="99" spans="3:3" x14ac:dyDescent="0.35">
      <c r="C99" s="144"/>
    </row>
    <row r="100" spans="3:3" x14ac:dyDescent="0.35">
      <c r="C100" s="144"/>
    </row>
    <row r="101" spans="3:3" x14ac:dyDescent="0.35">
      <c r="C101" s="144"/>
    </row>
    <row r="102" spans="3:3" x14ac:dyDescent="0.35">
      <c r="C102" s="144"/>
    </row>
    <row r="103" spans="3:3" x14ac:dyDescent="0.35">
      <c r="C103" s="144"/>
    </row>
    <row r="104" spans="3:3" x14ac:dyDescent="0.35">
      <c r="C104" s="144"/>
    </row>
    <row r="105" spans="3:3" x14ac:dyDescent="0.35">
      <c r="C105" s="144"/>
    </row>
    <row r="106" spans="3:3" x14ac:dyDescent="0.35">
      <c r="C106" s="144"/>
    </row>
    <row r="107" spans="3:3" x14ac:dyDescent="0.35">
      <c r="C107" s="144"/>
    </row>
    <row r="108" spans="3:3" x14ac:dyDescent="0.35">
      <c r="C108" s="144"/>
    </row>
    <row r="109" spans="3:3" x14ac:dyDescent="0.35">
      <c r="C109" s="144"/>
    </row>
    <row r="112" spans="3:3" ht="15" hidden="1" customHeight="1" x14ac:dyDescent="0.35"/>
    <row r="113" ht="15" hidden="1" customHeight="1" x14ac:dyDescent="0.35"/>
    <row r="114" ht="15" hidden="1" customHeight="1" x14ac:dyDescent="0.35"/>
    <row r="115" ht="15" hidden="1" customHeight="1" x14ac:dyDescent="0.35"/>
    <row r="116" ht="15" hidden="1" customHeight="1" x14ac:dyDescent="0.35"/>
    <row r="117" ht="15" hidden="1" customHeight="1" x14ac:dyDescent="0.35"/>
    <row r="118" ht="15" hidden="1" customHeight="1" x14ac:dyDescent="0.35"/>
    <row r="119" ht="15" hidden="1" customHeight="1" x14ac:dyDescent="0.35"/>
    <row r="120" ht="15" hidden="1" customHeight="1" x14ac:dyDescent="0.35"/>
    <row r="121" ht="15" hidden="1" customHeight="1" x14ac:dyDescent="0.35"/>
    <row r="122" ht="15" hidden="1" customHeight="1" x14ac:dyDescent="0.35"/>
    <row r="123" ht="15" hidden="1" customHeight="1" x14ac:dyDescent="0.35"/>
    <row r="124" ht="15" hidden="1" customHeight="1" x14ac:dyDescent="0.35"/>
    <row r="125" ht="15" hidden="1" customHeight="1" x14ac:dyDescent="0.35"/>
    <row r="126" ht="15" hidden="1" customHeight="1" x14ac:dyDescent="0.35"/>
    <row r="127" ht="15" hidden="1" customHeight="1" x14ac:dyDescent="0.35"/>
    <row r="128" ht="15" hidden="1" customHeight="1" x14ac:dyDescent="0.35"/>
    <row r="129" ht="15" hidden="1" customHeight="1" x14ac:dyDescent="0.35"/>
    <row r="130" ht="15" hidden="1" customHeight="1" x14ac:dyDescent="0.35"/>
    <row r="131" ht="15" hidden="1" customHeight="1" x14ac:dyDescent="0.35"/>
    <row r="132" ht="15" hidden="1" customHeight="1" x14ac:dyDescent="0.35"/>
    <row r="133" ht="15" hidden="1" customHeight="1" x14ac:dyDescent="0.35"/>
    <row r="134" ht="15" hidden="1" customHeight="1" x14ac:dyDescent="0.35"/>
    <row r="135" ht="15" hidden="1" customHeight="1" x14ac:dyDescent="0.35"/>
    <row r="136" ht="15" hidden="1" customHeight="1" x14ac:dyDescent="0.35"/>
    <row r="137" ht="15" hidden="1" customHeight="1" x14ac:dyDescent="0.35"/>
    <row r="138" ht="15" hidden="1" customHeight="1" x14ac:dyDescent="0.35"/>
    <row r="139" ht="15" hidden="1" customHeight="1" x14ac:dyDescent="0.35"/>
    <row r="140" ht="15" hidden="1" customHeight="1" x14ac:dyDescent="0.35"/>
  </sheetData>
  <conditionalFormatting sqref="G76">
    <cfRule type="cellIs" dxfId="401" priority="1" operator="notEqual">
      <formula>$G$77</formula>
    </cfRule>
    <cfRule type="cellIs" dxfId="400" priority="2" operator="equal">
      <formula>$G$77</formula>
    </cfRule>
  </conditionalFormatting>
  <conditionalFormatting sqref="K9:K24">
    <cfRule type="cellIs" dxfId="399" priority="13" operator="notEqual">
      <formula>G9</formula>
    </cfRule>
    <cfRule type="cellIs" dxfId="398" priority="14" operator="equal">
      <formula>G9</formula>
    </cfRule>
  </conditionalFormatting>
  <conditionalFormatting sqref="K26:K41">
    <cfRule type="cellIs" dxfId="397" priority="11" operator="notEqual">
      <formula>G26</formula>
    </cfRule>
    <cfRule type="cellIs" dxfId="396" priority="12" operator="equal">
      <formula>G26</formula>
    </cfRule>
  </conditionalFormatting>
  <conditionalFormatting sqref="K43:K63">
    <cfRule type="cellIs" dxfId="395" priority="9" operator="notEqual">
      <formula>G43</formula>
    </cfRule>
    <cfRule type="cellIs" dxfId="394" priority="10" operator="equal">
      <formula>G43</formula>
    </cfRule>
  </conditionalFormatting>
  <conditionalFormatting sqref="K67:K69">
    <cfRule type="cellIs" dxfId="393" priority="7" operator="notEqual">
      <formula>G67</formula>
    </cfRule>
    <cfRule type="cellIs" dxfId="392" priority="8" operator="equal">
      <formula>G67</formula>
    </cfRule>
  </conditionalFormatting>
  <conditionalFormatting sqref="K71:K73">
    <cfRule type="cellIs" dxfId="391" priority="5" operator="notEqual">
      <formula>G71</formula>
    </cfRule>
    <cfRule type="cellIs" dxfId="390" priority="6" operator="equal">
      <formula>G71</formula>
    </cfRule>
  </conditionalFormatting>
  <conditionalFormatting sqref="K76">
    <cfRule type="cellIs" dxfId="389" priority="3" operator="notEqual">
      <formula>G76</formula>
    </cfRule>
    <cfRule type="cellIs" dxfId="388" priority="4" operator="equal">
      <formula>G76</formula>
    </cfRule>
  </conditionalFormatting>
  <dataValidations count="1">
    <dataValidation type="list" allowBlank="1" showInputMessage="1" showErrorMessage="1" sqref="H9:H75" xr:uid="{73119279-4FB1-46B5-86D6-E4E1B62B8810}">
      <formula1>$H$80:$H$82</formula1>
    </dataValidation>
  </dataValidations>
  <pageMargins left="0.7" right="0.7" top="0.75" bottom="0.75" header="0.3" footer="0.3"/>
  <pageSetup scale="39" orientation="landscape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00B0F0"/>
    <pageSetUpPr fitToPage="1"/>
  </sheetPr>
  <dimension ref="A1:U140"/>
  <sheetViews>
    <sheetView zoomScaleNormal="100" workbookViewId="0"/>
  </sheetViews>
  <sheetFormatPr defaultRowHeight="14.5" x14ac:dyDescent="0.35"/>
  <cols>
    <col min="1" max="2" width="2.81640625" customWidth="1"/>
    <col min="3" max="3" width="10.453125" style="26" bestFit="1" customWidth="1"/>
    <col min="4" max="5" width="2.81640625" customWidth="1"/>
    <col min="6" max="6" width="80.7265625" bestFit="1" customWidth="1"/>
    <col min="7" max="7" width="27.81640625" customWidth="1"/>
    <col min="8" max="8" width="15.26953125" bestFit="1" customWidth="1"/>
    <col min="9" max="9" width="27.26953125" customWidth="1"/>
    <col min="10" max="10" width="26.81640625" customWidth="1"/>
    <col min="11" max="11" width="25.81640625" customWidth="1"/>
    <col min="12" max="12" width="82.54296875" customWidth="1"/>
    <col min="14" max="14" width="21" bestFit="1" customWidth="1"/>
    <col min="15" max="15" width="7.453125" bestFit="1" customWidth="1"/>
    <col min="16" max="16" width="20.54296875" bestFit="1" customWidth="1"/>
    <col min="17" max="17" width="20.1796875" bestFit="1" customWidth="1"/>
    <col min="19" max="19" width="17.453125" bestFit="1" customWidth="1"/>
    <col min="20" max="20" width="16.26953125" bestFit="1" customWidth="1"/>
    <col min="21" max="21" width="17.453125" bestFit="1" customWidth="1"/>
  </cols>
  <sheetData>
    <row r="1" spans="1:21" x14ac:dyDescent="0.35">
      <c r="A1" s="134"/>
      <c r="B1" s="7"/>
      <c r="C1" s="7"/>
      <c r="D1" s="7"/>
      <c r="E1" s="7"/>
      <c r="F1" s="7"/>
      <c r="G1" s="7"/>
      <c r="H1" s="7"/>
      <c r="I1" s="7" t="s">
        <v>0</v>
      </c>
      <c r="J1" s="7"/>
      <c r="K1" s="7"/>
      <c r="L1" s="7"/>
    </row>
    <row r="2" spans="1:21" x14ac:dyDescent="0.35">
      <c r="A2" s="135"/>
      <c r="B2" s="7"/>
      <c r="C2" s="7"/>
      <c r="D2" s="7"/>
      <c r="E2" s="7"/>
      <c r="F2" s="7"/>
      <c r="G2" s="7"/>
      <c r="H2" s="7"/>
      <c r="I2" s="7" t="s">
        <v>197</v>
      </c>
      <c r="J2" s="7"/>
      <c r="K2" s="7"/>
      <c r="L2" s="7"/>
    </row>
    <row r="3" spans="1:21" x14ac:dyDescent="0.35">
      <c r="A3" s="136" t="s">
        <v>198</v>
      </c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</row>
    <row r="4" spans="1:21" ht="19.5" customHeight="1" x14ac:dyDescent="0.35">
      <c r="A4" s="137" t="s">
        <v>152</v>
      </c>
      <c r="C4"/>
    </row>
    <row r="5" spans="1:21" x14ac:dyDescent="0.35">
      <c r="C5"/>
    </row>
    <row r="6" spans="1:21" s="7" customFormat="1" x14ac:dyDescent="0.35">
      <c r="A6" s="3" t="s">
        <v>2</v>
      </c>
      <c r="B6" s="4"/>
      <c r="C6" s="4"/>
      <c r="D6" s="3" t="s">
        <v>3</v>
      </c>
      <c r="E6" s="4"/>
      <c r="F6" s="4"/>
      <c r="G6" s="5" t="s">
        <v>274</v>
      </c>
      <c r="H6" s="6" t="s">
        <v>4</v>
      </c>
      <c r="I6" s="6" t="s">
        <v>5</v>
      </c>
      <c r="J6" s="6" t="s">
        <v>6</v>
      </c>
      <c r="K6" s="6" t="s">
        <v>7</v>
      </c>
      <c r="L6" s="6" t="s">
        <v>199</v>
      </c>
      <c r="N6"/>
      <c r="O6"/>
      <c r="P6"/>
      <c r="Q6"/>
      <c r="R6"/>
    </row>
    <row r="7" spans="1:21" x14ac:dyDescent="0.35">
      <c r="A7" s="8" t="s">
        <v>9</v>
      </c>
      <c r="B7" s="9"/>
      <c r="C7" s="10"/>
      <c r="D7" s="11" t="s">
        <v>10</v>
      </c>
      <c r="E7" s="10"/>
      <c r="F7" s="10"/>
      <c r="G7" s="69"/>
      <c r="H7" s="9"/>
      <c r="I7" s="69"/>
      <c r="J7" s="69"/>
      <c r="K7" s="69"/>
      <c r="L7" s="11"/>
    </row>
    <row r="8" spans="1:21" x14ac:dyDescent="0.35">
      <c r="A8" s="8"/>
      <c r="B8" s="9" t="s">
        <v>11</v>
      </c>
      <c r="C8" s="10"/>
      <c r="D8" s="13"/>
      <c r="E8" s="9" t="s">
        <v>12</v>
      </c>
      <c r="F8" s="10"/>
      <c r="G8" s="69">
        <v>3662109.39</v>
      </c>
      <c r="H8" s="9"/>
      <c r="I8" s="69">
        <v>2325066.5699999998</v>
      </c>
      <c r="J8" s="69">
        <v>1337042.82</v>
      </c>
      <c r="K8" s="69"/>
      <c r="L8" s="14"/>
      <c r="N8" s="87"/>
      <c r="O8" s="7"/>
      <c r="P8" s="87"/>
      <c r="Q8" s="87"/>
      <c r="R8" s="7"/>
      <c r="S8" s="73"/>
      <c r="T8" s="73"/>
      <c r="U8" s="73"/>
    </row>
    <row r="9" spans="1:21" x14ac:dyDescent="0.35">
      <c r="A9" s="8"/>
      <c r="B9" s="9"/>
      <c r="C9" s="10" t="s">
        <v>13</v>
      </c>
      <c r="D9" s="13"/>
      <c r="E9" s="10"/>
      <c r="F9" s="9" t="s">
        <v>14</v>
      </c>
      <c r="G9" s="70"/>
      <c r="H9" s="16"/>
      <c r="I9" s="70"/>
      <c r="J9" s="70"/>
      <c r="K9" s="69">
        <v>0</v>
      </c>
      <c r="L9" s="17"/>
      <c r="S9" s="73"/>
      <c r="T9" s="73"/>
      <c r="U9" s="73"/>
    </row>
    <row r="10" spans="1:21" x14ac:dyDescent="0.35">
      <c r="A10" s="8"/>
      <c r="B10" s="9"/>
      <c r="C10" s="10" t="s">
        <v>16</v>
      </c>
      <c r="D10" s="13"/>
      <c r="E10" s="10"/>
      <c r="F10" s="9" t="s">
        <v>17</v>
      </c>
      <c r="G10" s="70">
        <v>7931.48</v>
      </c>
      <c r="H10" s="16" t="s">
        <v>15</v>
      </c>
      <c r="I10" s="70">
        <v>7931.48</v>
      </c>
      <c r="J10" s="70"/>
      <c r="K10" s="69">
        <v>7931.48</v>
      </c>
      <c r="L10" s="17"/>
      <c r="N10" s="143"/>
      <c r="P10" s="143"/>
      <c r="S10" s="73"/>
      <c r="T10" s="73"/>
      <c r="U10" s="73"/>
    </row>
    <row r="11" spans="1:21" x14ac:dyDescent="0.35">
      <c r="A11" s="8"/>
      <c r="B11" s="9"/>
      <c r="C11" s="10" t="s">
        <v>18</v>
      </c>
      <c r="D11" s="13"/>
      <c r="E11" s="10"/>
      <c r="F11" s="9" t="s">
        <v>19</v>
      </c>
      <c r="G11" s="70">
        <v>790578.7</v>
      </c>
      <c r="H11" s="16" t="s">
        <v>15</v>
      </c>
      <c r="I11" s="70">
        <v>790578.7</v>
      </c>
      <c r="J11" s="70">
        <v>0</v>
      </c>
      <c r="K11" s="69">
        <v>790578.7</v>
      </c>
      <c r="L11" s="17"/>
      <c r="N11" s="143"/>
      <c r="P11" s="143"/>
      <c r="S11" s="73"/>
      <c r="T11" s="73"/>
      <c r="U11" s="73"/>
    </row>
    <row r="12" spans="1:21" x14ac:dyDescent="0.35">
      <c r="A12" s="8"/>
      <c r="B12" s="9"/>
      <c r="C12" s="10" t="s">
        <v>20</v>
      </c>
      <c r="D12" s="13"/>
      <c r="E12" s="10"/>
      <c r="F12" s="9" t="s">
        <v>21</v>
      </c>
      <c r="G12" s="70"/>
      <c r="H12" s="16"/>
      <c r="I12" s="70"/>
      <c r="J12" s="70"/>
      <c r="K12" s="69">
        <v>0</v>
      </c>
      <c r="L12" s="17"/>
      <c r="S12" s="73"/>
      <c r="T12" s="73"/>
      <c r="U12" s="73"/>
    </row>
    <row r="13" spans="1:21" x14ac:dyDescent="0.35">
      <c r="A13" s="8"/>
      <c r="B13" s="9"/>
      <c r="C13" s="10" t="s">
        <v>22</v>
      </c>
      <c r="D13" s="13"/>
      <c r="E13" s="10"/>
      <c r="F13" s="9" t="s">
        <v>23</v>
      </c>
      <c r="G13" s="70">
        <v>948727.57</v>
      </c>
      <c r="H13" s="16" t="s">
        <v>15</v>
      </c>
      <c r="I13" s="70">
        <v>948727.57</v>
      </c>
      <c r="J13" s="70"/>
      <c r="K13" s="69">
        <v>948727.57</v>
      </c>
      <c r="L13" s="17"/>
      <c r="N13" s="143"/>
      <c r="P13" s="143"/>
      <c r="S13" s="73"/>
      <c r="T13" s="73"/>
      <c r="U13" s="73"/>
    </row>
    <row r="14" spans="1:21" x14ac:dyDescent="0.35">
      <c r="A14" s="8"/>
      <c r="B14" s="9"/>
      <c r="C14" s="10" t="s">
        <v>25</v>
      </c>
      <c r="D14" s="13"/>
      <c r="E14" s="10"/>
      <c r="F14" s="9" t="s">
        <v>26</v>
      </c>
      <c r="G14" s="70">
        <v>2328.84</v>
      </c>
      <c r="H14" s="16" t="s">
        <v>24</v>
      </c>
      <c r="I14" s="70"/>
      <c r="J14" s="70">
        <v>2328.84</v>
      </c>
      <c r="K14" s="69">
        <v>2328.84</v>
      </c>
      <c r="L14" s="17"/>
      <c r="N14" s="143"/>
      <c r="Q14" s="143"/>
      <c r="S14" s="73"/>
      <c r="T14" s="73"/>
      <c r="U14" s="73"/>
    </row>
    <row r="15" spans="1:21" x14ac:dyDescent="0.35">
      <c r="A15" s="8"/>
      <c r="B15" s="9"/>
      <c r="C15" s="10" t="s">
        <v>27</v>
      </c>
      <c r="D15" s="13"/>
      <c r="E15" s="10"/>
      <c r="F15" s="9" t="s">
        <v>28</v>
      </c>
      <c r="G15" s="70">
        <v>225952.25</v>
      </c>
      <c r="H15" s="16" t="s">
        <v>15</v>
      </c>
      <c r="I15" s="70">
        <v>225952.25</v>
      </c>
      <c r="J15" s="70"/>
      <c r="K15" s="69">
        <v>225952.25</v>
      </c>
      <c r="L15" s="17"/>
      <c r="S15" s="73"/>
      <c r="T15" s="73"/>
      <c r="U15" s="73"/>
    </row>
    <row r="16" spans="1:21" x14ac:dyDescent="0.35">
      <c r="A16" s="8"/>
      <c r="B16" s="9"/>
      <c r="C16" s="10" t="s">
        <v>29</v>
      </c>
      <c r="D16" s="13"/>
      <c r="E16" s="10"/>
      <c r="F16" s="9" t="s">
        <v>30</v>
      </c>
      <c r="G16" s="70"/>
      <c r="H16" s="16"/>
      <c r="I16" s="70"/>
      <c r="J16" s="70"/>
      <c r="K16" s="69">
        <v>0</v>
      </c>
      <c r="L16" s="17"/>
      <c r="S16" s="73"/>
      <c r="T16" s="73"/>
      <c r="U16" s="73"/>
    </row>
    <row r="17" spans="1:21" x14ac:dyDescent="0.35">
      <c r="A17" s="8"/>
      <c r="B17" s="9"/>
      <c r="C17" s="10" t="s">
        <v>31</v>
      </c>
      <c r="D17" s="13"/>
      <c r="E17" s="10"/>
      <c r="F17" s="9" t="s">
        <v>32</v>
      </c>
      <c r="G17" s="70">
        <v>7816.41</v>
      </c>
      <c r="H17" s="16" t="s">
        <v>24</v>
      </c>
      <c r="I17" s="70"/>
      <c r="J17" s="70">
        <v>7816.41</v>
      </c>
      <c r="K17" s="69">
        <v>7816.41</v>
      </c>
      <c r="L17" s="17"/>
      <c r="N17" s="143"/>
      <c r="Q17" s="143"/>
      <c r="S17" s="73"/>
      <c r="T17" s="73"/>
      <c r="U17" s="73"/>
    </row>
    <row r="18" spans="1:21" x14ac:dyDescent="0.35">
      <c r="A18" s="8"/>
      <c r="B18" s="9"/>
      <c r="C18" s="10" t="s">
        <v>33</v>
      </c>
      <c r="D18" s="13"/>
      <c r="E18" s="10"/>
      <c r="F18" s="9" t="s">
        <v>34</v>
      </c>
      <c r="G18" s="70">
        <v>1326380.33</v>
      </c>
      <c r="H18" s="16" t="s">
        <v>24</v>
      </c>
      <c r="I18" s="70"/>
      <c r="J18" s="70">
        <v>1326380.33</v>
      </c>
      <c r="K18" s="69">
        <v>1326380.33</v>
      </c>
      <c r="L18" s="17"/>
      <c r="N18" s="143"/>
      <c r="Q18" s="143"/>
      <c r="S18" s="73"/>
      <c r="T18" s="73"/>
      <c r="U18" s="73"/>
    </row>
    <row r="19" spans="1:21" x14ac:dyDescent="0.35">
      <c r="A19" s="8"/>
      <c r="B19" s="9"/>
      <c r="C19" s="10" t="s">
        <v>35</v>
      </c>
      <c r="D19" s="13"/>
      <c r="E19" s="10"/>
      <c r="F19" s="9" t="s">
        <v>36</v>
      </c>
      <c r="G19" s="71"/>
      <c r="H19" s="16"/>
      <c r="I19" s="71"/>
      <c r="J19" s="71"/>
      <c r="K19" s="69">
        <v>0</v>
      </c>
      <c r="L19" s="17"/>
      <c r="N19" s="143"/>
      <c r="Q19" s="143"/>
      <c r="S19" s="73"/>
      <c r="T19" s="73"/>
      <c r="U19" s="73"/>
    </row>
    <row r="20" spans="1:21" x14ac:dyDescent="0.35">
      <c r="A20" s="8"/>
      <c r="B20" s="9"/>
      <c r="C20" s="10" t="s">
        <v>37</v>
      </c>
      <c r="D20" s="13"/>
      <c r="E20" s="10"/>
      <c r="F20" s="9" t="s">
        <v>38</v>
      </c>
      <c r="G20" s="70">
        <v>351876.57</v>
      </c>
      <c r="H20" s="16" t="s">
        <v>15</v>
      </c>
      <c r="I20" s="70">
        <v>351876.57</v>
      </c>
      <c r="J20" s="70"/>
      <c r="K20" s="69">
        <v>351876.57</v>
      </c>
      <c r="L20" s="17"/>
      <c r="N20" s="143"/>
      <c r="Q20" s="143"/>
      <c r="S20" s="73"/>
      <c r="T20" s="73"/>
      <c r="U20" s="73"/>
    </row>
    <row r="21" spans="1:21" x14ac:dyDescent="0.35">
      <c r="A21" s="8"/>
      <c r="B21" s="9"/>
      <c r="C21" s="10" t="s">
        <v>39</v>
      </c>
      <c r="D21" s="13"/>
      <c r="E21" s="10"/>
      <c r="F21" s="9" t="s">
        <v>40</v>
      </c>
      <c r="G21" s="70"/>
      <c r="H21" s="16"/>
      <c r="I21" s="70"/>
      <c r="J21" s="70"/>
      <c r="K21" s="69">
        <v>0</v>
      </c>
      <c r="L21" s="17"/>
      <c r="S21" s="73"/>
      <c r="T21" s="73"/>
      <c r="U21" s="73"/>
    </row>
    <row r="22" spans="1:21" x14ac:dyDescent="0.35">
      <c r="A22" s="8"/>
      <c r="B22" s="9"/>
      <c r="C22" s="10" t="s">
        <v>41</v>
      </c>
      <c r="D22" s="13"/>
      <c r="E22" s="10"/>
      <c r="F22" s="9" t="s">
        <v>42</v>
      </c>
      <c r="G22" s="70"/>
      <c r="H22" s="16"/>
      <c r="I22" s="70"/>
      <c r="J22" s="70"/>
      <c r="K22" s="69">
        <v>0</v>
      </c>
      <c r="L22" s="17"/>
      <c r="S22" s="73"/>
      <c r="T22" s="73"/>
      <c r="U22" s="73"/>
    </row>
    <row r="23" spans="1:21" x14ac:dyDescent="0.35">
      <c r="A23" s="8"/>
      <c r="B23" s="9"/>
      <c r="C23" s="10" t="s">
        <v>43</v>
      </c>
      <c r="D23" s="13"/>
      <c r="E23" s="10"/>
      <c r="F23" s="9" t="s">
        <v>44</v>
      </c>
      <c r="G23" s="70"/>
      <c r="H23" s="16"/>
      <c r="I23" s="70"/>
      <c r="J23" s="70"/>
      <c r="K23" s="69">
        <v>0</v>
      </c>
      <c r="L23" s="17"/>
      <c r="S23" s="73"/>
      <c r="T23" s="73"/>
      <c r="U23" s="73"/>
    </row>
    <row r="24" spans="1:21" x14ac:dyDescent="0.35">
      <c r="A24" s="9"/>
      <c r="B24" s="9"/>
      <c r="C24" s="19" t="s">
        <v>45</v>
      </c>
      <c r="D24" s="13"/>
      <c r="E24" s="19"/>
      <c r="F24" s="9" t="s">
        <v>46</v>
      </c>
      <c r="G24" s="72">
        <v>517.24</v>
      </c>
      <c r="H24" s="16" t="s">
        <v>24</v>
      </c>
      <c r="I24" s="72"/>
      <c r="J24" s="72">
        <v>517.24</v>
      </c>
      <c r="K24" s="69">
        <v>517.24</v>
      </c>
      <c r="L24" s="17"/>
      <c r="N24" s="143"/>
      <c r="Q24" s="143"/>
      <c r="S24" s="73"/>
      <c r="T24" s="73"/>
      <c r="U24" s="73"/>
    </row>
    <row r="25" spans="1:21" x14ac:dyDescent="0.35">
      <c r="A25" s="8"/>
      <c r="B25" s="9" t="s">
        <v>47</v>
      </c>
      <c r="C25" s="10"/>
      <c r="D25" s="13"/>
      <c r="E25" s="9" t="s">
        <v>48</v>
      </c>
      <c r="F25" s="10"/>
      <c r="G25" s="69">
        <v>4539748.01</v>
      </c>
      <c r="H25" s="9"/>
      <c r="I25" s="69">
        <v>3259292.42</v>
      </c>
      <c r="J25" s="69">
        <v>1280455.5900000001</v>
      </c>
      <c r="K25" s="69"/>
      <c r="L25" s="14"/>
      <c r="N25" s="143"/>
      <c r="P25" s="143"/>
      <c r="Q25" s="143"/>
      <c r="S25" s="73"/>
      <c r="T25" s="73"/>
      <c r="U25" s="73"/>
    </row>
    <row r="26" spans="1:21" x14ac:dyDescent="0.35">
      <c r="A26" s="8"/>
      <c r="B26" s="9"/>
      <c r="C26" s="10" t="s">
        <v>49</v>
      </c>
      <c r="D26" s="13"/>
      <c r="E26" s="10"/>
      <c r="F26" s="9" t="s">
        <v>50</v>
      </c>
      <c r="G26" s="70"/>
      <c r="H26" s="16"/>
      <c r="I26" s="70"/>
      <c r="J26" s="70"/>
      <c r="K26" s="69">
        <v>0</v>
      </c>
      <c r="L26" s="17"/>
      <c r="S26" s="73"/>
      <c r="T26" s="73"/>
      <c r="U26" s="73"/>
    </row>
    <row r="27" spans="1:21" x14ac:dyDescent="0.35">
      <c r="A27" s="8"/>
      <c r="B27" s="9"/>
      <c r="C27" s="10" t="s">
        <v>51</v>
      </c>
      <c r="D27" s="13"/>
      <c r="E27" s="10"/>
      <c r="F27" s="9" t="s">
        <v>52</v>
      </c>
      <c r="G27" s="70"/>
      <c r="H27" s="16"/>
      <c r="I27" s="70"/>
      <c r="J27" s="70"/>
      <c r="K27" s="69">
        <v>0</v>
      </c>
      <c r="L27" s="17"/>
      <c r="S27" s="73"/>
      <c r="T27" s="73"/>
      <c r="U27" s="73"/>
    </row>
    <row r="28" spans="1:21" x14ac:dyDescent="0.35">
      <c r="A28" s="8"/>
      <c r="B28" s="9"/>
      <c r="C28" s="10" t="s">
        <v>53</v>
      </c>
      <c r="D28" s="13"/>
      <c r="E28" s="10"/>
      <c r="F28" s="9" t="s">
        <v>54</v>
      </c>
      <c r="G28" s="70"/>
      <c r="H28" s="16"/>
      <c r="I28" s="70"/>
      <c r="J28" s="70"/>
      <c r="K28" s="69">
        <v>0</v>
      </c>
      <c r="L28" s="17"/>
      <c r="S28" s="73"/>
      <c r="T28" s="73"/>
      <c r="U28" s="73"/>
    </row>
    <row r="29" spans="1:21" x14ac:dyDescent="0.35">
      <c r="A29" s="8"/>
      <c r="B29" s="9"/>
      <c r="C29" s="10" t="s">
        <v>55</v>
      </c>
      <c r="D29" s="13"/>
      <c r="E29" s="10"/>
      <c r="F29" s="9" t="s">
        <v>56</v>
      </c>
      <c r="G29" s="70"/>
      <c r="H29" s="16"/>
      <c r="I29" s="70"/>
      <c r="J29" s="70"/>
      <c r="K29" s="69">
        <v>0</v>
      </c>
      <c r="L29" s="17"/>
      <c r="S29" s="73"/>
      <c r="T29" s="73"/>
      <c r="U29" s="73"/>
    </row>
    <row r="30" spans="1:21" x14ac:dyDescent="0.35">
      <c r="A30" s="8"/>
      <c r="B30" s="9"/>
      <c r="C30" s="10" t="s">
        <v>57</v>
      </c>
      <c r="D30" s="13"/>
      <c r="E30" s="10"/>
      <c r="F30" s="9" t="s">
        <v>58</v>
      </c>
      <c r="G30" s="70">
        <v>4539748.01</v>
      </c>
      <c r="H30" s="16" t="s">
        <v>59</v>
      </c>
      <c r="I30" s="70">
        <v>3259292.42</v>
      </c>
      <c r="J30" s="70">
        <v>1280455.5900000001</v>
      </c>
      <c r="K30" s="69">
        <v>4539748.01</v>
      </c>
      <c r="L30" s="17" t="s">
        <v>266</v>
      </c>
      <c r="N30" s="143"/>
      <c r="P30" s="143"/>
      <c r="Q30" s="143"/>
      <c r="S30" s="73"/>
      <c r="T30" s="73"/>
      <c r="U30" s="73"/>
    </row>
    <row r="31" spans="1:21" x14ac:dyDescent="0.35">
      <c r="A31" s="8"/>
      <c r="B31" s="9"/>
      <c r="C31" s="10" t="s">
        <v>60</v>
      </c>
      <c r="D31" s="13"/>
      <c r="E31" s="10"/>
      <c r="F31" s="9" t="s">
        <v>61</v>
      </c>
      <c r="G31" s="70"/>
      <c r="H31" s="16"/>
      <c r="I31" s="70"/>
      <c r="J31" s="70"/>
      <c r="K31" s="69">
        <v>0</v>
      </c>
      <c r="L31" s="17"/>
      <c r="S31" s="73"/>
      <c r="T31" s="73"/>
      <c r="U31" s="73"/>
    </row>
    <row r="32" spans="1:21" x14ac:dyDescent="0.35">
      <c r="A32" s="8"/>
      <c r="B32" s="9"/>
      <c r="C32" s="10" t="s">
        <v>62</v>
      </c>
      <c r="D32" s="13"/>
      <c r="E32" s="10"/>
      <c r="F32" s="9" t="s">
        <v>63</v>
      </c>
      <c r="G32" s="70"/>
      <c r="H32" s="16"/>
      <c r="I32" s="70"/>
      <c r="J32" s="70"/>
      <c r="K32" s="69">
        <v>0</v>
      </c>
      <c r="L32" s="17"/>
      <c r="S32" s="73"/>
      <c r="T32" s="73"/>
      <c r="U32" s="73"/>
    </row>
    <row r="33" spans="1:21" x14ac:dyDescent="0.35">
      <c r="A33" s="9"/>
      <c r="B33" s="9"/>
      <c r="C33" s="10" t="s">
        <v>64</v>
      </c>
      <c r="D33" s="9"/>
      <c r="E33" s="10"/>
      <c r="F33" s="9" t="s">
        <v>65</v>
      </c>
      <c r="G33" s="70"/>
      <c r="H33" s="16"/>
      <c r="I33" s="70"/>
      <c r="J33" s="70"/>
      <c r="K33" s="69">
        <v>0</v>
      </c>
      <c r="L33" s="17"/>
      <c r="N33" s="143"/>
      <c r="P33" s="143"/>
      <c r="Q33" s="143"/>
      <c r="S33" s="73"/>
      <c r="T33" s="73"/>
      <c r="U33" s="73"/>
    </row>
    <row r="34" spans="1:21" x14ac:dyDescent="0.35">
      <c r="A34" s="9"/>
      <c r="B34" s="9"/>
      <c r="C34" s="10" t="s">
        <v>66</v>
      </c>
      <c r="D34" s="9"/>
      <c r="E34" s="9"/>
      <c r="F34" s="9" t="s">
        <v>67</v>
      </c>
      <c r="G34" s="70"/>
      <c r="H34" s="16"/>
      <c r="I34" s="70"/>
      <c r="J34" s="70"/>
      <c r="K34" s="69">
        <v>0</v>
      </c>
      <c r="L34" s="17"/>
      <c r="S34" s="73"/>
      <c r="T34" s="73"/>
      <c r="U34" s="73"/>
    </row>
    <row r="35" spans="1:21" x14ac:dyDescent="0.35">
      <c r="A35" s="9"/>
      <c r="B35" s="9"/>
      <c r="C35" s="10" t="s">
        <v>68</v>
      </c>
      <c r="D35" s="9"/>
      <c r="E35" s="10"/>
      <c r="F35" s="9" t="s">
        <v>69</v>
      </c>
      <c r="G35" s="70"/>
      <c r="H35" s="16"/>
      <c r="I35" s="70"/>
      <c r="J35" s="70"/>
      <c r="K35" s="69">
        <v>0</v>
      </c>
      <c r="L35" s="17"/>
      <c r="N35" s="143"/>
      <c r="P35" s="143"/>
      <c r="Q35" s="143"/>
      <c r="S35" s="73"/>
      <c r="T35" s="73"/>
      <c r="U35" s="73"/>
    </row>
    <row r="36" spans="1:21" x14ac:dyDescent="0.35">
      <c r="A36" s="9"/>
      <c r="B36" s="9"/>
      <c r="C36" s="10" t="s">
        <v>70</v>
      </c>
      <c r="D36" s="9"/>
      <c r="E36" s="9"/>
      <c r="F36" s="9" t="s">
        <v>71</v>
      </c>
      <c r="G36" s="70"/>
      <c r="H36" s="16"/>
      <c r="I36" s="70"/>
      <c r="J36" s="70"/>
      <c r="K36" s="69">
        <v>0</v>
      </c>
      <c r="L36" s="17"/>
      <c r="S36" s="73"/>
      <c r="T36" s="73"/>
      <c r="U36" s="73"/>
    </row>
    <row r="37" spans="1:21" x14ac:dyDescent="0.35">
      <c r="A37" s="9"/>
      <c r="B37" s="9"/>
      <c r="C37" s="10" t="s">
        <v>72</v>
      </c>
      <c r="D37" s="9"/>
      <c r="E37" s="21"/>
      <c r="F37" s="9" t="s">
        <v>73</v>
      </c>
      <c r="G37" s="70"/>
      <c r="H37" s="16"/>
      <c r="I37" s="70"/>
      <c r="J37" s="70"/>
      <c r="K37" s="69">
        <v>0</v>
      </c>
      <c r="L37" s="17"/>
      <c r="S37" s="73"/>
      <c r="T37" s="73"/>
      <c r="U37" s="73"/>
    </row>
    <row r="38" spans="1:21" x14ac:dyDescent="0.35">
      <c r="A38" s="9"/>
      <c r="B38" s="9"/>
      <c r="C38" s="10" t="s">
        <v>74</v>
      </c>
      <c r="D38" s="9"/>
      <c r="E38" s="9"/>
      <c r="F38" s="9" t="s">
        <v>75</v>
      </c>
      <c r="G38" s="70"/>
      <c r="H38" s="16"/>
      <c r="I38" s="70"/>
      <c r="J38" s="70"/>
      <c r="K38" s="69">
        <v>0</v>
      </c>
      <c r="L38" s="17"/>
      <c r="S38" s="73"/>
      <c r="T38" s="73"/>
      <c r="U38" s="73"/>
    </row>
    <row r="39" spans="1:21" x14ac:dyDescent="0.35">
      <c r="A39" s="9"/>
      <c r="B39" s="9"/>
      <c r="C39" s="10" t="s">
        <v>76</v>
      </c>
      <c r="D39" s="9"/>
      <c r="E39" s="9"/>
      <c r="F39" s="9" t="s">
        <v>77</v>
      </c>
      <c r="G39" s="70"/>
      <c r="H39" s="16"/>
      <c r="I39" s="70"/>
      <c r="J39" s="70"/>
      <c r="K39" s="69">
        <v>0</v>
      </c>
      <c r="L39" s="17"/>
      <c r="S39" s="73"/>
      <c r="T39" s="73"/>
      <c r="U39" s="73"/>
    </row>
    <row r="40" spans="1:21" x14ac:dyDescent="0.35">
      <c r="A40" s="9"/>
      <c r="B40" s="9"/>
      <c r="C40" s="10" t="s">
        <v>78</v>
      </c>
      <c r="D40" s="9"/>
      <c r="E40" s="9"/>
      <c r="F40" s="9" t="s">
        <v>79</v>
      </c>
      <c r="G40" s="70"/>
      <c r="H40" s="16"/>
      <c r="I40" s="70"/>
      <c r="J40" s="70"/>
      <c r="K40" s="69">
        <v>0</v>
      </c>
      <c r="L40" s="17"/>
      <c r="S40" s="73"/>
      <c r="T40" s="73"/>
      <c r="U40" s="73"/>
    </row>
    <row r="41" spans="1:21" x14ac:dyDescent="0.35">
      <c r="A41" s="9"/>
      <c r="B41" s="9"/>
      <c r="C41" s="10" t="s">
        <v>80</v>
      </c>
      <c r="D41" s="9"/>
      <c r="E41" s="9"/>
      <c r="F41" s="9" t="s">
        <v>81</v>
      </c>
      <c r="G41" s="70"/>
      <c r="H41" s="16"/>
      <c r="I41" s="70"/>
      <c r="J41" s="70"/>
      <c r="K41" s="69">
        <v>0</v>
      </c>
      <c r="L41" s="17"/>
      <c r="S41" s="73"/>
      <c r="T41" s="73"/>
      <c r="U41" s="73"/>
    </row>
    <row r="42" spans="1:21" x14ac:dyDescent="0.35">
      <c r="A42" s="9"/>
      <c r="B42" s="9" t="s">
        <v>82</v>
      </c>
      <c r="C42" s="10"/>
      <c r="D42" s="9"/>
      <c r="E42" s="9" t="s">
        <v>83</v>
      </c>
      <c r="F42" s="9"/>
      <c r="G42" s="69">
        <v>12045986.84</v>
      </c>
      <c r="H42" s="9"/>
      <c r="I42" s="69">
        <v>2176326.7100000004</v>
      </c>
      <c r="J42" s="69">
        <v>9869660.1300000008</v>
      </c>
      <c r="K42" s="69"/>
      <c r="L42" s="14"/>
      <c r="N42" s="143"/>
      <c r="P42" s="143"/>
      <c r="Q42" s="143"/>
      <c r="S42" s="73"/>
      <c r="T42" s="73"/>
      <c r="U42" s="73"/>
    </row>
    <row r="43" spans="1:21" x14ac:dyDescent="0.35">
      <c r="A43" s="9"/>
      <c r="B43" s="9"/>
      <c r="C43" s="10" t="s">
        <v>84</v>
      </c>
      <c r="D43" s="9"/>
      <c r="E43" s="9"/>
      <c r="F43" s="9" t="s">
        <v>85</v>
      </c>
      <c r="G43" s="70"/>
      <c r="H43" s="16"/>
      <c r="I43" s="70"/>
      <c r="J43" s="70"/>
      <c r="K43" s="69">
        <v>0</v>
      </c>
      <c r="L43" s="17"/>
      <c r="S43" s="73"/>
      <c r="T43" s="73"/>
      <c r="U43" s="73"/>
    </row>
    <row r="44" spans="1:21" x14ac:dyDescent="0.35">
      <c r="A44" s="9"/>
      <c r="B44" s="9"/>
      <c r="C44" s="10" t="s">
        <v>86</v>
      </c>
      <c r="D44" s="9"/>
      <c r="E44" s="9"/>
      <c r="F44" s="9" t="s">
        <v>87</v>
      </c>
      <c r="G44" s="70">
        <v>7338646.8799999999</v>
      </c>
      <c r="H44" s="16" t="s">
        <v>24</v>
      </c>
      <c r="I44" s="70"/>
      <c r="J44" s="70">
        <v>7338646.8799999999</v>
      </c>
      <c r="K44" s="69">
        <v>7338646.8799999999</v>
      </c>
      <c r="L44" s="17"/>
      <c r="N44" s="143"/>
      <c r="Q44" s="143"/>
      <c r="S44" s="73"/>
      <c r="T44" s="73"/>
      <c r="U44" s="73"/>
    </row>
    <row r="45" spans="1:21" x14ac:dyDescent="0.35">
      <c r="A45" s="9"/>
      <c r="B45" s="9"/>
      <c r="C45" s="10" t="s">
        <v>88</v>
      </c>
      <c r="D45" s="9"/>
      <c r="E45" s="9"/>
      <c r="F45" s="9" t="s">
        <v>89</v>
      </c>
      <c r="G45" s="70"/>
      <c r="H45" s="16"/>
      <c r="I45" s="70"/>
      <c r="J45" s="70"/>
      <c r="K45" s="69">
        <v>0</v>
      </c>
      <c r="L45" s="17"/>
      <c r="S45" s="73"/>
      <c r="T45" s="73"/>
      <c r="U45" s="73"/>
    </row>
    <row r="46" spans="1:21" x14ac:dyDescent="0.35">
      <c r="A46" s="9"/>
      <c r="B46" s="9"/>
      <c r="C46" s="10" t="s">
        <v>90</v>
      </c>
      <c r="D46" s="9"/>
      <c r="E46" s="9"/>
      <c r="F46" s="9" t="s">
        <v>91</v>
      </c>
      <c r="G46" s="70"/>
      <c r="H46" s="16"/>
      <c r="I46" s="70"/>
      <c r="J46" s="70"/>
      <c r="K46" s="69">
        <v>0</v>
      </c>
      <c r="L46" s="17"/>
      <c r="N46" s="143"/>
      <c r="Q46" s="143"/>
      <c r="S46" s="73"/>
      <c r="T46" s="73"/>
      <c r="U46" s="73"/>
    </row>
    <row r="47" spans="1:21" x14ac:dyDescent="0.35">
      <c r="A47" s="9"/>
      <c r="B47" s="9"/>
      <c r="C47" s="10" t="s">
        <v>92</v>
      </c>
      <c r="D47" s="9"/>
      <c r="E47" s="9"/>
      <c r="F47" s="9" t="s">
        <v>93</v>
      </c>
      <c r="G47" s="70">
        <v>1581759.12</v>
      </c>
      <c r="H47" s="16" t="s">
        <v>15</v>
      </c>
      <c r="I47" s="70">
        <v>1581759.12</v>
      </c>
      <c r="J47" s="70"/>
      <c r="K47" s="69">
        <v>1581759.12</v>
      </c>
      <c r="L47" s="17"/>
      <c r="N47" s="143"/>
      <c r="P47" s="143"/>
      <c r="S47" s="73"/>
      <c r="T47" s="73"/>
      <c r="U47" s="73"/>
    </row>
    <row r="48" spans="1:21" x14ac:dyDescent="0.35">
      <c r="A48" s="9"/>
      <c r="B48" s="9"/>
      <c r="C48" s="10" t="s">
        <v>94</v>
      </c>
      <c r="D48" s="9"/>
      <c r="E48" s="9"/>
      <c r="F48" s="9" t="s">
        <v>95</v>
      </c>
      <c r="G48" s="70">
        <v>292563.96999999997</v>
      </c>
      <c r="H48" s="16" t="s">
        <v>24</v>
      </c>
      <c r="I48" s="70"/>
      <c r="J48" s="70">
        <v>292563.96999999997</v>
      </c>
      <c r="K48" s="69">
        <v>292563.96999999997</v>
      </c>
      <c r="L48" s="17"/>
      <c r="S48" s="73"/>
      <c r="T48" s="73"/>
      <c r="U48" s="73"/>
    </row>
    <row r="49" spans="1:21" x14ac:dyDescent="0.35">
      <c r="A49" s="9"/>
      <c r="B49" s="9"/>
      <c r="C49" s="10" t="s">
        <v>96</v>
      </c>
      <c r="D49" s="9"/>
      <c r="E49" s="9"/>
      <c r="F49" s="9" t="s">
        <v>97</v>
      </c>
      <c r="G49" s="70">
        <v>519025.99</v>
      </c>
      <c r="H49" s="16" t="s">
        <v>15</v>
      </c>
      <c r="I49" s="70">
        <v>519025.99</v>
      </c>
      <c r="J49" s="70"/>
      <c r="K49" s="69">
        <v>519025.99</v>
      </c>
      <c r="L49" s="17"/>
      <c r="N49" s="143"/>
      <c r="P49" s="143"/>
      <c r="S49" s="73"/>
      <c r="T49" s="73"/>
      <c r="U49" s="73"/>
    </row>
    <row r="50" spans="1:21" x14ac:dyDescent="0.35">
      <c r="A50" s="9"/>
      <c r="B50" s="9"/>
      <c r="C50" s="10" t="s">
        <v>98</v>
      </c>
      <c r="D50" s="9"/>
      <c r="E50" s="9"/>
      <c r="F50" s="9" t="s">
        <v>99</v>
      </c>
      <c r="G50" s="70"/>
      <c r="H50" s="16"/>
      <c r="I50" s="70"/>
      <c r="J50" s="70"/>
      <c r="K50" s="69">
        <v>0</v>
      </c>
      <c r="L50" s="17"/>
      <c r="S50" s="73"/>
      <c r="T50" s="73"/>
      <c r="U50" s="73"/>
    </row>
    <row r="51" spans="1:21" x14ac:dyDescent="0.35">
      <c r="A51" s="9"/>
      <c r="B51" s="9"/>
      <c r="C51" s="10" t="s">
        <v>100</v>
      </c>
      <c r="D51" s="9"/>
      <c r="E51" s="9"/>
      <c r="F51" s="9" t="s">
        <v>101</v>
      </c>
      <c r="G51" s="70"/>
      <c r="H51" s="16"/>
      <c r="I51" s="70"/>
      <c r="J51" s="70"/>
      <c r="K51" s="69">
        <v>0</v>
      </c>
      <c r="L51" s="17"/>
      <c r="S51" s="73"/>
      <c r="T51" s="73"/>
      <c r="U51" s="73"/>
    </row>
    <row r="52" spans="1:21" x14ac:dyDescent="0.35">
      <c r="A52" s="9"/>
      <c r="B52" s="9"/>
      <c r="C52" s="10" t="s">
        <v>102</v>
      </c>
      <c r="D52" s="9"/>
      <c r="E52" s="9"/>
      <c r="F52" s="9" t="s">
        <v>103</v>
      </c>
      <c r="G52" s="70">
        <v>145770.93</v>
      </c>
      <c r="H52" s="16" t="s">
        <v>24</v>
      </c>
      <c r="I52" s="70"/>
      <c r="J52" s="70">
        <v>145770.93</v>
      </c>
      <c r="K52" s="69">
        <v>145770.93</v>
      </c>
      <c r="L52" s="17"/>
      <c r="N52" s="143"/>
      <c r="Q52" s="143"/>
      <c r="S52" s="73"/>
      <c r="T52" s="73"/>
      <c r="U52" s="73"/>
    </row>
    <row r="53" spans="1:21" x14ac:dyDescent="0.35">
      <c r="A53" s="9"/>
      <c r="B53" s="9"/>
      <c r="C53" s="10" t="s">
        <v>104</v>
      </c>
      <c r="D53" s="9"/>
      <c r="E53" s="9"/>
      <c r="F53" s="9" t="s">
        <v>105</v>
      </c>
      <c r="G53" s="70"/>
      <c r="H53" s="16"/>
      <c r="I53" s="70"/>
      <c r="J53" s="70"/>
      <c r="K53" s="69">
        <v>0</v>
      </c>
      <c r="L53" s="17"/>
      <c r="S53" s="73"/>
      <c r="T53" s="73"/>
      <c r="U53" s="73"/>
    </row>
    <row r="54" spans="1:21" x14ac:dyDescent="0.35">
      <c r="A54" s="9"/>
      <c r="B54" s="9"/>
      <c r="C54" s="10" t="s">
        <v>106</v>
      </c>
      <c r="D54" s="9"/>
      <c r="E54" s="9"/>
      <c r="F54" s="9" t="s">
        <v>107</v>
      </c>
      <c r="G54" s="70">
        <v>39535.279999999999</v>
      </c>
      <c r="H54" s="16" t="s">
        <v>24</v>
      </c>
      <c r="I54" s="70"/>
      <c r="J54" s="70">
        <v>39535.279999999999</v>
      </c>
      <c r="K54" s="69">
        <v>39535.279999999999</v>
      </c>
      <c r="L54" s="17"/>
      <c r="N54" s="143"/>
      <c r="Q54" s="143"/>
      <c r="S54" s="73"/>
      <c r="T54" s="73"/>
      <c r="U54" s="73"/>
    </row>
    <row r="55" spans="1:21" x14ac:dyDescent="0.35">
      <c r="A55" s="9"/>
      <c r="B55" s="9"/>
      <c r="C55" s="10" t="s">
        <v>108</v>
      </c>
      <c r="D55" s="9"/>
      <c r="E55" s="9"/>
      <c r="F55" s="9" t="s">
        <v>109</v>
      </c>
      <c r="G55" s="70">
        <v>782685.18</v>
      </c>
      <c r="H55" s="16" t="s">
        <v>24</v>
      </c>
      <c r="I55" s="70"/>
      <c r="J55" s="70">
        <v>782685.18</v>
      </c>
      <c r="K55" s="69">
        <v>782685.18</v>
      </c>
      <c r="L55" s="17"/>
      <c r="N55" s="143"/>
      <c r="Q55" s="143"/>
      <c r="S55" s="73"/>
      <c r="T55" s="73"/>
      <c r="U55" s="73"/>
    </row>
    <row r="56" spans="1:21" x14ac:dyDescent="0.35">
      <c r="A56" s="9"/>
      <c r="B56" s="9"/>
      <c r="C56" s="10" t="s">
        <v>110</v>
      </c>
      <c r="D56" s="9"/>
      <c r="E56" s="9"/>
      <c r="F56" s="9" t="s">
        <v>111</v>
      </c>
      <c r="G56" s="70"/>
      <c r="H56" s="16"/>
      <c r="I56" s="70"/>
      <c r="J56" s="70"/>
      <c r="K56" s="69">
        <v>0</v>
      </c>
      <c r="L56" s="17"/>
      <c r="N56" s="143"/>
      <c r="Q56" s="143"/>
      <c r="S56" s="73"/>
      <c r="T56" s="73"/>
      <c r="U56" s="73"/>
    </row>
    <row r="57" spans="1:21" x14ac:dyDescent="0.35">
      <c r="A57" s="9"/>
      <c r="B57" s="9"/>
      <c r="C57" s="10" t="s">
        <v>112</v>
      </c>
      <c r="D57" s="9"/>
      <c r="E57" s="9"/>
      <c r="F57" s="9" t="s">
        <v>113</v>
      </c>
      <c r="G57" s="70"/>
      <c r="H57" s="16"/>
      <c r="I57" s="70"/>
      <c r="J57" s="70"/>
      <c r="K57" s="69">
        <v>0</v>
      </c>
      <c r="L57" s="17"/>
      <c r="S57" s="73"/>
      <c r="T57" s="73"/>
      <c r="U57" s="73"/>
    </row>
    <row r="58" spans="1:21" x14ac:dyDescent="0.35">
      <c r="A58" s="9"/>
      <c r="B58" s="9"/>
      <c r="C58" s="10" t="s">
        <v>114</v>
      </c>
      <c r="D58" s="9"/>
      <c r="E58" s="9"/>
      <c r="F58" s="9" t="s">
        <v>115</v>
      </c>
      <c r="G58" s="70"/>
      <c r="H58" s="16"/>
      <c r="I58" s="70"/>
      <c r="J58" s="70"/>
      <c r="K58" s="69">
        <v>0</v>
      </c>
      <c r="L58" s="17"/>
      <c r="S58" s="73"/>
      <c r="T58" s="73"/>
      <c r="U58" s="73"/>
    </row>
    <row r="59" spans="1:21" x14ac:dyDescent="0.35">
      <c r="A59" s="9"/>
      <c r="B59" s="9"/>
      <c r="C59" s="10" t="s">
        <v>116</v>
      </c>
      <c r="D59" s="9"/>
      <c r="E59" s="9"/>
      <c r="F59" s="9" t="s">
        <v>117</v>
      </c>
      <c r="G59" s="70">
        <v>49903.39</v>
      </c>
      <c r="H59" s="16" t="s">
        <v>24</v>
      </c>
      <c r="I59" s="70"/>
      <c r="J59" s="70">
        <v>49903.39</v>
      </c>
      <c r="K59" s="69">
        <v>49903.39</v>
      </c>
      <c r="L59" s="17"/>
      <c r="S59" s="73"/>
      <c r="T59" s="73"/>
      <c r="U59" s="73"/>
    </row>
    <row r="60" spans="1:21" x14ac:dyDescent="0.35">
      <c r="A60" s="9"/>
      <c r="B60" s="9"/>
      <c r="C60" s="10" t="s">
        <v>118</v>
      </c>
      <c r="D60" s="9"/>
      <c r="E60" s="9"/>
      <c r="F60" s="9" t="s">
        <v>119</v>
      </c>
      <c r="G60" s="70">
        <v>75541.600000000006</v>
      </c>
      <c r="H60" s="16" t="s">
        <v>15</v>
      </c>
      <c r="I60" s="70">
        <v>75541.600000000006</v>
      </c>
      <c r="J60" s="70"/>
      <c r="K60" s="69">
        <v>75541.600000000006</v>
      </c>
      <c r="L60" s="17"/>
      <c r="N60" s="143"/>
      <c r="Q60" s="143"/>
      <c r="S60" s="73"/>
      <c r="T60" s="73"/>
      <c r="U60" s="73"/>
    </row>
    <row r="61" spans="1:21" x14ac:dyDescent="0.35">
      <c r="A61" s="9"/>
      <c r="B61" s="9"/>
      <c r="C61" s="10" t="s">
        <v>120</v>
      </c>
      <c r="D61" s="9"/>
      <c r="E61" s="9"/>
      <c r="F61" s="9" t="s">
        <v>121</v>
      </c>
      <c r="G61" s="70">
        <v>373893.55</v>
      </c>
      <c r="H61" s="16" t="s">
        <v>24</v>
      </c>
      <c r="I61" s="70"/>
      <c r="J61" s="70">
        <v>373893.55</v>
      </c>
      <c r="K61" s="69">
        <v>373893.55</v>
      </c>
      <c r="L61" s="17"/>
      <c r="N61" s="143"/>
      <c r="P61" s="143"/>
      <c r="S61" s="73"/>
      <c r="T61" s="73"/>
      <c r="U61" s="73"/>
    </row>
    <row r="62" spans="1:21" x14ac:dyDescent="0.35">
      <c r="A62" s="9"/>
      <c r="B62" s="9"/>
      <c r="C62" s="10" t="s">
        <v>122</v>
      </c>
      <c r="D62" s="9"/>
      <c r="E62" s="9"/>
      <c r="F62" s="9" t="s">
        <v>123</v>
      </c>
      <c r="G62" s="70">
        <v>820493.44</v>
      </c>
      <c r="H62" s="16" t="s">
        <v>24</v>
      </c>
      <c r="I62" s="70"/>
      <c r="J62" s="70">
        <v>820493.44</v>
      </c>
      <c r="K62" s="69">
        <v>820493.44</v>
      </c>
      <c r="L62" s="17"/>
      <c r="N62" s="143"/>
      <c r="Q62" s="143"/>
      <c r="S62" s="73"/>
      <c r="T62" s="73"/>
      <c r="U62" s="73"/>
    </row>
    <row r="63" spans="1:21" x14ac:dyDescent="0.35">
      <c r="A63" s="9"/>
      <c r="B63" s="9"/>
      <c r="C63" s="10" t="s">
        <v>124</v>
      </c>
      <c r="D63" s="9"/>
      <c r="E63" s="9"/>
      <c r="F63" s="9" t="s">
        <v>125</v>
      </c>
      <c r="G63" s="70">
        <v>26167.51</v>
      </c>
      <c r="H63" s="16" t="s">
        <v>24</v>
      </c>
      <c r="I63" s="70"/>
      <c r="J63" s="70">
        <v>26167.51</v>
      </c>
      <c r="K63" s="69">
        <v>26167.51</v>
      </c>
      <c r="L63" s="17"/>
      <c r="N63" s="143"/>
      <c r="Q63" s="143"/>
      <c r="S63" s="73"/>
      <c r="T63" s="73"/>
      <c r="U63" s="73"/>
    </row>
    <row r="64" spans="1:21" ht="15" hidden="1" customHeight="1" x14ac:dyDescent="0.35">
      <c r="A64" s="9"/>
      <c r="B64" s="9" t="s">
        <v>126</v>
      </c>
      <c r="C64" s="10"/>
      <c r="D64" s="9"/>
      <c r="E64" s="9" t="s">
        <v>127</v>
      </c>
      <c r="F64" s="9"/>
      <c r="G64" s="69"/>
      <c r="H64" s="9"/>
      <c r="I64" s="69"/>
      <c r="J64" s="69"/>
      <c r="K64" s="69"/>
      <c r="L64" s="14"/>
      <c r="S64" s="73"/>
      <c r="T64" s="73"/>
      <c r="U64" s="73"/>
    </row>
    <row r="65" spans="1:21" ht="15" hidden="1" customHeight="1" x14ac:dyDescent="0.35">
      <c r="A65" s="9"/>
      <c r="B65" s="9" t="s">
        <v>128</v>
      </c>
      <c r="C65" s="10"/>
      <c r="D65" s="9"/>
      <c r="E65" s="9" t="s">
        <v>127</v>
      </c>
      <c r="F65" s="9"/>
      <c r="G65" s="69"/>
      <c r="H65" s="9"/>
      <c r="I65" s="69"/>
      <c r="J65" s="69"/>
      <c r="K65" s="69"/>
      <c r="L65" s="14"/>
      <c r="S65" s="73"/>
      <c r="T65" s="73"/>
      <c r="U65" s="73"/>
    </row>
    <row r="66" spans="1:21" x14ac:dyDescent="0.35">
      <c r="A66" s="9"/>
      <c r="B66" s="9" t="s">
        <v>129</v>
      </c>
      <c r="C66" s="10"/>
      <c r="D66" s="9"/>
      <c r="E66" s="9" t="s">
        <v>130</v>
      </c>
      <c r="F66" s="9"/>
      <c r="G66" s="69">
        <v>0</v>
      </c>
      <c r="H66" s="9"/>
      <c r="I66" s="69">
        <v>0</v>
      </c>
      <c r="J66" s="69">
        <v>0</v>
      </c>
      <c r="K66" s="69"/>
      <c r="L66" s="14"/>
      <c r="S66" s="73"/>
      <c r="T66" s="73"/>
      <c r="U66" s="73"/>
    </row>
    <row r="67" spans="1:21" x14ac:dyDescent="0.35">
      <c r="A67" s="9"/>
      <c r="B67" s="9"/>
      <c r="C67" s="10" t="s">
        <v>131</v>
      </c>
      <c r="D67" s="9"/>
      <c r="E67" s="9"/>
      <c r="F67" s="9" t="s">
        <v>132</v>
      </c>
      <c r="G67" s="70"/>
      <c r="H67" s="16"/>
      <c r="I67" s="70"/>
      <c r="J67" s="70">
        <v>0</v>
      </c>
      <c r="K67" s="69">
        <v>0</v>
      </c>
      <c r="L67" s="17"/>
      <c r="S67" s="73"/>
      <c r="T67" s="73"/>
      <c r="U67" s="73"/>
    </row>
    <row r="68" spans="1:21" x14ac:dyDescent="0.35">
      <c r="A68" s="9"/>
      <c r="B68" s="9"/>
      <c r="C68" s="10" t="s">
        <v>133</v>
      </c>
      <c r="D68" s="9"/>
      <c r="E68" s="9"/>
      <c r="F68" s="9" t="s">
        <v>134</v>
      </c>
      <c r="G68" s="70"/>
      <c r="H68" s="16"/>
      <c r="I68" s="70"/>
      <c r="J68" s="70"/>
      <c r="K68" s="69">
        <v>0</v>
      </c>
      <c r="L68" s="17"/>
      <c r="S68" s="73"/>
      <c r="T68" s="73"/>
      <c r="U68" s="73"/>
    </row>
    <row r="69" spans="1:21" x14ac:dyDescent="0.35">
      <c r="A69" s="9"/>
      <c r="B69" s="9"/>
      <c r="C69" s="10" t="s">
        <v>135</v>
      </c>
      <c r="D69" s="9"/>
      <c r="E69" s="9"/>
      <c r="F69" s="9" t="s">
        <v>136</v>
      </c>
      <c r="G69" s="70"/>
      <c r="H69" s="16"/>
      <c r="I69" s="70"/>
      <c r="J69" s="70"/>
      <c r="K69" s="69">
        <v>0</v>
      </c>
      <c r="L69" s="17"/>
      <c r="S69" s="73"/>
      <c r="T69" s="73"/>
      <c r="U69" s="73"/>
    </row>
    <row r="70" spans="1:21" x14ac:dyDescent="0.35">
      <c r="A70" s="9"/>
      <c r="B70" s="9" t="s">
        <v>137</v>
      </c>
      <c r="C70" s="10"/>
      <c r="D70" s="9"/>
      <c r="E70" s="9" t="s">
        <v>138</v>
      </c>
      <c r="F70" s="9"/>
      <c r="G70" s="69">
        <v>3060973.46</v>
      </c>
      <c r="H70" s="9"/>
      <c r="I70" s="69">
        <v>0</v>
      </c>
      <c r="J70" s="69">
        <v>3060973.46</v>
      </c>
      <c r="K70" s="69"/>
      <c r="L70" s="14"/>
      <c r="N70" s="143"/>
      <c r="Q70" s="143"/>
      <c r="S70" s="73"/>
      <c r="T70" s="73"/>
      <c r="U70" s="73"/>
    </row>
    <row r="71" spans="1:21" x14ac:dyDescent="0.35">
      <c r="A71" s="9"/>
      <c r="B71" s="9"/>
      <c r="C71" s="10" t="s">
        <v>139</v>
      </c>
      <c r="D71" s="9"/>
      <c r="E71" s="9"/>
      <c r="F71" s="9" t="s">
        <v>140</v>
      </c>
      <c r="G71" s="70"/>
      <c r="H71" s="16"/>
      <c r="I71" s="70"/>
      <c r="J71" s="70"/>
      <c r="K71" s="69">
        <v>0</v>
      </c>
      <c r="L71" s="17"/>
      <c r="S71" s="73"/>
      <c r="T71" s="73"/>
      <c r="U71" s="73"/>
    </row>
    <row r="72" spans="1:21" x14ac:dyDescent="0.35">
      <c r="A72" s="9"/>
      <c r="B72" s="9"/>
      <c r="C72" s="10" t="s">
        <v>141</v>
      </c>
      <c r="D72" s="9"/>
      <c r="E72" s="9"/>
      <c r="F72" s="9" t="s">
        <v>142</v>
      </c>
      <c r="G72" s="70">
        <v>2471165</v>
      </c>
      <c r="H72" s="16" t="s">
        <v>24</v>
      </c>
      <c r="I72" s="70"/>
      <c r="J72" s="70">
        <v>2471165</v>
      </c>
      <c r="K72" s="69">
        <v>2471165</v>
      </c>
      <c r="L72" s="17"/>
      <c r="N72" s="143"/>
      <c r="Q72" s="143"/>
      <c r="S72" s="73"/>
      <c r="T72" s="73"/>
      <c r="U72" s="73"/>
    </row>
    <row r="73" spans="1:21" x14ac:dyDescent="0.35">
      <c r="A73" s="9"/>
      <c r="B73" s="9"/>
      <c r="C73" s="10" t="s">
        <v>143</v>
      </c>
      <c r="D73" s="9"/>
      <c r="E73" s="9"/>
      <c r="F73" s="9" t="s">
        <v>144</v>
      </c>
      <c r="G73" s="70">
        <v>589808.46</v>
      </c>
      <c r="H73" s="16" t="s">
        <v>24</v>
      </c>
      <c r="I73" s="70"/>
      <c r="J73" s="70">
        <v>589808.46</v>
      </c>
      <c r="K73" s="69">
        <v>589808.46</v>
      </c>
      <c r="L73" s="17"/>
      <c r="N73" s="143"/>
      <c r="Q73" s="143"/>
      <c r="S73" s="73"/>
      <c r="T73" s="73"/>
      <c r="U73" s="73"/>
    </row>
    <row r="74" spans="1:21" ht="15" hidden="1" customHeight="1" x14ac:dyDescent="0.35">
      <c r="A74" s="9"/>
      <c r="B74" s="9" t="s">
        <v>145</v>
      </c>
      <c r="C74" s="10"/>
      <c r="D74" s="9"/>
      <c r="E74" s="9" t="s">
        <v>127</v>
      </c>
      <c r="F74" s="9"/>
      <c r="G74" s="69"/>
      <c r="H74" s="9"/>
      <c r="I74" s="69"/>
      <c r="J74" s="69"/>
      <c r="K74" s="69"/>
      <c r="L74" s="14"/>
      <c r="N74" s="143"/>
      <c r="P74" s="143"/>
      <c r="Q74" s="143"/>
      <c r="S74" s="73"/>
      <c r="T74" s="73"/>
      <c r="U74" s="73"/>
    </row>
    <row r="75" spans="1:21" ht="15" hidden="1" customHeight="1" x14ac:dyDescent="0.35">
      <c r="A75" s="9"/>
      <c r="B75" s="9" t="s">
        <v>146</v>
      </c>
      <c r="C75" s="10"/>
      <c r="D75" s="9"/>
      <c r="E75" s="9" t="s">
        <v>127</v>
      </c>
      <c r="F75" s="9"/>
      <c r="G75" s="69"/>
      <c r="H75" s="9"/>
      <c r="I75" s="69"/>
      <c r="J75" s="69"/>
      <c r="K75" s="69"/>
      <c r="L75" s="14"/>
      <c r="S75" s="73"/>
      <c r="T75" s="73"/>
      <c r="U75" s="73"/>
    </row>
    <row r="76" spans="1:21" s="7" customFormat="1" x14ac:dyDescent="0.35">
      <c r="A76" s="4" t="s">
        <v>147</v>
      </c>
      <c r="B76" s="4"/>
      <c r="C76" s="22"/>
      <c r="D76" s="4"/>
      <c r="E76" s="4"/>
      <c r="F76" s="4"/>
      <c r="G76" s="138">
        <v>23308817.700000003</v>
      </c>
      <c r="H76" s="24"/>
      <c r="I76" s="138">
        <v>7760685.7000000011</v>
      </c>
      <c r="J76" s="138">
        <v>15548132</v>
      </c>
      <c r="K76" s="69">
        <v>23308817.700000003</v>
      </c>
      <c r="L76" s="25"/>
      <c r="N76"/>
      <c r="O76"/>
      <c r="P76"/>
      <c r="Q76"/>
      <c r="R76"/>
      <c r="S76" s="73"/>
      <c r="T76" s="73"/>
      <c r="U76" s="73"/>
    </row>
    <row r="77" spans="1:21" x14ac:dyDescent="0.35">
      <c r="F77" s="139" t="s">
        <v>200</v>
      </c>
      <c r="G77" s="140">
        <v>23308817.700000003</v>
      </c>
      <c r="H77" s="13"/>
      <c r="I77" s="66">
        <v>0.33295063696002053</v>
      </c>
      <c r="J77" s="66">
        <v>0.66704936303997941</v>
      </c>
      <c r="K77" s="27"/>
      <c r="S77" s="73"/>
      <c r="T77" s="73"/>
      <c r="U77" s="73"/>
    </row>
    <row r="78" spans="1:21" x14ac:dyDescent="0.35">
      <c r="R78" s="7"/>
    </row>
    <row r="79" spans="1:21" x14ac:dyDescent="0.35">
      <c r="F79" s="142" t="s">
        <v>201</v>
      </c>
    </row>
    <row r="80" spans="1:21" hidden="1" x14ac:dyDescent="0.35">
      <c r="H80" t="s">
        <v>15</v>
      </c>
      <c r="N80" s="7"/>
      <c r="O80" s="7"/>
      <c r="P80" s="7"/>
      <c r="Q80" s="7"/>
    </row>
    <row r="81" spans="3:11" x14ac:dyDescent="0.35">
      <c r="C81"/>
      <c r="H81" t="s">
        <v>24</v>
      </c>
    </row>
    <row r="82" spans="3:11" x14ac:dyDescent="0.35">
      <c r="C82"/>
      <c r="H82" t="s">
        <v>59</v>
      </c>
    </row>
    <row r="83" spans="3:11" x14ac:dyDescent="0.35">
      <c r="C83"/>
      <c r="H83" s="139" t="s">
        <v>202</v>
      </c>
      <c r="I83" s="69">
        <v>134004468.20058972</v>
      </c>
      <c r="J83" s="141">
        <v>5.7913633807964687E-2</v>
      </c>
      <c r="K83" s="142" t="s">
        <v>203</v>
      </c>
    </row>
    <row r="84" spans="3:11" x14ac:dyDescent="0.35">
      <c r="I84" s="37"/>
    </row>
    <row r="85" spans="3:11" x14ac:dyDescent="0.35">
      <c r="I85" s="73"/>
    </row>
    <row r="97" customFormat="1" x14ac:dyDescent="0.35"/>
    <row r="98" customFormat="1" x14ac:dyDescent="0.35"/>
    <row r="99" customFormat="1" x14ac:dyDescent="0.35"/>
    <row r="100" customFormat="1" x14ac:dyDescent="0.35"/>
    <row r="101" customFormat="1" x14ac:dyDescent="0.35"/>
    <row r="102" customFormat="1" x14ac:dyDescent="0.35"/>
    <row r="103" customFormat="1" x14ac:dyDescent="0.35"/>
    <row r="104" customFormat="1" x14ac:dyDescent="0.35"/>
    <row r="105" customFormat="1" x14ac:dyDescent="0.35"/>
    <row r="106" customFormat="1" x14ac:dyDescent="0.35"/>
    <row r="107" customFormat="1" x14ac:dyDescent="0.35"/>
    <row r="108" customFormat="1" x14ac:dyDescent="0.35"/>
    <row r="109" customFormat="1" x14ac:dyDescent="0.35"/>
    <row r="112" customFormat="1" ht="15" hidden="1" customHeight="1" x14ac:dyDescent="0.35"/>
    <row r="113" customFormat="1" ht="15" hidden="1" customHeight="1" x14ac:dyDescent="0.35"/>
    <row r="114" customFormat="1" ht="15" hidden="1" customHeight="1" x14ac:dyDescent="0.35"/>
    <row r="115" customFormat="1" ht="15" hidden="1" customHeight="1" x14ac:dyDescent="0.35"/>
    <row r="116" customFormat="1" ht="15" hidden="1" customHeight="1" x14ac:dyDescent="0.35"/>
    <row r="117" customFormat="1" ht="15" hidden="1" customHeight="1" x14ac:dyDescent="0.35"/>
    <row r="118" customFormat="1" ht="15" hidden="1" customHeight="1" x14ac:dyDescent="0.35"/>
    <row r="119" customFormat="1" ht="15" hidden="1" customHeight="1" x14ac:dyDescent="0.35"/>
    <row r="120" customFormat="1" ht="15" hidden="1" customHeight="1" x14ac:dyDescent="0.35"/>
    <row r="121" customFormat="1" ht="15" hidden="1" customHeight="1" x14ac:dyDescent="0.35"/>
    <row r="122" customFormat="1" ht="15" hidden="1" customHeight="1" x14ac:dyDescent="0.35"/>
    <row r="123" customFormat="1" ht="15" hidden="1" customHeight="1" x14ac:dyDescent="0.35"/>
    <row r="124" customFormat="1" ht="15" hidden="1" customHeight="1" x14ac:dyDescent="0.35"/>
    <row r="125" customFormat="1" ht="15" hidden="1" customHeight="1" x14ac:dyDescent="0.35"/>
    <row r="126" customFormat="1" ht="15" hidden="1" customHeight="1" x14ac:dyDescent="0.35"/>
    <row r="127" customFormat="1" ht="15" hidden="1" customHeight="1" x14ac:dyDescent="0.35"/>
    <row r="128" customFormat="1" ht="15" hidden="1" customHeight="1" x14ac:dyDescent="0.35"/>
    <row r="129" customFormat="1" ht="15" hidden="1" customHeight="1" x14ac:dyDescent="0.35"/>
    <row r="130" customFormat="1" ht="15" hidden="1" customHeight="1" x14ac:dyDescent="0.35"/>
    <row r="131" customFormat="1" ht="15" hidden="1" customHeight="1" x14ac:dyDescent="0.35"/>
    <row r="132" customFormat="1" ht="15" hidden="1" customHeight="1" x14ac:dyDescent="0.35"/>
    <row r="133" customFormat="1" ht="15" hidden="1" customHeight="1" x14ac:dyDescent="0.35"/>
    <row r="134" customFormat="1" ht="15" hidden="1" customHeight="1" x14ac:dyDescent="0.35"/>
    <row r="135" customFormat="1" ht="15" hidden="1" customHeight="1" x14ac:dyDescent="0.35"/>
    <row r="136" customFormat="1" ht="15" hidden="1" customHeight="1" x14ac:dyDescent="0.35"/>
    <row r="137" customFormat="1" ht="15" hidden="1" customHeight="1" x14ac:dyDescent="0.35"/>
    <row r="138" customFormat="1" ht="15" hidden="1" customHeight="1" x14ac:dyDescent="0.35"/>
    <row r="139" customFormat="1" ht="15" hidden="1" customHeight="1" x14ac:dyDescent="0.35"/>
    <row r="140" customFormat="1" ht="15" hidden="1" customHeight="1" x14ac:dyDescent="0.35"/>
  </sheetData>
  <conditionalFormatting sqref="G76">
    <cfRule type="cellIs" dxfId="387" priority="11" operator="notEqual">
      <formula>$G$77</formula>
    </cfRule>
    <cfRule type="cellIs" dxfId="386" priority="12" operator="equal">
      <formula>$G$77</formula>
    </cfRule>
  </conditionalFormatting>
  <conditionalFormatting sqref="K9:K24">
    <cfRule type="cellIs" dxfId="385" priority="101" operator="notEqual">
      <formula>G9</formula>
    </cfRule>
    <cfRule type="cellIs" dxfId="384" priority="102" operator="equal">
      <formula>G9</formula>
    </cfRule>
  </conditionalFormatting>
  <conditionalFormatting sqref="K26:K41">
    <cfRule type="cellIs" dxfId="383" priority="69" operator="notEqual">
      <formula>G26</formula>
    </cfRule>
    <cfRule type="cellIs" dxfId="382" priority="70" operator="equal">
      <formula>G26</formula>
    </cfRule>
  </conditionalFormatting>
  <conditionalFormatting sqref="K43:K63">
    <cfRule type="cellIs" dxfId="381" priority="27" operator="notEqual">
      <formula>G43</formula>
    </cfRule>
    <cfRule type="cellIs" dxfId="380" priority="28" operator="equal">
      <formula>G43</formula>
    </cfRule>
  </conditionalFormatting>
  <conditionalFormatting sqref="K67:K69">
    <cfRule type="cellIs" dxfId="379" priority="21" operator="notEqual">
      <formula>G67</formula>
    </cfRule>
    <cfRule type="cellIs" dxfId="378" priority="22" operator="equal">
      <formula>G67</formula>
    </cfRule>
  </conditionalFormatting>
  <conditionalFormatting sqref="K71:K73">
    <cfRule type="cellIs" dxfId="377" priority="15" operator="notEqual">
      <formula>G71</formula>
    </cfRule>
    <cfRule type="cellIs" dxfId="376" priority="16" operator="equal">
      <formula>G71</formula>
    </cfRule>
  </conditionalFormatting>
  <conditionalFormatting sqref="K76">
    <cfRule type="cellIs" dxfId="375" priority="13" operator="notEqual">
      <formula>G76</formula>
    </cfRule>
    <cfRule type="cellIs" dxfId="374" priority="14" operator="equal">
      <formula>G76</formula>
    </cfRule>
  </conditionalFormatting>
  <dataValidations count="1">
    <dataValidation type="list" allowBlank="1" showInputMessage="1" showErrorMessage="1" sqref="H9:H75" xr:uid="{00000000-0002-0000-0D00-000000000000}">
      <formula1>$H$80:$H$82</formula1>
    </dataValidation>
  </dataValidations>
  <pageMargins left="0.7" right="0.7" top="0.75" bottom="0.75" header="0.3" footer="0.3"/>
  <pageSetup scale="39" orientation="landscape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9" operator="notEqual" id="{DA3A5C33-4F65-480C-9ACB-BB9092159495}">
            <xm:f>'D:\Finance\Work\Reports &amp; Surveys\Cost Analysis\Cost Analysis - 2012-2013\Received from Colleges\FSC Jax\Original\[FSC Jacksonville 2012-13 CA2 9-9-13.xlsx]CA2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10" operator="equal" id="{4439AE5D-E7AA-4B55-A75A-E9E148DCBA2A}">
            <xm:f>'D:\Finance\Work\Reports &amp; Surveys\Cost Analysis\Cost Analysis - 2012-2013\Received from Colleges\FSC Jax\Original\[FSC Jacksonville 2012-13 CA2 9-9-13.xlsx]CA2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G8</xm:sqref>
        </x14:conditionalFormatting>
        <x14:conditionalFormatting xmlns:xm="http://schemas.microsoft.com/office/excel/2006/main">
          <x14:cfRule type="cellIs" priority="7" operator="notEqual" id="{0F0A8C6D-D286-468F-B119-0B286EA0F522}">
            <xm:f>'D:\Finance\Work\Reports &amp; Surveys\Cost Analysis\Cost Analysis - 2012-2013\Received from Colleges\FSC Jax\Original\[FSC Jacksonville 2012-13 CA2 9-9-13.xlsx]CA2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8" operator="equal" id="{496855BE-F35D-45C8-AF89-04D245EE34E5}">
            <xm:f>'D:\Finance\Work\Reports &amp; Surveys\Cost Analysis\Cost Analysis - 2012-2013\Received from Colleges\FSC Jax\Original\[FSC Jacksonville 2012-13 CA2 9-9-13.xlsx]CA2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G25</xm:sqref>
        </x14:conditionalFormatting>
        <x14:conditionalFormatting xmlns:xm="http://schemas.microsoft.com/office/excel/2006/main">
          <x14:cfRule type="cellIs" priority="5" operator="notEqual" id="{8E4171AC-AE15-4E9F-8C44-78DD9AA31138}">
            <xm:f>'D:\Finance\Work\Reports &amp; Surveys\Cost Analysis\Cost Analysis - 2012-2013\Received from Colleges\FSC Jax\Original\[FSC Jacksonville 2012-13 CA2 9-9-13.xlsx]CA2 Detail'!#REF!+'D:\Finance\Work\Reports &amp; Surveys\Cost Analysis\Cost Analysis - 2012-2013\Received from Colleges\FSC Jax\Original\[FSC Jacksonville 2012-13 CA2 9-9-13.xlsx]CA2 Detail'!#REF!+'D:\Finance\Work\Reports &amp; Surveys\Cost Analysis\Cost Analysis - 2012-2013\Received from Colleges\FSC Jax\Original\[FSC Jacksonville 2012-13 CA2 9-9-13.xlsx]CA2 Detail'!#REF!+'D:\Finance\Work\Reports &amp; Surveys\Cost Analysis\Cost Analysis - 2012-2013\Received from Colleges\FSC Jax\Original\[FSC Jacksonville 2012-13 CA2 9-9-13.xlsx]CA2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6" operator="equal" id="{BC2F02E5-A6B7-45CC-99C3-194F51BA3B38}">
            <xm:f>'D:\Finance\Work\Reports &amp; Surveys\Cost Analysis\Cost Analysis - 2012-2013\Received from Colleges\FSC Jax\Original\[FSC Jacksonville 2012-13 CA2 9-9-13.xlsx]CA2 Detail'!#REF!+'D:\Finance\Work\Reports &amp; Surveys\Cost Analysis\Cost Analysis - 2012-2013\Received from Colleges\FSC Jax\Original\[FSC Jacksonville 2012-13 CA2 9-9-13.xlsx]CA2 Detail'!#REF!+'D:\Finance\Work\Reports &amp; Surveys\Cost Analysis\Cost Analysis - 2012-2013\Received from Colleges\FSC Jax\Original\[FSC Jacksonville 2012-13 CA2 9-9-13.xlsx]CA2 Detail'!#REF!+'D:\Finance\Work\Reports &amp; Surveys\Cost Analysis\Cost Analysis - 2012-2013\Received from Colleges\FSC Jax\Original\[FSC Jacksonville 2012-13 CA2 9-9-13.xlsx]CA2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G42</xm:sqref>
        </x14:conditionalFormatting>
        <x14:conditionalFormatting xmlns:xm="http://schemas.microsoft.com/office/excel/2006/main">
          <x14:cfRule type="cellIs" priority="3" operator="notEqual" id="{3B5FA461-582E-42E7-AEC5-CF86EA3B7BA7}">
            <xm:f>'D:\Finance\Work\Reports &amp; Surveys\Cost Analysis\Cost Analysis - 2012-2013\Received from Colleges\FSC Jax\Original\[FSC Jacksonville 2012-13 CA2 9-9-13.xlsx]CA2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4" operator="equal" id="{B4C2F8E7-6AD8-4320-8740-B9430B8BC570}">
            <xm:f>'D:\Finance\Work\Reports &amp; Surveys\Cost Analysis\Cost Analysis - 2012-2013\Received from Colleges\FSC Jax\Original\[FSC Jacksonville 2012-13 CA2 9-9-13.xlsx]CA2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G66</xm:sqref>
        </x14:conditionalFormatting>
        <x14:conditionalFormatting xmlns:xm="http://schemas.microsoft.com/office/excel/2006/main">
          <x14:cfRule type="cellIs" priority="1" operator="notEqual" id="{6A1292B4-D822-4463-8EA4-FBC5F74AB3F0}">
            <xm:f>'D:\Finance\Work\Reports &amp; Surveys\Cost Analysis\Cost Analysis - 2012-2013\Received from Colleges\FSC Jax\Original\[FSC Jacksonville 2012-13 CA2 9-9-13.xlsx]CA2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2" operator="equal" id="{1F4182D3-30FC-4238-87F9-A3001C56FF9C}">
            <xm:f>'D:\Finance\Work\Reports &amp; Surveys\Cost Analysis\Cost Analysis - 2012-2013\Received from Colleges\FSC Jax\Original\[FSC Jacksonville 2012-13 CA2 9-9-13.xlsx]CA2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G70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00B0F0"/>
    <pageSetUpPr fitToPage="1"/>
  </sheetPr>
  <dimension ref="A1:L140"/>
  <sheetViews>
    <sheetView workbookViewId="0"/>
  </sheetViews>
  <sheetFormatPr defaultColWidth="11.453125" defaultRowHeight="14.5" x14ac:dyDescent="0.35"/>
  <cols>
    <col min="1" max="2" width="2.81640625" style="144" customWidth="1"/>
    <col min="3" max="3" width="10.453125" style="165" bestFit="1" customWidth="1"/>
    <col min="4" max="5" width="2.81640625" style="144" customWidth="1"/>
    <col min="6" max="6" width="80.7265625" style="144" bestFit="1" customWidth="1"/>
    <col min="7" max="7" width="27.81640625" style="144" customWidth="1"/>
    <col min="8" max="8" width="15.26953125" style="144" bestFit="1" customWidth="1"/>
    <col min="9" max="9" width="27.26953125" style="144" customWidth="1"/>
    <col min="10" max="10" width="26.81640625" style="144" customWidth="1"/>
    <col min="11" max="11" width="25.81640625" style="144" customWidth="1"/>
    <col min="12" max="12" width="82.54296875" style="144" customWidth="1"/>
    <col min="13" max="16384" width="11.453125" style="144"/>
  </cols>
  <sheetData>
    <row r="1" spans="1:12" x14ac:dyDescent="0.35">
      <c r="A1" s="146"/>
      <c r="B1" s="146"/>
      <c r="C1" s="146"/>
      <c r="D1" s="146"/>
      <c r="E1" s="146"/>
      <c r="F1" s="146"/>
      <c r="G1" s="146"/>
      <c r="H1" s="146"/>
      <c r="I1" s="146" t="s">
        <v>0</v>
      </c>
      <c r="J1" s="146"/>
      <c r="K1" s="146"/>
      <c r="L1" s="146"/>
    </row>
    <row r="2" spans="1:12" x14ac:dyDescent="0.35">
      <c r="A2" s="146"/>
      <c r="B2" s="146"/>
      <c r="C2" s="146"/>
      <c r="D2" s="146"/>
      <c r="E2" s="146"/>
      <c r="F2" s="146"/>
      <c r="G2" s="146"/>
      <c r="H2" s="146"/>
      <c r="I2" s="147" t="s">
        <v>197</v>
      </c>
      <c r="J2" s="146"/>
      <c r="K2" s="146"/>
      <c r="L2" s="146"/>
    </row>
    <row r="3" spans="1:12" x14ac:dyDescent="0.35">
      <c r="A3" s="148" t="s">
        <v>198</v>
      </c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147"/>
    </row>
    <row r="4" spans="1:12" ht="19.5" customHeight="1" x14ac:dyDescent="0.35">
      <c r="A4" s="149" t="s">
        <v>255</v>
      </c>
      <c r="B4" s="150"/>
      <c r="C4" s="150"/>
      <c r="D4" s="150"/>
      <c r="E4" s="150"/>
      <c r="F4" s="150"/>
      <c r="G4" s="150"/>
      <c r="H4" s="150"/>
      <c r="I4" s="150"/>
      <c r="J4" s="150"/>
      <c r="K4" s="150"/>
      <c r="L4" s="150"/>
    </row>
    <row r="5" spans="1:12" x14ac:dyDescent="0.35">
      <c r="A5" s="150"/>
      <c r="B5" s="150"/>
      <c r="C5" s="150"/>
      <c r="D5" s="150"/>
      <c r="E5" s="150"/>
      <c r="F5" s="150"/>
      <c r="G5" s="150"/>
      <c r="H5" s="150"/>
      <c r="I5" s="150"/>
      <c r="J5" s="150"/>
      <c r="K5" s="150"/>
      <c r="L5" s="150"/>
    </row>
    <row r="6" spans="1:12" s="7" customFormat="1" x14ac:dyDescent="0.35">
      <c r="A6" s="128" t="s">
        <v>2</v>
      </c>
      <c r="B6" s="129"/>
      <c r="C6" s="129"/>
      <c r="D6" s="128" t="s">
        <v>3</v>
      </c>
      <c r="E6" s="129"/>
      <c r="F6" s="129"/>
      <c r="G6" s="118" t="s">
        <v>274</v>
      </c>
      <c r="H6" s="130" t="s">
        <v>4</v>
      </c>
      <c r="I6" s="130" t="s">
        <v>5</v>
      </c>
      <c r="J6" s="130" t="s">
        <v>6</v>
      </c>
      <c r="K6" s="130" t="s">
        <v>7</v>
      </c>
      <c r="L6" s="130" t="s">
        <v>199</v>
      </c>
    </row>
    <row r="7" spans="1:12" x14ac:dyDescent="0.35">
      <c r="A7" s="151" t="s">
        <v>9</v>
      </c>
      <c r="B7" s="152"/>
      <c r="C7" s="153"/>
      <c r="D7" s="154" t="s">
        <v>10</v>
      </c>
      <c r="E7" s="153"/>
      <c r="F7" s="153"/>
      <c r="G7" s="155"/>
      <c r="H7" s="152"/>
      <c r="I7" s="155"/>
      <c r="J7" s="155"/>
      <c r="K7" s="155"/>
      <c r="L7" s="154"/>
    </row>
    <row r="8" spans="1:12" x14ac:dyDescent="0.35">
      <c r="A8" s="151"/>
      <c r="B8" s="152" t="s">
        <v>11</v>
      </c>
      <c r="C8" s="153"/>
      <c r="D8" s="156"/>
      <c r="E8" s="152" t="s">
        <v>12</v>
      </c>
      <c r="F8" s="153"/>
      <c r="G8" s="155">
        <v>506736.32000000007</v>
      </c>
      <c r="H8" s="152"/>
      <c r="I8" s="155">
        <v>388935.49</v>
      </c>
      <c r="J8" s="155">
        <v>117800.83</v>
      </c>
      <c r="K8" s="155"/>
      <c r="L8" s="157"/>
    </row>
    <row r="9" spans="1:12" x14ac:dyDescent="0.35">
      <c r="A9" s="151"/>
      <c r="B9" s="152"/>
      <c r="C9" s="153" t="s">
        <v>13</v>
      </c>
      <c r="D9" s="156"/>
      <c r="E9" s="153"/>
      <c r="F9" s="152" t="s">
        <v>14</v>
      </c>
      <c r="G9" s="86">
        <v>0</v>
      </c>
      <c r="H9" s="158"/>
      <c r="I9" s="86"/>
      <c r="J9" s="86"/>
      <c r="K9" s="155">
        <v>0</v>
      </c>
      <c r="L9" s="159"/>
    </row>
    <row r="10" spans="1:12" x14ac:dyDescent="0.35">
      <c r="A10" s="151"/>
      <c r="B10" s="152"/>
      <c r="C10" s="153" t="s">
        <v>16</v>
      </c>
      <c r="D10" s="156"/>
      <c r="E10" s="153"/>
      <c r="F10" s="152" t="s">
        <v>17</v>
      </c>
      <c r="G10" s="86">
        <v>2135</v>
      </c>
      <c r="H10" s="158" t="s">
        <v>15</v>
      </c>
      <c r="I10" s="86">
        <v>2135</v>
      </c>
      <c r="J10" s="86"/>
      <c r="K10" s="155">
        <v>2135</v>
      </c>
      <c r="L10" s="159" t="s">
        <v>279</v>
      </c>
    </row>
    <row r="11" spans="1:12" x14ac:dyDescent="0.35">
      <c r="A11" s="151"/>
      <c r="B11" s="152"/>
      <c r="C11" s="153" t="s">
        <v>18</v>
      </c>
      <c r="D11" s="156"/>
      <c r="E11" s="153"/>
      <c r="F11" s="152" t="s">
        <v>19</v>
      </c>
      <c r="G11" s="86">
        <v>317092.40000000002</v>
      </c>
      <c r="H11" s="158" t="s">
        <v>59</v>
      </c>
      <c r="I11" s="86">
        <v>289274.59999999998</v>
      </c>
      <c r="J11" s="86">
        <v>27817.800000000003</v>
      </c>
      <c r="K11" s="155">
        <v>317092.39999999997</v>
      </c>
      <c r="L11" s="159"/>
    </row>
    <row r="12" spans="1:12" x14ac:dyDescent="0.35">
      <c r="A12" s="151"/>
      <c r="B12" s="152"/>
      <c r="C12" s="153" t="s">
        <v>20</v>
      </c>
      <c r="D12" s="156"/>
      <c r="E12" s="153"/>
      <c r="F12" s="152" t="s">
        <v>21</v>
      </c>
      <c r="G12" s="86">
        <v>97525.89</v>
      </c>
      <c r="H12" s="158" t="s">
        <v>15</v>
      </c>
      <c r="I12" s="86">
        <v>97525.89</v>
      </c>
      <c r="J12" s="86"/>
      <c r="K12" s="155">
        <v>97525.89</v>
      </c>
      <c r="L12" s="159"/>
    </row>
    <row r="13" spans="1:12" x14ac:dyDescent="0.35">
      <c r="A13" s="151"/>
      <c r="B13" s="152"/>
      <c r="C13" s="153" t="s">
        <v>22</v>
      </c>
      <c r="D13" s="156"/>
      <c r="E13" s="153"/>
      <c r="F13" s="152" t="s">
        <v>23</v>
      </c>
      <c r="G13" s="86">
        <v>0</v>
      </c>
      <c r="H13" s="158"/>
      <c r="I13" s="86">
        <v>0</v>
      </c>
      <c r="J13" s="86"/>
      <c r="K13" s="155">
        <v>0</v>
      </c>
      <c r="L13" s="159"/>
    </row>
    <row r="14" spans="1:12" x14ac:dyDescent="0.35">
      <c r="A14" s="151"/>
      <c r="B14" s="152"/>
      <c r="C14" s="153" t="s">
        <v>25</v>
      </c>
      <c r="D14" s="156"/>
      <c r="E14" s="153"/>
      <c r="F14" s="152" t="s">
        <v>26</v>
      </c>
      <c r="G14" s="86">
        <v>0</v>
      </c>
      <c r="H14" s="158"/>
      <c r="I14" s="86">
        <v>0</v>
      </c>
      <c r="J14" s="86"/>
      <c r="K14" s="155">
        <v>0</v>
      </c>
      <c r="L14" s="159"/>
    </row>
    <row r="15" spans="1:12" x14ac:dyDescent="0.35">
      <c r="A15" s="151"/>
      <c r="B15" s="152"/>
      <c r="C15" s="153" t="s">
        <v>27</v>
      </c>
      <c r="D15" s="156"/>
      <c r="E15" s="153"/>
      <c r="F15" s="152" t="s">
        <v>28</v>
      </c>
      <c r="G15" s="86">
        <v>0</v>
      </c>
      <c r="H15" s="158"/>
      <c r="I15" s="86">
        <v>0</v>
      </c>
      <c r="J15" s="86"/>
      <c r="K15" s="155">
        <v>0</v>
      </c>
      <c r="L15" s="159"/>
    </row>
    <row r="16" spans="1:12" x14ac:dyDescent="0.35">
      <c r="A16" s="151"/>
      <c r="B16" s="152"/>
      <c r="C16" s="153" t="s">
        <v>29</v>
      </c>
      <c r="D16" s="156"/>
      <c r="E16" s="153"/>
      <c r="F16" s="152" t="s">
        <v>30</v>
      </c>
      <c r="G16" s="86">
        <v>0</v>
      </c>
      <c r="H16" s="158"/>
      <c r="I16" s="86">
        <v>0</v>
      </c>
      <c r="J16" s="86"/>
      <c r="K16" s="155">
        <v>0</v>
      </c>
      <c r="L16" s="159"/>
    </row>
    <row r="17" spans="1:12" x14ac:dyDescent="0.35">
      <c r="A17" s="151"/>
      <c r="B17" s="152"/>
      <c r="C17" s="153" t="s">
        <v>31</v>
      </c>
      <c r="D17" s="156"/>
      <c r="E17" s="153"/>
      <c r="F17" s="152" t="s">
        <v>32</v>
      </c>
      <c r="G17" s="86">
        <v>0</v>
      </c>
      <c r="H17" s="158"/>
      <c r="I17" s="86">
        <v>0</v>
      </c>
      <c r="J17" s="86"/>
      <c r="K17" s="155">
        <v>0</v>
      </c>
      <c r="L17" s="159" t="s">
        <v>280</v>
      </c>
    </row>
    <row r="18" spans="1:12" x14ac:dyDescent="0.35">
      <c r="A18" s="151"/>
      <c r="B18" s="152"/>
      <c r="C18" s="153" t="s">
        <v>33</v>
      </c>
      <c r="D18" s="156"/>
      <c r="E18" s="153"/>
      <c r="F18" s="152" t="s">
        <v>34</v>
      </c>
      <c r="G18" s="86">
        <v>89983.03</v>
      </c>
      <c r="H18" s="158" t="s">
        <v>24</v>
      </c>
      <c r="I18" s="86">
        <v>0</v>
      </c>
      <c r="J18" s="86">
        <v>89983.03</v>
      </c>
      <c r="K18" s="155">
        <v>89983.03</v>
      </c>
      <c r="L18" s="159"/>
    </row>
    <row r="19" spans="1:12" x14ac:dyDescent="0.35">
      <c r="A19" s="151"/>
      <c r="B19" s="152"/>
      <c r="C19" s="153" t="s">
        <v>35</v>
      </c>
      <c r="D19" s="156"/>
      <c r="E19" s="153"/>
      <c r="F19" s="152" t="s">
        <v>36</v>
      </c>
      <c r="G19" s="91">
        <v>0</v>
      </c>
      <c r="H19" s="158"/>
      <c r="I19" s="91">
        <v>0</v>
      </c>
      <c r="J19" s="91"/>
      <c r="K19" s="155">
        <v>0</v>
      </c>
      <c r="L19" s="159"/>
    </row>
    <row r="20" spans="1:12" x14ac:dyDescent="0.35">
      <c r="A20" s="151"/>
      <c r="B20" s="152"/>
      <c r="C20" s="153" t="s">
        <v>37</v>
      </c>
      <c r="D20" s="156"/>
      <c r="E20" s="153"/>
      <c r="F20" s="152" t="s">
        <v>38</v>
      </c>
      <c r="G20" s="86">
        <v>0</v>
      </c>
      <c r="H20" s="158"/>
      <c r="I20" s="86">
        <v>0</v>
      </c>
      <c r="J20" s="86"/>
      <c r="K20" s="155">
        <v>0</v>
      </c>
      <c r="L20" s="159"/>
    </row>
    <row r="21" spans="1:12" x14ac:dyDescent="0.35">
      <c r="A21" s="151"/>
      <c r="B21" s="152"/>
      <c r="C21" s="153" t="s">
        <v>39</v>
      </c>
      <c r="D21" s="156"/>
      <c r="E21" s="153"/>
      <c r="F21" s="152" t="s">
        <v>40</v>
      </c>
      <c r="G21" s="86">
        <v>0</v>
      </c>
      <c r="H21" s="158"/>
      <c r="I21" s="86">
        <v>0</v>
      </c>
      <c r="J21" s="86"/>
      <c r="K21" s="155">
        <v>0</v>
      </c>
      <c r="L21" s="159"/>
    </row>
    <row r="22" spans="1:12" x14ac:dyDescent="0.35">
      <c r="A22" s="151"/>
      <c r="B22" s="152"/>
      <c r="C22" s="153" t="s">
        <v>41</v>
      </c>
      <c r="D22" s="156"/>
      <c r="E22" s="153"/>
      <c r="F22" s="152" t="s">
        <v>42</v>
      </c>
      <c r="G22" s="86">
        <v>0</v>
      </c>
      <c r="H22" s="158"/>
      <c r="I22" s="86">
        <v>0</v>
      </c>
      <c r="J22" s="86"/>
      <c r="K22" s="155">
        <v>0</v>
      </c>
      <c r="L22" s="159"/>
    </row>
    <row r="23" spans="1:12" x14ac:dyDescent="0.35">
      <c r="A23" s="151"/>
      <c r="B23" s="152"/>
      <c r="C23" s="153" t="s">
        <v>43</v>
      </c>
      <c r="D23" s="156"/>
      <c r="E23" s="153"/>
      <c r="F23" s="152" t="s">
        <v>44</v>
      </c>
      <c r="G23" s="86">
        <v>0</v>
      </c>
      <c r="H23" s="158"/>
      <c r="I23" s="86">
        <v>0</v>
      </c>
      <c r="J23" s="86"/>
      <c r="K23" s="155">
        <v>0</v>
      </c>
      <c r="L23" s="159"/>
    </row>
    <row r="24" spans="1:12" x14ac:dyDescent="0.35">
      <c r="A24" s="152"/>
      <c r="B24" s="152"/>
      <c r="C24" s="160" t="s">
        <v>45</v>
      </c>
      <c r="D24" s="156"/>
      <c r="E24" s="160"/>
      <c r="F24" s="152" t="s">
        <v>46</v>
      </c>
      <c r="G24" s="92"/>
      <c r="H24" s="158"/>
      <c r="I24" s="92">
        <v>0</v>
      </c>
      <c r="J24" s="92"/>
      <c r="K24" s="155">
        <v>0</v>
      </c>
      <c r="L24" s="159"/>
    </row>
    <row r="25" spans="1:12" x14ac:dyDescent="0.35">
      <c r="A25" s="151"/>
      <c r="B25" s="152" t="s">
        <v>47</v>
      </c>
      <c r="C25" s="153"/>
      <c r="D25" s="156"/>
      <c r="E25" s="152" t="s">
        <v>48</v>
      </c>
      <c r="F25" s="153"/>
      <c r="G25" s="155">
        <v>966741.5699999996</v>
      </c>
      <c r="H25" s="152"/>
      <c r="I25" s="155">
        <v>625617.23999999964</v>
      </c>
      <c r="J25" s="155">
        <v>341124.33</v>
      </c>
      <c r="K25" s="155"/>
      <c r="L25" s="157"/>
    </row>
    <row r="26" spans="1:12" x14ac:dyDescent="0.35">
      <c r="A26" s="151"/>
      <c r="B26" s="152"/>
      <c r="C26" s="153" t="s">
        <v>49</v>
      </c>
      <c r="D26" s="156"/>
      <c r="E26" s="153"/>
      <c r="F26" s="152" t="s">
        <v>50</v>
      </c>
      <c r="G26" s="86">
        <v>0</v>
      </c>
      <c r="H26" s="158"/>
      <c r="I26" s="86">
        <v>0</v>
      </c>
      <c r="J26" s="86"/>
      <c r="K26" s="155">
        <v>0</v>
      </c>
      <c r="L26" s="159"/>
    </row>
    <row r="27" spans="1:12" x14ac:dyDescent="0.35">
      <c r="A27" s="151"/>
      <c r="B27" s="152"/>
      <c r="C27" s="153" t="s">
        <v>51</v>
      </c>
      <c r="D27" s="156"/>
      <c r="E27" s="153"/>
      <c r="F27" s="152" t="s">
        <v>52</v>
      </c>
      <c r="G27" s="86">
        <v>294152.03000000003</v>
      </c>
      <c r="H27" s="158" t="s">
        <v>15</v>
      </c>
      <c r="I27" s="86">
        <v>294152.03000000003</v>
      </c>
      <c r="J27" s="86"/>
      <c r="K27" s="155">
        <v>294152.03000000003</v>
      </c>
      <c r="L27" s="159"/>
    </row>
    <row r="28" spans="1:12" x14ac:dyDescent="0.35">
      <c r="A28" s="151"/>
      <c r="B28" s="152"/>
      <c r="C28" s="153" t="s">
        <v>53</v>
      </c>
      <c r="D28" s="156"/>
      <c r="E28" s="153"/>
      <c r="F28" s="152" t="s">
        <v>54</v>
      </c>
      <c r="G28" s="86">
        <v>130593.09999999964</v>
      </c>
      <c r="H28" s="158" t="s">
        <v>15</v>
      </c>
      <c r="I28" s="86">
        <v>130593.09999999964</v>
      </c>
      <c r="J28" s="86"/>
      <c r="K28" s="155">
        <v>130593.09999999964</v>
      </c>
      <c r="L28" s="159"/>
    </row>
    <row r="29" spans="1:12" x14ac:dyDescent="0.35">
      <c r="A29" s="151"/>
      <c r="B29" s="152"/>
      <c r="C29" s="153" t="s">
        <v>55</v>
      </c>
      <c r="D29" s="156"/>
      <c r="E29" s="153"/>
      <c r="F29" s="152" t="s">
        <v>56</v>
      </c>
      <c r="G29" s="86">
        <v>0</v>
      </c>
      <c r="H29" s="158"/>
      <c r="I29" s="86">
        <v>0</v>
      </c>
      <c r="J29" s="86"/>
      <c r="K29" s="155">
        <v>0</v>
      </c>
      <c r="L29" s="159"/>
    </row>
    <row r="30" spans="1:12" x14ac:dyDescent="0.35">
      <c r="A30" s="151"/>
      <c r="B30" s="152"/>
      <c r="C30" s="153" t="s">
        <v>57</v>
      </c>
      <c r="D30" s="156"/>
      <c r="E30" s="153"/>
      <c r="F30" s="152" t="s">
        <v>58</v>
      </c>
      <c r="G30" s="86">
        <v>139296.69</v>
      </c>
      <c r="H30" s="158" t="s">
        <v>59</v>
      </c>
      <c r="I30" s="86">
        <v>89748.98</v>
      </c>
      <c r="J30" s="86">
        <v>49547.71</v>
      </c>
      <c r="K30" s="155">
        <v>139296.69</v>
      </c>
      <c r="L30" s="159" t="s">
        <v>281</v>
      </c>
    </row>
    <row r="31" spans="1:12" x14ac:dyDescent="0.35">
      <c r="A31" s="151"/>
      <c r="B31" s="152"/>
      <c r="C31" s="153" t="s">
        <v>60</v>
      </c>
      <c r="D31" s="156"/>
      <c r="E31" s="153"/>
      <c r="F31" s="152" t="s">
        <v>61</v>
      </c>
      <c r="G31" s="86">
        <v>61265.320000000014</v>
      </c>
      <c r="H31" s="158" t="s">
        <v>15</v>
      </c>
      <c r="I31" s="86">
        <v>61265.320000000014</v>
      </c>
      <c r="J31" s="86"/>
      <c r="K31" s="155">
        <v>61265.320000000014</v>
      </c>
      <c r="L31" s="159"/>
    </row>
    <row r="32" spans="1:12" x14ac:dyDescent="0.35">
      <c r="A32" s="151"/>
      <c r="B32" s="152"/>
      <c r="C32" s="153" t="s">
        <v>62</v>
      </c>
      <c r="D32" s="156"/>
      <c r="E32" s="153"/>
      <c r="F32" s="152" t="s">
        <v>63</v>
      </c>
      <c r="G32" s="86">
        <v>0</v>
      </c>
      <c r="H32" s="158"/>
      <c r="I32" s="86">
        <v>0</v>
      </c>
      <c r="J32" s="86"/>
      <c r="K32" s="155">
        <v>0</v>
      </c>
      <c r="L32" s="159"/>
    </row>
    <row r="33" spans="1:12" x14ac:dyDescent="0.35">
      <c r="A33" s="152"/>
      <c r="B33" s="152"/>
      <c r="C33" s="153" t="s">
        <v>64</v>
      </c>
      <c r="D33" s="152"/>
      <c r="E33" s="153"/>
      <c r="F33" s="152" t="s">
        <v>65</v>
      </c>
      <c r="G33" s="86">
        <v>0</v>
      </c>
      <c r="H33" s="158" t="s">
        <v>24</v>
      </c>
      <c r="I33" s="86">
        <v>0</v>
      </c>
      <c r="J33" s="86">
        <v>0</v>
      </c>
      <c r="K33" s="155">
        <v>0</v>
      </c>
      <c r="L33" s="159"/>
    </row>
    <row r="34" spans="1:12" x14ac:dyDescent="0.35">
      <c r="A34" s="152"/>
      <c r="B34" s="152"/>
      <c r="C34" s="153" t="s">
        <v>66</v>
      </c>
      <c r="D34" s="152"/>
      <c r="E34" s="152"/>
      <c r="F34" s="152" t="s">
        <v>67</v>
      </c>
      <c r="G34" s="86">
        <v>0</v>
      </c>
      <c r="H34" s="158"/>
      <c r="I34" s="86">
        <v>0</v>
      </c>
      <c r="J34" s="86"/>
      <c r="K34" s="155">
        <v>0</v>
      </c>
      <c r="L34" s="159"/>
    </row>
    <row r="35" spans="1:12" x14ac:dyDescent="0.35">
      <c r="A35" s="152"/>
      <c r="B35" s="152"/>
      <c r="C35" s="153" t="s">
        <v>68</v>
      </c>
      <c r="D35" s="152"/>
      <c r="E35" s="153"/>
      <c r="F35" s="152" t="s">
        <v>69</v>
      </c>
      <c r="G35" s="86">
        <v>49857.80999999999</v>
      </c>
      <c r="H35" s="158" t="s">
        <v>15</v>
      </c>
      <c r="I35" s="86">
        <v>49857.80999999999</v>
      </c>
      <c r="J35" s="86"/>
      <c r="K35" s="155">
        <v>49857.80999999999</v>
      </c>
      <c r="L35" s="159"/>
    </row>
    <row r="36" spans="1:12" x14ac:dyDescent="0.35">
      <c r="A36" s="152"/>
      <c r="B36" s="152"/>
      <c r="C36" s="153" t="s">
        <v>70</v>
      </c>
      <c r="D36" s="152"/>
      <c r="E36" s="152"/>
      <c r="F36" s="152" t="s">
        <v>71</v>
      </c>
      <c r="G36" s="86">
        <v>0</v>
      </c>
      <c r="H36" s="158"/>
      <c r="I36" s="86">
        <v>0</v>
      </c>
      <c r="J36" s="86"/>
      <c r="K36" s="155">
        <v>0</v>
      </c>
      <c r="L36" s="159"/>
    </row>
    <row r="37" spans="1:12" x14ac:dyDescent="0.35">
      <c r="A37" s="152"/>
      <c r="B37" s="152"/>
      <c r="C37" s="153" t="s">
        <v>72</v>
      </c>
      <c r="D37" s="152"/>
      <c r="E37" s="161"/>
      <c r="F37" s="152" t="s">
        <v>73</v>
      </c>
      <c r="G37" s="86">
        <v>0</v>
      </c>
      <c r="H37" s="158"/>
      <c r="I37" s="86">
        <v>0</v>
      </c>
      <c r="J37" s="86"/>
      <c r="K37" s="155">
        <v>0</v>
      </c>
      <c r="L37" s="159"/>
    </row>
    <row r="38" spans="1:12" x14ac:dyDescent="0.35">
      <c r="A38" s="152"/>
      <c r="B38" s="152"/>
      <c r="C38" s="153" t="s">
        <v>74</v>
      </c>
      <c r="D38" s="152"/>
      <c r="E38" s="152"/>
      <c r="F38" s="152" t="s">
        <v>75</v>
      </c>
      <c r="G38" s="86">
        <v>0</v>
      </c>
      <c r="H38" s="158"/>
      <c r="I38" s="86">
        <v>0</v>
      </c>
      <c r="J38" s="86"/>
      <c r="K38" s="155">
        <v>0</v>
      </c>
      <c r="L38" s="159"/>
    </row>
    <row r="39" spans="1:12" x14ac:dyDescent="0.35">
      <c r="A39" s="152"/>
      <c r="B39" s="152"/>
      <c r="C39" s="153" t="s">
        <v>76</v>
      </c>
      <c r="D39" s="152"/>
      <c r="E39" s="152"/>
      <c r="F39" s="152" t="s">
        <v>77</v>
      </c>
      <c r="G39" s="86">
        <v>0</v>
      </c>
      <c r="H39" s="158"/>
      <c r="I39" s="86">
        <v>0</v>
      </c>
      <c r="J39" s="86"/>
      <c r="K39" s="155">
        <v>0</v>
      </c>
      <c r="L39" s="159"/>
    </row>
    <row r="40" spans="1:12" x14ac:dyDescent="0.35">
      <c r="A40" s="152"/>
      <c r="B40" s="152"/>
      <c r="C40" s="153" t="s">
        <v>78</v>
      </c>
      <c r="D40" s="152"/>
      <c r="E40" s="152"/>
      <c r="F40" s="152" t="s">
        <v>79</v>
      </c>
      <c r="G40" s="86">
        <v>247901.67</v>
      </c>
      <c r="H40" s="158" t="s">
        <v>24</v>
      </c>
      <c r="I40" s="86">
        <v>0</v>
      </c>
      <c r="J40" s="86">
        <v>247901.67</v>
      </c>
      <c r="K40" s="155">
        <v>247901.67</v>
      </c>
      <c r="L40" s="159" t="s">
        <v>280</v>
      </c>
    </row>
    <row r="41" spans="1:12" x14ac:dyDescent="0.35">
      <c r="A41" s="152"/>
      <c r="B41" s="152"/>
      <c r="C41" s="153" t="s">
        <v>80</v>
      </c>
      <c r="D41" s="152"/>
      <c r="E41" s="152"/>
      <c r="F41" s="152" t="s">
        <v>81</v>
      </c>
      <c r="G41" s="86">
        <v>43674.95</v>
      </c>
      <c r="H41" s="158" t="s">
        <v>24</v>
      </c>
      <c r="I41" s="86">
        <v>0</v>
      </c>
      <c r="J41" s="86">
        <v>43674.95</v>
      </c>
      <c r="K41" s="155">
        <v>43674.95</v>
      </c>
      <c r="L41" s="159" t="s">
        <v>280</v>
      </c>
    </row>
    <row r="42" spans="1:12" x14ac:dyDescent="0.35">
      <c r="A42" s="152"/>
      <c r="B42" s="152" t="s">
        <v>82</v>
      </c>
      <c r="C42" s="153"/>
      <c r="D42" s="152"/>
      <c r="E42" s="152" t="s">
        <v>83</v>
      </c>
      <c r="F42" s="152"/>
      <c r="G42" s="155">
        <v>2014382.8299999996</v>
      </c>
      <c r="H42" s="152"/>
      <c r="I42" s="155">
        <v>341869.08999999985</v>
      </c>
      <c r="J42" s="155">
        <v>1672513.74</v>
      </c>
      <c r="K42" s="155"/>
      <c r="L42" s="157"/>
    </row>
    <row r="43" spans="1:12" x14ac:dyDescent="0.35">
      <c r="A43" s="152"/>
      <c r="B43" s="152"/>
      <c r="C43" s="153" t="s">
        <v>84</v>
      </c>
      <c r="D43" s="152"/>
      <c r="E43" s="152"/>
      <c r="F43" s="152" t="s">
        <v>85</v>
      </c>
      <c r="G43" s="86">
        <v>1114993</v>
      </c>
      <c r="H43" s="158" t="s">
        <v>24</v>
      </c>
      <c r="I43" s="86"/>
      <c r="J43" s="86">
        <v>1114993</v>
      </c>
      <c r="K43" s="155">
        <v>1114993</v>
      </c>
      <c r="L43" s="159" t="s">
        <v>280</v>
      </c>
    </row>
    <row r="44" spans="1:12" x14ac:dyDescent="0.35">
      <c r="A44" s="152"/>
      <c r="B44" s="152"/>
      <c r="C44" s="153" t="s">
        <v>86</v>
      </c>
      <c r="D44" s="152"/>
      <c r="E44" s="152"/>
      <c r="F44" s="152" t="s">
        <v>87</v>
      </c>
      <c r="G44" s="86">
        <v>0</v>
      </c>
      <c r="H44" s="158" t="s">
        <v>24</v>
      </c>
      <c r="I44" s="86"/>
      <c r="J44" s="86"/>
      <c r="K44" s="155">
        <v>0</v>
      </c>
      <c r="L44" s="159"/>
    </row>
    <row r="45" spans="1:12" x14ac:dyDescent="0.35">
      <c r="A45" s="152"/>
      <c r="B45" s="152"/>
      <c r="C45" s="153" t="s">
        <v>88</v>
      </c>
      <c r="D45" s="152"/>
      <c r="E45" s="152"/>
      <c r="F45" s="152" t="s">
        <v>89</v>
      </c>
      <c r="G45" s="86">
        <v>0</v>
      </c>
      <c r="H45" s="158"/>
      <c r="I45" s="86">
        <v>0</v>
      </c>
      <c r="J45" s="86"/>
      <c r="K45" s="155">
        <v>0</v>
      </c>
      <c r="L45" s="159"/>
    </row>
    <row r="46" spans="1:12" x14ac:dyDescent="0.35">
      <c r="A46" s="152"/>
      <c r="B46" s="152"/>
      <c r="C46" s="153" t="s">
        <v>90</v>
      </c>
      <c r="D46" s="152"/>
      <c r="E46" s="152"/>
      <c r="F46" s="152" t="s">
        <v>91</v>
      </c>
      <c r="G46" s="86">
        <v>0</v>
      </c>
      <c r="H46" s="158"/>
      <c r="I46" s="86">
        <v>0</v>
      </c>
      <c r="J46" s="86"/>
      <c r="K46" s="155">
        <v>0</v>
      </c>
      <c r="L46" s="159"/>
    </row>
    <row r="47" spans="1:12" x14ac:dyDescent="0.35">
      <c r="A47" s="152"/>
      <c r="B47" s="152"/>
      <c r="C47" s="153" t="s">
        <v>92</v>
      </c>
      <c r="D47" s="152"/>
      <c r="E47" s="152"/>
      <c r="F47" s="152" t="s">
        <v>93</v>
      </c>
      <c r="G47" s="86">
        <v>228858.45</v>
      </c>
      <c r="H47" s="158" t="s">
        <v>15</v>
      </c>
      <c r="I47" s="86">
        <v>228858.45</v>
      </c>
      <c r="J47" s="86"/>
      <c r="K47" s="155">
        <v>228858.45</v>
      </c>
      <c r="L47" s="159"/>
    </row>
    <row r="48" spans="1:12" x14ac:dyDescent="0.35">
      <c r="A48" s="152"/>
      <c r="B48" s="152"/>
      <c r="C48" s="153" t="s">
        <v>94</v>
      </c>
      <c r="D48" s="152"/>
      <c r="E48" s="152"/>
      <c r="F48" s="152" t="s">
        <v>95</v>
      </c>
      <c r="G48" s="86">
        <v>0</v>
      </c>
      <c r="H48" s="158"/>
      <c r="I48" s="86">
        <v>0</v>
      </c>
      <c r="J48" s="86"/>
      <c r="K48" s="155">
        <v>0</v>
      </c>
      <c r="L48" s="159"/>
    </row>
    <row r="49" spans="1:12" x14ac:dyDescent="0.35">
      <c r="A49" s="152"/>
      <c r="B49" s="152"/>
      <c r="C49" s="153" t="s">
        <v>96</v>
      </c>
      <c r="D49" s="152"/>
      <c r="E49" s="152"/>
      <c r="F49" s="152" t="s">
        <v>97</v>
      </c>
      <c r="G49" s="86">
        <v>80119.149999999994</v>
      </c>
      <c r="H49" s="158" t="s">
        <v>15</v>
      </c>
      <c r="I49" s="86">
        <v>80119.149999999994</v>
      </c>
      <c r="J49" s="86"/>
      <c r="K49" s="155">
        <v>80119.149999999994</v>
      </c>
      <c r="L49" s="159"/>
    </row>
    <row r="50" spans="1:12" x14ac:dyDescent="0.35">
      <c r="A50" s="152"/>
      <c r="B50" s="152"/>
      <c r="C50" s="153" t="s">
        <v>98</v>
      </c>
      <c r="D50" s="152"/>
      <c r="E50" s="152"/>
      <c r="F50" s="152" t="s">
        <v>99</v>
      </c>
      <c r="G50" s="86">
        <v>0</v>
      </c>
      <c r="H50" s="158"/>
      <c r="I50" s="86">
        <v>0</v>
      </c>
      <c r="J50" s="86"/>
      <c r="K50" s="155">
        <v>0</v>
      </c>
      <c r="L50" s="159"/>
    </row>
    <row r="51" spans="1:12" x14ac:dyDescent="0.35">
      <c r="A51" s="152"/>
      <c r="B51" s="152"/>
      <c r="C51" s="153" t="s">
        <v>100</v>
      </c>
      <c r="D51" s="152"/>
      <c r="E51" s="152"/>
      <c r="F51" s="152" t="s">
        <v>101</v>
      </c>
      <c r="G51" s="86">
        <v>0</v>
      </c>
      <c r="H51" s="158"/>
      <c r="I51" s="86">
        <v>0</v>
      </c>
      <c r="J51" s="86"/>
      <c r="K51" s="155">
        <v>0</v>
      </c>
      <c r="L51" s="159"/>
    </row>
    <row r="52" spans="1:12" x14ac:dyDescent="0.35">
      <c r="A52" s="152"/>
      <c r="B52" s="152"/>
      <c r="C52" s="153" t="s">
        <v>102</v>
      </c>
      <c r="D52" s="152"/>
      <c r="E52" s="152"/>
      <c r="F52" s="152" t="s">
        <v>103</v>
      </c>
      <c r="G52" s="86">
        <v>0</v>
      </c>
      <c r="H52" s="158"/>
      <c r="I52" s="86">
        <v>0</v>
      </c>
      <c r="J52" s="86"/>
      <c r="K52" s="155">
        <v>0</v>
      </c>
      <c r="L52" s="159"/>
    </row>
    <row r="53" spans="1:12" x14ac:dyDescent="0.35">
      <c r="A53" s="152"/>
      <c r="B53" s="152"/>
      <c r="C53" s="153" t="s">
        <v>104</v>
      </c>
      <c r="D53" s="152"/>
      <c r="E53" s="152"/>
      <c r="F53" s="152" t="s">
        <v>105</v>
      </c>
      <c r="G53" s="86">
        <v>0</v>
      </c>
      <c r="H53" s="158"/>
      <c r="I53" s="86">
        <v>0</v>
      </c>
      <c r="J53" s="86"/>
      <c r="K53" s="155">
        <v>0</v>
      </c>
      <c r="L53" s="159"/>
    </row>
    <row r="54" spans="1:12" x14ac:dyDescent="0.35">
      <c r="A54" s="152"/>
      <c r="B54" s="152"/>
      <c r="C54" s="153" t="s">
        <v>106</v>
      </c>
      <c r="D54" s="152"/>
      <c r="E54" s="152"/>
      <c r="F54" s="152" t="s">
        <v>107</v>
      </c>
      <c r="G54" s="86">
        <v>0</v>
      </c>
      <c r="H54" s="158"/>
      <c r="I54" s="86">
        <v>0</v>
      </c>
      <c r="J54" s="86"/>
      <c r="K54" s="155">
        <v>0</v>
      </c>
      <c r="L54" s="159"/>
    </row>
    <row r="55" spans="1:12" x14ac:dyDescent="0.35">
      <c r="A55" s="152"/>
      <c r="B55" s="152"/>
      <c r="C55" s="153" t="s">
        <v>108</v>
      </c>
      <c r="D55" s="152"/>
      <c r="E55" s="152"/>
      <c r="F55" s="152" t="s">
        <v>109</v>
      </c>
      <c r="G55" s="86">
        <v>22115.5</v>
      </c>
      <c r="H55" s="158" t="s">
        <v>262</v>
      </c>
      <c r="I55" s="86"/>
      <c r="J55" s="86">
        <v>22115.5</v>
      </c>
      <c r="K55" s="155">
        <v>22115.5</v>
      </c>
      <c r="L55" s="159" t="s">
        <v>280</v>
      </c>
    </row>
    <row r="56" spans="1:12" x14ac:dyDescent="0.35">
      <c r="A56" s="152"/>
      <c r="B56" s="152"/>
      <c r="C56" s="153" t="s">
        <v>110</v>
      </c>
      <c r="D56" s="152"/>
      <c r="E56" s="152"/>
      <c r="F56" s="152" t="s">
        <v>111</v>
      </c>
      <c r="G56" s="86">
        <v>439.76</v>
      </c>
      <c r="H56" s="158" t="s">
        <v>261</v>
      </c>
      <c r="I56" s="86">
        <v>439.76</v>
      </c>
      <c r="J56" s="86"/>
      <c r="K56" s="155">
        <v>439.76</v>
      </c>
      <c r="L56" s="159"/>
    </row>
    <row r="57" spans="1:12" x14ac:dyDescent="0.35">
      <c r="A57" s="152"/>
      <c r="B57" s="152"/>
      <c r="C57" s="153" t="s">
        <v>112</v>
      </c>
      <c r="D57" s="152"/>
      <c r="E57" s="152"/>
      <c r="F57" s="152" t="s">
        <v>113</v>
      </c>
      <c r="G57" s="86">
        <v>0</v>
      </c>
      <c r="H57" s="158"/>
      <c r="I57" s="86">
        <v>0</v>
      </c>
      <c r="J57" s="86"/>
      <c r="K57" s="155">
        <v>0</v>
      </c>
      <c r="L57" s="159"/>
    </row>
    <row r="58" spans="1:12" x14ac:dyDescent="0.35">
      <c r="A58" s="152"/>
      <c r="B58" s="152"/>
      <c r="C58" s="153" t="s">
        <v>114</v>
      </c>
      <c r="D58" s="152"/>
      <c r="E58" s="152"/>
      <c r="F58" s="152" t="s">
        <v>115</v>
      </c>
      <c r="G58" s="86">
        <v>0</v>
      </c>
      <c r="H58" s="158"/>
      <c r="I58" s="86">
        <v>0</v>
      </c>
      <c r="J58" s="86"/>
      <c r="K58" s="155">
        <v>0</v>
      </c>
      <c r="L58" s="159"/>
    </row>
    <row r="59" spans="1:12" x14ac:dyDescent="0.35">
      <c r="A59" s="152"/>
      <c r="B59" s="152"/>
      <c r="C59" s="153" t="s">
        <v>116</v>
      </c>
      <c r="D59" s="152"/>
      <c r="E59" s="152"/>
      <c r="F59" s="152" t="s">
        <v>117</v>
      </c>
      <c r="G59" s="86">
        <v>567856.96999999986</v>
      </c>
      <c r="H59" s="158" t="s">
        <v>59</v>
      </c>
      <c r="I59" s="86">
        <v>32451.729999999865</v>
      </c>
      <c r="J59" s="86">
        <v>535405.24</v>
      </c>
      <c r="K59" s="155">
        <v>567856.96999999986</v>
      </c>
      <c r="L59" s="159" t="s">
        <v>282</v>
      </c>
    </row>
    <row r="60" spans="1:12" x14ac:dyDescent="0.35">
      <c r="A60" s="152"/>
      <c r="B60" s="152"/>
      <c r="C60" s="153" t="s">
        <v>118</v>
      </c>
      <c r="D60" s="152"/>
      <c r="E60" s="152"/>
      <c r="F60" s="152" t="s">
        <v>119</v>
      </c>
      <c r="G60" s="86">
        <v>0</v>
      </c>
      <c r="H60" s="158"/>
      <c r="I60" s="86">
        <v>0</v>
      </c>
      <c r="J60" s="86"/>
      <c r="K60" s="155">
        <v>0</v>
      </c>
      <c r="L60" s="159"/>
    </row>
    <row r="61" spans="1:12" x14ac:dyDescent="0.35">
      <c r="A61" s="152"/>
      <c r="B61" s="152"/>
      <c r="C61" s="153" t="s">
        <v>120</v>
      </c>
      <c r="D61" s="152"/>
      <c r="E61" s="152"/>
      <c r="F61" s="152" t="s">
        <v>121</v>
      </c>
      <c r="G61" s="86"/>
      <c r="H61" s="158"/>
      <c r="I61" s="86"/>
      <c r="J61" s="86"/>
      <c r="K61" s="155">
        <v>0</v>
      </c>
      <c r="L61" s="159"/>
    </row>
    <row r="62" spans="1:12" x14ac:dyDescent="0.35">
      <c r="A62" s="152"/>
      <c r="B62" s="152"/>
      <c r="C62" s="153" t="s">
        <v>122</v>
      </c>
      <c r="D62" s="152"/>
      <c r="E62" s="152"/>
      <c r="F62" s="152" t="s">
        <v>123</v>
      </c>
      <c r="G62" s="86"/>
      <c r="H62" s="158"/>
      <c r="I62" s="86"/>
      <c r="J62" s="86"/>
      <c r="K62" s="155">
        <v>0</v>
      </c>
      <c r="L62" s="159"/>
    </row>
    <row r="63" spans="1:12" x14ac:dyDescent="0.35">
      <c r="A63" s="152"/>
      <c r="B63" s="152"/>
      <c r="C63" s="153" t="s">
        <v>124</v>
      </c>
      <c r="D63" s="152"/>
      <c r="E63" s="152"/>
      <c r="F63" s="152" t="s">
        <v>125</v>
      </c>
      <c r="G63" s="86"/>
      <c r="H63" s="158"/>
      <c r="I63" s="86"/>
      <c r="J63" s="86"/>
      <c r="K63" s="155">
        <v>0</v>
      </c>
      <c r="L63" s="159"/>
    </row>
    <row r="64" spans="1:12" hidden="1" x14ac:dyDescent="0.35">
      <c r="A64" s="152"/>
      <c r="B64" s="152" t="s">
        <v>126</v>
      </c>
      <c r="C64" s="153"/>
      <c r="D64" s="152"/>
      <c r="E64" s="152" t="s">
        <v>127</v>
      </c>
      <c r="F64" s="152"/>
      <c r="G64" s="155"/>
      <c r="H64" s="152"/>
      <c r="I64" s="155"/>
      <c r="J64" s="155"/>
      <c r="K64" s="155"/>
      <c r="L64" s="157"/>
    </row>
    <row r="65" spans="1:12" hidden="1" x14ac:dyDescent="0.35">
      <c r="A65" s="152"/>
      <c r="B65" s="152" t="s">
        <v>128</v>
      </c>
      <c r="C65" s="153"/>
      <c r="D65" s="152"/>
      <c r="E65" s="152" t="s">
        <v>127</v>
      </c>
      <c r="F65" s="152"/>
      <c r="G65" s="155"/>
      <c r="H65" s="152"/>
      <c r="I65" s="155"/>
      <c r="J65" s="155"/>
      <c r="K65" s="155"/>
      <c r="L65" s="157"/>
    </row>
    <row r="66" spans="1:12" x14ac:dyDescent="0.35">
      <c r="A66" s="152"/>
      <c r="B66" s="152" t="s">
        <v>129</v>
      </c>
      <c r="C66" s="153"/>
      <c r="D66" s="152"/>
      <c r="E66" s="152" t="s">
        <v>130</v>
      </c>
      <c r="F66" s="152"/>
      <c r="G66" s="155">
        <v>0</v>
      </c>
      <c r="H66" s="152"/>
      <c r="I66" s="155">
        <v>0</v>
      </c>
      <c r="J66" s="155">
        <v>0</v>
      </c>
      <c r="K66" s="155"/>
      <c r="L66" s="157"/>
    </row>
    <row r="67" spans="1:12" x14ac:dyDescent="0.35">
      <c r="A67" s="152"/>
      <c r="B67" s="152"/>
      <c r="C67" s="153" t="s">
        <v>131</v>
      </c>
      <c r="D67" s="152"/>
      <c r="E67" s="152"/>
      <c r="F67" s="152" t="s">
        <v>132</v>
      </c>
      <c r="G67" s="86"/>
      <c r="H67" s="158"/>
      <c r="I67" s="86"/>
      <c r="J67" s="86">
        <v>0</v>
      </c>
      <c r="K67" s="155">
        <v>0</v>
      </c>
      <c r="L67" s="159"/>
    </row>
    <row r="68" spans="1:12" x14ac:dyDescent="0.35">
      <c r="A68" s="152"/>
      <c r="B68" s="152"/>
      <c r="C68" s="153" t="s">
        <v>133</v>
      </c>
      <c r="D68" s="152"/>
      <c r="E68" s="152"/>
      <c r="F68" s="152" t="s">
        <v>134</v>
      </c>
      <c r="G68" s="86"/>
      <c r="H68" s="158"/>
      <c r="I68" s="86"/>
      <c r="J68" s="86"/>
      <c r="K68" s="155">
        <v>0</v>
      </c>
      <c r="L68" s="159"/>
    </row>
    <row r="69" spans="1:12" x14ac:dyDescent="0.35">
      <c r="A69" s="152"/>
      <c r="B69" s="152"/>
      <c r="C69" s="153" t="s">
        <v>135</v>
      </c>
      <c r="D69" s="152"/>
      <c r="E69" s="152"/>
      <c r="F69" s="152" t="s">
        <v>136</v>
      </c>
      <c r="G69" s="86"/>
      <c r="H69" s="158"/>
      <c r="I69" s="86"/>
      <c r="J69" s="86"/>
      <c r="K69" s="155">
        <v>0</v>
      </c>
      <c r="L69" s="159"/>
    </row>
    <row r="70" spans="1:12" x14ac:dyDescent="0.35">
      <c r="A70" s="152"/>
      <c r="B70" s="152" t="s">
        <v>137</v>
      </c>
      <c r="C70" s="153"/>
      <c r="D70" s="152"/>
      <c r="E70" s="152" t="s">
        <v>138</v>
      </c>
      <c r="F70" s="152"/>
      <c r="G70" s="155">
        <v>552639.13</v>
      </c>
      <c r="H70" s="152"/>
      <c r="I70" s="155">
        <v>0</v>
      </c>
      <c r="J70" s="155">
        <v>552639.13</v>
      </c>
      <c r="K70" s="155"/>
      <c r="L70" s="157"/>
    </row>
    <row r="71" spans="1:12" x14ac:dyDescent="0.35">
      <c r="A71" s="152"/>
      <c r="B71" s="152"/>
      <c r="C71" s="153" t="s">
        <v>139</v>
      </c>
      <c r="D71" s="152"/>
      <c r="E71" s="152"/>
      <c r="F71" s="152" t="s">
        <v>140</v>
      </c>
      <c r="G71" s="86">
        <v>236740.63</v>
      </c>
      <c r="H71" s="158" t="s">
        <v>24</v>
      </c>
      <c r="I71" s="86"/>
      <c r="J71" s="86">
        <v>236740.63</v>
      </c>
      <c r="K71" s="155">
        <v>236740.63</v>
      </c>
      <c r="L71" s="159" t="s">
        <v>280</v>
      </c>
    </row>
    <row r="72" spans="1:12" x14ac:dyDescent="0.35">
      <c r="A72" s="152"/>
      <c r="B72" s="152"/>
      <c r="C72" s="153" t="s">
        <v>141</v>
      </c>
      <c r="D72" s="152"/>
      <c r="E72" s="152"/>
      <c r="F72" s="152" t="s">
        <v>142</v>
      </c>
      <c r="G72" s="86">
        <v>315898.5</v>
      </c>
      <c r="H72" s="158" t="s">
        <v>24</v>
      </c>
      <c r="I72" s="86"/>
      <c r="J72" s="86">
        <v>315898.5</v>
      </c>
      <c r="K72" s="155">
        <v>315898.5</v>
      </c>
      <c r="L72" s="159" t="s">
        <v>280</v>
      </c>
    </row>
    <row r="73" spans="1:12" x14ac:dyDescent="0.35">
      <c r="A73" s="152"/>
      <c r="B73" s="152"/>
      <c r="C73" s="153" t="s">
        <v>143</v>
      </c>
      <c r="D73" s="152"/>
      <c r="E73" s="152"/>
      <c r="F73" s="152" t="s">
        <v>144</v>
      </c>
      <c r="G73" s="86"/>
      <c r="H73" s="158"/>
      <c r="I73" s="86"/>
      <c r="J73" s="86"/>
      <c r="K73" s="155">
        <v>0</v>
      </c>
      <c r="L73" s="159"/>
    </row>
    <row r="74" spans="1:12" hidden="1" x14ac:dyDescent="0.35">
      <c r="A74" s="152"/>
      <c r="B74" s="152" t="s">
        <v>145</v>
      </c>
      <c r="C74" s="153"/>
      <c r="D74" s="152"/>
      <c r="E74" s="152" t="s">
        <v>127</v>
      </c>
      <c r="F74" s="152"/>
      <c r="G74" s="155"/>
      <c r="H74" s="152"/>
      <c r="I74" s="155"/>
      <c r="J74" s="155"/>
      <c r="K74" s="155"/>
      <c r="L74" s="157"/>
    </row>
    <row r="75" spans="1:12" hidden="1" x14ac:dyDescent="0.35">
      <c r="A75" s="152"/>
      <c r="B75" s="152" t="s">
        <v>146</v>
      </c>
      <c r="C75" s="153"/>
      <c r="D75" s="152"/>
      <c r="E75" s="152" t="s">
        <v>127</v>
      </c>
      <c r="F75" s="152"/>
      <c r="G75" s="155"/>
      <c r="H75" s="152"/>
      <c r="I75" s="155"/>
      <c r="J75" s="155"/>
      <c r="K75" s="155"/>
      <c r="L75" s="157"/>
    </row>
    <row r="76" spans="1:12" s="7" customFormat="1" x14ac:dyDescent="0.35">
      <c r="A76" s="129" t="s">
        <v>147</v>
      </c>
      <c r="B76" s="129"/>
      <c r="C76" s="122"/>
      <c r="D76" s="129"/>
      <c r="E76" s="129"/>
      <c r="F76" s="129"/>
      <c r="G76" s="138">
        <v>4040499.8499999992</v>
      </c>
      <c r="H76" s="88"/>
      <c r="I76" s="138">
        <v>1356421.8199999994</v>
      </c>
      <c r="J76" s="138">
        <v>2684078.0299999998</v>
      </c>
      <c r="K76" s="155">
        <v>4040499.8499999992</v>
      </c>
      <c r="L76" s="131"/>
    </row>
    <row r="77" spans="1:12" x14ac:dyDescent="0.35">
      <c r="A77" s="150"/>
      <c r="B77" s="150"/>
      <c r="C77" s="150"/>
      <c r="D77" s="150"/>
      <c r="E77" s="150"/>
      <c r="F77" s="162" t="s">
        <v>200</v>
      </c>
      <c r="G77" s="140">
        <v>4040499.85</v>
      </c>
      <c r="H77" s="156"/>
      <c r="I77" s="163">
        <v>0.3357064398851542</v>
      </c>
      <c r="J77" s="163">
        <v>0.66429356011484575</v>
      </c>
      <c r="K77" s="164"/>
      <c r="L77" s="150"/>
    </row>
    <row r="79" spans="1:12" x14ac:dyDescent="0.35">
      <c r="A79" s="150"/>
      <c r="B79" s="150"/>
      <c r="C79" s="150"/>
      <c r="D79" s="150"/>
      <c r="E79" s="150"/>
      <c r="F79" s="150" t="s">
        <v>201</v>
      </c>
      <c r="G79" s="150"/>
      <c r="H79" s="150"/>
      <c r="I79" s="150"/>
      <c r="J79" s="150"/>
      <c r="K79" s="150"/>
      <c r="L79" s="150"/>
    </row>
    <row r="80" spans="1:12" hidden="1" x14ac:dyDescent="0.35">
      <c r="A80" s="150"/>
      <c r="B80" s="150"/>
      <c r="C80" s="150"/>
      <c r="D80" s="150"/>
      <c r="E80" s="150"/>
      <c r="F80" s="150"/>
      <c r="G80" s="150"/>
      <c r="H80" s="150" t="s">
        <v>15</v>
      </c>
      <c r="I80" s="150"/>
      <c r="J80" s="150"/>
      <c r="K80" s="150"/>
      <c r="L80" s="150"/>
    </row>
    <row r="81" spans="3:11" x14ac:dyDescent="0.35">
      <c r="C81" s="150"/>
      <c r="D81" s="150"/>
      <c r="E81" s="150"/>
      <c r="F81" s="150"/>
      <c r="G81" s="150"/>
      <c r="H81" s="150" t="s">
        <v>24</v>
      </c>
      <c r="I81" s="150"/>
      <c r="J81" s="150"/>
      <c r="K81" s="150"/>
    </row>
    <row r="82" spans="3:11" x14ac:dyDescent="0.35">
      <c r="C82" s="150"/>
      <c r="D82" s="150"/>
      <c r="E82" s="150"/>
      <c r="F82" s="150"/>
      <c r="G82" s="150"/>
      <c r="H82" s="150" t="s">
        <v>59</v>
      </c>
      <c r="I82" s="150"/>
      <c r="J82" s="150"/>
      <c r="K82" s="150"/>
    </row>
    <row r="83" spans="3:11" x14ac:dyDescent="0.35">
      <c r="C83" s="150"/>
      <c r="D83" s="150"/>
      <c r="E83" s="150"/>
      <c r="F83" s="150"/>
      <c r="G83" s="150"/>
      <c r="H83" s="162" t="s">
        <v>202</v>
      </c>
      <c r="I83" s="155">
        <v>12588958.162466139</v>
      </c>
      <c r="J83" s="161">
        <v>0.1077469479598525</v>
      </c>
      <c r="K83" s="150" t="s">
        <v>203</v>
      </c>
    </row>
    <row r="97" s="144" customFormat="1" x14ac:dyDescent="0.35"/>
    <row r="98" s="144" customFormat="1" x14ac:dyDescent="0.35"/>
    <row r="99" s="144" customFormat="1" x14ac:dyDescent="0.35"/>
    <row r="100" s="144" customFormat="1" x14ac:dyDescent="0.35"/>
    <row r="101" s="144" customFormat="1" x14ac:dyDescent="0.35"/>
    <row r="102" s="144" customFormat="1" x14ac:dyDescent="0.35"/>
    <row r="103" s="144" customFormat="1" x14ac:dyDescent="0.35"/>
    <row r="104" s="144" customFormat="1" x14ac:dyDescent="0.35"/>
    <row r="105" s="144" customFormat="1" x14ac:dyDescent="0.35"/>
    <row r="106" s="144" customFormat="1" x14ac:dyDescent="0.35"/>
    <row r="107" s="144" customFormat="1" x14ac:dyDescent="0.35"/>
    <row r="108" s="144" customFormat="1" x14ac:dyDescent="0.35"/>
    <row r="109" s="144" customFormat="1" x14ac:dyDescent="0.35"/>
    <row r="110" s="144" customFormat="1" x14ac:dyDescent="0.35"/>
    <row r="112" s="144" customFormat="1" ht="15" hidden="1" customHeight="1" x14ac:dyDescent="0.35"/>
    <row r="113" s="144" customFormat="1" ht="15" hidden="1" customHeight="1" x14ac:dyDescent="0.35"/>
    <row r="114" s="144" customFormat="1" ht="15" hidden="1" customHeight="1" x14ac:dyDescent="0.35"/>
    <row r="115" s="144" customFormat="1" ht="15" hidden="1" customHeight="1" x14ac:dyDescent="0.35"/>
    <row r="116" s="144" customFormat="1" ht="15" hidden="1" customHeight="1" x14ac:dyDescent="0.35"/>
    <row r="117" s="144" customFormat="1" ht="15" hidden="1" customHeight="1" x14ac:dyDescent="0.35"/>
    <row r="118" s="144" customFormat="1" ht="15" hidden="1" customHeight="1" x14ac:dyDescent="0.35"/>
    <row r="119" s="144" customFormat="1" ht="15" hidden="1" customHeight="1" x14ac:dyDescent="0.35"/>
    <row r="120" s="144" customFormat="1" ht="15" hidden="1" customHeight="1" x14ac:dyDescent="0.35"/>
    <row r="121" s="144" customFormat="1" ht="15" hidden="1" customHeight="1" x14ac:dyDescent="0.35"/>
    <row r="122" s="144" customFormat="1" ht="15" hidden="1" customHeight="1" x14ac:dyDescent="0.35"/>
    <row r="123" s="144" customFormat="1" ht="15" hidden="1" customHeight="1" x14ac:dyDescent="0.35"/>
    <row r="124" s="144" customFormat="1" ht="15" hidden="1" customHeight="1" x14ac:dyDescent="0.35"/>
    <row r="125" s="144" customFormat="1" ht="15" hidden="1" customHeight="1" x14ac:dyDescent="0.35"/>
    <row r="126" s="144" customFormat="1" ht="15" hidden="1" customHeight="1" x14ac:dyDescent="0.35"/>
    <row r="127" s="144" customFormat="1" ht="15" hidden="1" customHeight="1" x14ac:dyDescent="0.35"/>
    <row r="128" s="144" customFormat="1" ht="15" hidden="1" customHeight="1" x14ac:dyDescent="0.35"/>
    <row r="129" s="144" customFormat="1" ht="15" hidden="1" customHeight="1" x14ac:dyDescent="0.35"/>
    <row r="130" s="144" customFormat="1" ht="15" hidden="1" customHeight="1" x14ac:dyDescent="0.35"/>
    <row r="131" s="144" customFormat="1" ht="15" hidden="1" customHeight="1" x14ac:dyDescent="0.35"/>
    <row r="132" s="144" customFormat="1" ht="15" hidden="1" customHeight="1" x14ac:dyDescent="0.35"/>
    <row r="133" s="144" customFormat="1" ht="15" hidden="1" customHeight="1" x14ac:dyDescent="0.35"/>
    <row r="134" s="144" customFormat="1" ht="15" hidden="1" customHeight="1" x14ac:dyDescent="0.35"/>
    <row r="135" s="144" customFormat="1" ht="15" hidden="1" customHeight="1" x14ac:dyDescent="0.35"/>
    <row r="136" s="144" customFormat="1" ht="15" hidden="1" customHeight="1" x14ac:dyDescent="0.35"/>
    <row r="137" s="144" customFormat="1" ht="15" hidden="1" customHeight="1" x14ac:dyDescent="0.35"/>
    <row r="138" s="144" customFormat="1" ht="15" hidden="1" customHeight="1" x14ac:dyDescent="0.35"/>
    <row r="139" s="144" customFormat="1" ht="15" hidden="1" customHeight="1" x14ac:dyDescent="0.35"/>
    <row r="140" s="144" customFormat="1" ht="15" hidden="1" customHeight="1" x14ac:dyDescent="0.35"/>
  </sheetData>
  <conditionalFormatting sqref="G76">
    <cfRule type="cellIs" dxfId="363" priority="11" operator="notEqual">
      <formula>$G$77</formula>
    </cfRule>
    <cfRule type="cellIs" dxfId="362" priority="12" operator="equal">
      <formula>$G$77</formula>
    </cfRule>
  </conditionalFormatting>
  <conditionalFormatting sqref="K9:K24">
    <cfRule type="cellIs" dxfId="361" priority="101" operator="notEqual">
      <formula>G9</formula>
    </cfRule>
    <cfRule type="cellIs" dxfId="360" priority="102" operator="equal">
      <formula>G9</formula>
    </cfRule>
  </conditionalFormatting>
  <conditionalFormatting sqref="K26:K41">
    <cfRule type="cellIs" dxfId="359" priority="69" operator="notEqual">
      <formula>G26</formula>
    </cfRule>
    <cfRule type="cellIs" dxfId="358" priority="70" operator="equal">
      <formula>G26</formula>
    </cfRule>
  </conditionalFormatting>
  <conditionalFormatting sqref="K43:K63">
    <cfRule type="cellIs" dxfId="357" priority="27" operator="notEqual">
      <formula>G43</formula>
    </cfRule>
    <cfRule type="cellIs" dxfId="356" priority="28" operator="equal">
      <formula>G43</formula>
    </cfRule>
  </conditionalFormatting>
  <conditionalFormatting sqref="K67:K69">
    <cfRule type="cellIs" dxfId="355" priority="21" operator="notEqual">
      <formula>G67</formula>
    </cfRule>
    <cfRule type="cellIs" dxfId="354" priority="22" operator="equal">
      <formula>G67</formula>
    </cfRule>
  </conditionalFormatting>
  <conditionalFormatting sqref="K71:K73">
    <cfRule type="cellIs" dxfId="353" priority="15" operator="notEqual">
      <formula>G71</formula>
    </cfRule>
    <cfRule type="cellIs" dxfId="352" priority="16" operator="equal">
      <formula>G71</formula>
    </cfRule>
  </conditionalFormatting>
  <conditionalFormatting sqref="K76">
    <cfRule type="cellIs" dxfId="351" priority="13" operator="notEqual">
      <formula>G76</formula>
    </cfRule>
    <cfRule type="cellIs" dxfId="350" priority="14" operator="equal">
      <formula>G76</formula>
    </cfRule>
  </conditionalFormatting>
  <dataValidations disablePrompts="1" count="1">
    <dataValidation type="list" allowBlank="1" showInputMessage="1" showErrorMessage="1" sqref="H9:H75" xr:uid="{00000000-0002-0000-0E00-000000000000}">
      <formula1>$H$80:$H$82</formula1>
    </dataValidation>
  </dataValidations>
  <pageMargins left="0.7" right="0.7" top="0.75" bottom="0.75" header="0.3" footer="0.3"/>
  <pageSetup scale="39" orientation="landscape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9" operator="notEqual" id="{50942385-8B1C-4564-B59E-A9CCD84964D2}">
            <xm:f>'D:\Finance\Work\Reports &amp; Surveys\Cost Analysis\Cost Analysis - 2012-2013\Received from Colleges\Florida Keys\Original\[Florida Keys 2012-13 CA2 10-10-13.xlsx]CA2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10" operator="equal" id="{CDE2EFAC-4FE9-4509-95B7-5BDB1340DE4A}">
            <xm:f>'D:\Finance\Work\Reports &amp; Surveys\Cost Analysis\Cost Analysis - 2012-2013\Received from Colleges\Florida Keys\Original\[Florida Keys 2012-13 CA2 10-10-13.xlsx]CA2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G8</xm:sqref>
        </x14:conditionalFormatting>
        <x14:conditionalFormatting xmlns:xm="http://schemas.microsoft.com/office/excel/2006/main">
          <x14:cfRule type="cellIs" priority="7" operator="notEqual" id="{EE0778AA-2164-445C-B48F-CB62D2FD76C5}">
            <xm:f>'D:\Finance\Work\Reports &amp; Surveys\Cost Analysis\Cost Analysis - 2012-2013\Received from Colleges\Florida Keys\Original\[Florida Keys 2012-13 CA2 10-10-13.xlsx]CA2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8" operator="equal" id="{02B256DB-4D03-40EB-932F-80C45B82A213}">
            <xm:f>'D:\Finance\Work\Reports &amp; Surveys\Cost Analysis\Cost Analysis - 2012-2013\Received from Colleges\Florida Keys\Original\[Florida Keys 2012-13 CA2 10-10-13.xlsx]CA2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G25</xm:sqref>
        </x14:conditionalFormatting>
        <x14:conditionalFormatting xmlns:xm="http://schemas.microsoft.com/office/excel/2006/main">
          <x14:cfRule type="cellIs" priority="5" operator="notEqual" id="{0AFDE463-5A79-434F-A30D-4FAA9E803FAB}">
            <xm:f>'D:\Finance\Work\Reports &amp; Surveys\Cost Analysis\Cost Analysis - 2012-2013\Received from Colleges\Florida Keys\Original\[Florida Keys 2012-13 CA2 10-10-13.xlsx]CA2 Detail'!#REF!+'D:\Finance\Work\Reports &amp; Surveys\Cost Analysis\Cost Analysis - 2012-2013\Received from Colleges\Florida Keys\Original\[Florida Keys 2012-13 CA2 10-10-13.xlsx]CA2 Detail'!#REF!+'D:\Finance\Work\Reports &amp; Surveys\Cost Analysis\Cost Analysis - 2012-2013\Received from Colleges\Florida Keys\Original\[Florida Keys 2012-13 CA2 10-10-13.xlsx]CA2 Detail'!#REF!+'D:\Finance\Work\Reports &amp; Surveys\Cost Analysis\Cost Analysis - 2012-2013\Received from Colleges\Florida Keys\Original\[Florida Keys 2012-13 CA2 10-10-13.xlsx]CA2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6" operator="equal" id="{8AF4C109-FA85-44AD-9D5D-AD9F41D00487}">
            <xm:f>'D:\Finance\Work\Reports &amp; Surveys\Cost Analysis\Cost Analysis - 2012-2013\Received from Colleges\Florida Keys\Original\[Florida Keys 2012-13 CA2 10-10-13.xlsx]CA2 Detail'!#REF!+'D:\Finance\Work\Reports &amp; Surveys\Cost Analysis\Cost Analysis - 2012-2013\Received from Colleges\Florida Keys\Original\[Florida Keys 2012-13 CA2 10-10-13.xlsx]CA2 Detail'!#REF!+'D:\Finance\Work\Reports &amp; Surveys\Cost Analysis\Cost Analysis - 2012-2013\Received from Colleges\Florida Keys\Original\[Florida Keys 2012-13 CA2 10-10-13.xlsx]CA2 Detail'!#REF!+'D:\Finance\Work\Reports &amp; Surveys\Cost Analysis\Cost Analysis - 2012-2013\Received from Colleges\Florida Keys\Original\[Florida Keys 2012-13 CA2 10-10-13.xlsx]CA2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G42</xm:sqref>
        </x14:conditionalFormatting>
        <x14:conditionalFormatting xmlns:xm="http://schemas.microsoft.com/office/excel/2006/main">
          <x14:cfRule type="cellIs" priority="3" operator="notEqual" id="{8D180AF4-76ED-4B38-943E-57EAADFF3891}">
            <xm:f>'D:\Finance\Work\Reports &amp; Surveys\Cost Analysis\Cost Analysis - 2012-2013\Received from Colleges\Florida Keys\Original\[Florida Keys 2012-13 CA2 10-10-13.xlsx]CA2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4" operator="equal" id="{86770301-F15C-47AE-B4C4-FFF98DBB4F8F}">
            <xm:f>'D:\Finance\Work\Reports &amp; Surveys\Cost Analysis\Cost Analysis - 2012-2013\Received from Colleges\Florida Keys\Original\[Florida Keys 2012-13 CA2 10-10-13.xlsx]CA2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G66</xm:sqref>
        </x14:conditionalFormatting>
        <x14:conditionalFormatting xmlns:xm="http://schemas.microsoft.com/office/excel/2006/main">
          <x14:cfRule type="cellIs" priority="1" operator="notEqual" id="{44A627FA-7DA5-4DEB-B820-51EF0FE2AE76}">
            <xm:f>'D:\Finance\Work\Reports &amp; Surveys\Cost Analysis\Cost Analysis - 2012-2013\Received from Colleges\Florida Keys\Original\[Florida Keys 2012-13 CA2 10-10-13.xlsx]CA2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2" operator="equal" id="{1C11EB67-9BD6-4DB5-A2D1-E6B0604D97FE}">
            <xm:f>'D:\Finance\Work\Reports &amp; Surveys\Cost Analysis\Cost Analysis - 2012-2013\Received from Colleges\Florida Keys\Original\[Florida Keys 2012-13 CA2 10-10-13.xlsx]CA2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G70</xm:sqref>
        </x14:conditionalFormatting>
      </x14:conditionalFormatting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00B0F0"/>
    <pageSetUpPr fitToPage="1"/>
  </sheetPr>
  <dimension ref="A1:L140"/>
  <sheetViews>
    <sheetView workbookViewId="0"/>
  </sheetViews>
  <sheetFormatPr defaultColWidth="11.453125" defaultRowHeight="14.5" x14ac:dyDescent="0.35"/>
  <cols>
    <col min="1" max="2" width="2.81640625" customWidth="1"/>
    <col min="3" max="3" width="10.453125" style="26" bestFit="1" customWidth="1"/>
    <col min="4" max="5" width="2.81640625" customWidth="1"/>
    <col min="6" max="6" width="80.7265625" bestFit="1" customWidth="1"/>
    <col min="7" max="7" width="27.81640625" customWidth="1"/>
    <col min="8" max="8" width="15.26953125" bestFit="1" customWidth="1"/>
    <col min="9" max="9" width="27.26953125" customWidth="1"/>
    <col min="10" max="10" width="26.81640625" customWidth="1"/>
    <col min="11" max="11" width="25.81640625" customWidth="1"/>
    <col min="12" max="12" width="82.54296875" customWidth="1"/>
  </cols>
  <sheetData>
    <row r="1" spans="1:12" x14ac:dyDescent="0.35">
      <c r="A1" s="134"/>
      <c r="B1" s="7"/>
      <c r="C1" s="7"/>
      <c r="D1" s="7"/>
      <c r="E1" s="7"/>
      <c r="F1" s="7"/>
      <c r="G1" s="7"/>
      <c r="H1" s="7"/>
      <c r="I1" s="7" t="s">
        <v>0</v>
      </c>
      <c r="J1" s="7"/>
      <c r="K1" s="7"/>
      <c r="L1" s="7"/>
    </row>
    <row r="2" spans="1:12" x14ac:dyDescent="0.35">
      <c r="A2" s="135"/>
      <c r="B2" s="7"/>
      <c r="C2" s="7"/>
      <c r="D2" s="7"/>
      <c r="E2" s="7"/>
      <c r="F2" s="7"/>
      <c r="G2" s="7"/>
      <c r="H2" s="7"/>
      <c r="I2" s="7" t="s">
        <v>197</v>
      </c>
      <c r="J2" s="7"/>
      <c r="K2" s="7"/>
      <c r="L2" s="7"/>
    </row>
    <row r="3" spans="1:12" x14ac:dyDescent="0.35">
      <c r="A3" s="136" t="s">
        <v>198</v>
      </c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</row>
    <row r="4" spans="1:12" ht="19.5" customHeight="1" x14ac:dyDescent="0.35">
      <c r="A4" s="137" t="s">
        <v>154</v>
      </c>
      <c r="C4"/>
    </row>
    <row r="5" spans="1:12" x14ac:dyDescent="0.35">
      <c r="C5"/>
    </row>
    <row r="6" spans="1:12" s="7" customFormat="1" x14ac:dyDescent="0.35">
      <c r="A6" s="3" t="s">
        <v>2</v>
      </c>
      <c r="B6" s="4"/>
      <c r="C6" s="4"/>
      <c r="D6" s="3" t="s">
        <v>3</v>
      </c>
      <c r="E6" s="4"/>
      <c r="F6" s="4"/>
      <c r="G6" s="5" t="s">
        <v>274</v>
      </c>
      <c r="H6" s="6" t="s">
        <v>4</v>
      </c>
      <c r="I6" s="6" t="s">
        <v>5</v>
      </c>
      <c r="J6" s="6" t="s">
        <v>6</v>
      </c>
      <c r="K6" s="6" t="s">
        <v>7</v>
      </c>
      <c r="L6" s="6" t="s">
        <v>199</v>
      </c>
    </row>
    <row r="7" spans="1:12" x14ac:dyDescent="0.35">
      <c r="A7" s="8" t="s">
        <v>9</v>
      </c>
      <c r="B7" s="9"/>
      <c r="C7" s="10"/>
      <c r="D7" s="11" t="s">
        <v>10</v>
      </c>
      <c r="E7" s="10"/>
      <c r="F7" s="10"/>
      <c r="G7" s="69"/>
      <c r="H7" s="9"/>
      <c r="I7" s="69"/>
      <c r="J7" s="69"/>
      <c r="K7" s="69"/>
      <c r="L7" s="11"/>
    </row>
    <row r="8" spans="1:12" x14ac:dyDescent="0.35">
      <c r="A8" s="8"/>
      <c r="B8" s="9" t="s">
        <v>11</v>
      </c>
      <c r="C8" s="10"/>
      <c r="D8" s="13"/>
      <c r="E8" s="9" t="s">
        <v>12</v>
      </c>
      <c r="F8" s="10"/>
      <c r="G8" s="69">
        <v>1296823</v>
      </c>
      <c r="H8" s="9"/>
      <c r="I8" s="69">
        <v>1164994</v>
      </c>
      <c r="J8" s="69">
        <v>131829</v>
      </c>
      <c r="K8" s="69"/>
      <c r="L8" s="14"/>
    </row>
    <row r="9" spans="1:12" x14ac:dyDescent="0.35">
      <c r="A9" s="8"/>
      <c r="B9" s="9"/>
      <c r="C9" s="10" t="s">
        <v>13</v>
      </c>
      <c r="D9" s="13"/>
      <c r="E9" s="10"/>
      <c r="F9" s="9" t="s">
        <v>14</v>
      </c>
      <c r="G9" s="70">
        <v>530854</v>
      </c>
      <c r="H9" s="95" t="s">
        <v>59</v>
      </c>
      <c r="I9" s="70">
        <v>399025</v>
      </c>
      <c r="J9" s="70">
        <v>131829</v>
      </c>
      <c r="K9" s="69">
        <v>530854</v>
      </c>
      <c r="L9" s="17"/>
    </row>
    <row r="10" spans="1:12" x14ac:dyDescent="0.35">
      <c r="A10" s="8"/>
      <c r="B10" s="9"/>
      <c r="C10" s="10" t="s">
        <v>16</v>
      </c>
      <c r="D10" s="13"/>
      <c r="E10" s="10"/>
      <c r="F10" s="9" t="s">
        <v>17</v>
      </c>
      <c r="G10" s="70">
        <v>4587</v>
      </c>
      <c r="H10" s="95" t="s">
        <v>15</v>
      </c>
      <c r="I10" s="70">
        <v>4587</v>
      </c>
      <c r="J10" s="70"/>
      <c r="K10" s="69">
        <v>4587</v>
      </c>
      <c r="L10" s="17"/>
    </row>
    <row r="11" spans="1:12" x14ac:dyDescent="0.35">
      <c r="A11" s="8"/>
      <c r="B11" s="9"/>
      <c r="C11" s="10" t="s">
        <v>18</v>
      </c>
      <c r="D11" s="13"/>
      <c r="E11" s="10"/>
      <c r="F11" s="9" t="s">
        <v>19</v>
      </c>
      <c r="G11" s="70">
        <v>510618</v>
      </c>
      <c r="H11" s="95" t="s">
        <v>15</v>
      </c>
      <c r="I11" s="70">
        <v>510618</v>
      </c>
      <c r="J11" s="70">
        <v>0</v>
      </c>
      <c r="K11" s="69">
        <v>510618</v>
      </c>
      <c r="L11" s="17"/>
    </row>
    <row r="12" spans="1:12" x14ac:dyDescent="0.35">
      <c r="A12" s="8"/>
      <c r="B12" s="9"/>
      <c r="C12" s="10" t="s">
        <v>20</v>
      </c>
      <c r="D12" s="13"/>
      <c r="E12" s="10"/>
      <c r="F12" s="9" t="s">
        <v>21</v>
      </c>
      <c r="G12" s="70"/>
      <c r="H12" s="16"/>
      <c r="I12" s="70"/>
      <c r="J12" s="70"/>
      <c r="K12" s="69">
        <v>0</v>
      </c>
      <c r="L12" s="17"/>
    </row>
    <row r="13" spans="1:12" x14ac:dyDescent="0.35">
      <c r="A13" s="8"/>
      <c r="B13" s="9"/>
      <c r="C13" s="10" t="s">
        <v>22</v>
      </c>
      <c r="D13" s="13"/>
      <c r="E13" s="10"/>
      <c r="F13" s="9" t="s">
        <v>23</v>
      </c>
      <c r="G13" s="70">
        <v>228780</v>
      </c>
      <c r="H13" s="95" t="s">
        <v>15</v>
      </c>
      <c r="I13" s="70">
        <v>228780</v>
      </c>
      <c r="J13" s="70"/>
      <c r="K13" s="69">
        <v>228780</v>
      </c>
      <c r="L13" s="17"/>
    </row>
    <row r="14" spans="1:12" x14ac:dyDescent="0.35">
      <c r="A14" s="8"/>
      <c r="B14" s="9"/>
      <c r="C14" s="10" t="s">
        <v>25</v>
      </c>
      <c r="D14" s="13"/>
      <c r="E14" s="10"/>
      <c r="F14" s="9" t="s">
        <v>26</v>
      </c>
      <c r="G14" s="70"/>
      <c r="H14" s="16"/>
      <c r="I14" s="70"/>
      <c r="J14" s="70"/>
      <c r="K14" s="69">
        <v>0</v>
      </c>
      <c r="L14" s="17"/>
    </row>
    <row r="15" spans="1:12" x14ac:dyDescent="0.35">
      <c r="A15" s="8"/>
      <c r="B15" s="9"/>
      <c r="C15" s="10" t="s">
        <v>27</v>
      </c>
      <c r="D15" s="13"/>
      <c r="E15" s="10"/>
      <c r="F15" s="9" t="s">
        <v>28</v>
      </c>
      <c r="G15" s="70"/>
      <c r="H15" s="16"/>
      <c r="I15" s="70"/>
      <c r="J15" s="70"/>
      <c r="K15" s="69">
        <v>0</v>
      </c>
      <c r="L15" s="17"/>
    </row>
    <row r="16" spans="1:12" x14ac:dyDescent="0.35">
      <c r="A16" s="8"/>
      <c r="B16" s="9"/>
      <c r="C16" s="10" t="s">
        <v>29</v>
      </c>
      <c r="D16" s="13"/>
      <c r="E16" s="10"/>
      <c r="F16" s="9" t="s">
        <v>30</v>
      </c>
      <c r="G16" s="70"/>
      <c r="H16" s="16"/>
      <c r="I16" s="70"/>
      <c r="J16" s="70"/>
      <c r="K16" s="69">
        <v>0</v>
      </c>
      <c r="L16" s="17"/>
    </row>
    <row r="17" spans="1:12" x14ac:dyDescent="0.35">
      <c r="A17" s="8"/>
      <c r="B17" s="9"/>
      <c r="C17" s="10" t="s">
        <v>31</v>
      </c>
      <c r="D17" s="13"/>
      <c r="E17" s="10"/>
      <c r="F17" s="9" t="s">
        <v>32</v>
      </c>
      <c r="G17" s="70"/>
      <c r="H17" s="95"/>
      <c r="I17" s="70"/>
      <c r="J17" s="70"/>
      <c r="K17" s="69">
        <v>0</v>
      </c>
      <c r="L17" s="17"/>
    </row>
    <row r="18" spans="1:12" x14ac:dyDescent="0.35">
      <c r="A18" s="8"/>
      <c r="B18" s="9"/>
      <c r="C18" s="10" t="s">
        <v>33</v>
      </c>
      <c r="D18" s="13"/>
      <c r="E18" s="10"/>
      <c r="F18" s="9" t="s">
        <v>34</v>
      </c>
      <c r="G18" s="70"/>
      <c r="H18" s="95"/>
      <c r="I18" s="70"/>
      <c r="J18" s="70"/>
      <c r="K18" s="69">
        <v>0</v>
      </c>
      <c r="L18" s="17"/>
    </row>
    <row r="19" spans="1:12" x14ac:dyDescent="0.35">
      <c r="A19" s="8"/>
      <c r="B19" s="9"/>
      <c r="C19" s="10" t="s">
        <v>35</v>
      </c>
      <c r="D19" s="13"/>
      <c r="E19" s="10"/>
      <c r="F19" s="9" t="s">
        <v>36</v>
      </c>
      <c r="G19" s="71"/>
      <c r="H19" s="16"/>
      <c r="I19" s="71"/>
      <c r="J19" s="71"/>
      <c r="K19" s="69">
        <v>0</v>
      </c>
      <c r="L19" s="17"/>
    </row>
    <row r="20" spans="1:12" x14ac:dyDescent="0.35">
      <c r="A20" s="8"/>
      <c r="B20" s="9"/>
      <c r="C20" s="10" t="s">
        <v>37</v>
      </c>
      <c r="D20" s="13"/>
      <c r="E20" s="10"/>
      <c r="F20" s="9" t="s">
        <v>38</v>
      </c>
      <c r="G20" s="70">
        <v>21984</v>
      </c>
      <c r="H20" s="95" t="s">
        <v>15</v>
      </c>
      <c r="I20" s="70">
        <v>21984</v>
      </c>
      <c r="J20" s="70"/>
      <c r="K20" s="69">
        <v>21984</v>
      </c>
      <c r="L20" s="17"/>
    </row>
    <row r="21" spans="1:12" x14ac:dyDescent="0.35">
      <c r="A21" s="8"/>
      <c r="B21" s="9"/>
      <c r="C21" s="10" t="s">
        <v>39</v>
      </c>
      <c r="D21" s="13"/>
      <c r="E21" s="10"/>
      <c r="F21" s="9" t="s">
        <v>40</v>
      </c>
      <c r="G21" s="70"/>
      <c r="H21" s="16"/>
      <c r="I21" s="70"/>
      <c r="J21" s="70"/>
      <c r="K21" s="69">
        <v>0</v>
      </c>
      <c r="L21" s="17"/>
    </row>
    <row r="22" spans="1:12" x14ac:dyDescent="0.35">
      <c r="A22" s="8"/>
      <c r="B22" s="9"/>
      <c r="C22" s="10" t="s">
        <v>41</v>
      </c>
      <c r="D22" s="13"/>
      <c r="E22" s="10"/>
      <c r="F22" s="9" t="s">
        <v>42</v>
      </c>
      <c r="G22" s="70"/>
      <c r="H22" s="16"/>
      <c r="I22" s="70"/>
      <c r="J22" s="70"/>
      <c r="K22" s="69">
        <v>0</v>
      </c>
      <c r="L22" s="17"/>
    </row>
    <row r="23" spans="1:12" x14ac:dyDescent="0.35">
      <c r="A23" s="8"/>
      <c r="B23" s="9"/>
      <c r="C23" s="10" t="s">
        <v>43</v>
      </c>
      <c r="D23" s="13"/>
      <c r="E23" s="10"/>
      <c r="F23" s="9" t="s">
        <v>44</v>
      </c>
      <c r="G23" s="70"/>
      <c r="H23" s="16"/>
      <c r="I23" s="70"/>
      <c r="J23" s="70"/>
      <c r="K23" s="69">
        <v>0</v>
      </c>
      <c r="L23" s="17"/>
    </row>
    <row r="24" spans="1:12" x14ac:dyDescent="0.35">
      <c r="A24" s="9"/>
      <c r="B24" s="9"/>
      <c r="C24" s="19" t="s">
        <v>45</v>
      </c>
      <c r="D24" s="13"/>
      <c r="E24" s="19"/>
      <c r="F24" s="9" t="s">
        <v>46</v>
      </c>
      <c r="G24" s="72"/>
      <c r="H24" s="16"/>
      <c r="I24" s="72"/>
      <c r="J24" s="72"/>
      <c r="K24" s="69">
        <v>0</v>
      </c>
      <c r="L24" s="17"/>
    </row>
    <row r="25" spans="1:12" x14ac:dyDescent="0.35">
      <c r="A25" s="8"/>
      <c r="B25" s="9" t="s">
        <v>47</v>
      </c>
      <c r="C25" s="10"/>
      <c r="D25" s="13"/>
      <c r="E25" s="9" t="s">
        <v>48</v>
      </c>
      <c r="F25" s="10"/>
      <c r="G25" s="69">
        <v>780403</v>
      </c>
      <c r="H25" s="9"/>
      <c r="I25" s="69">
        <v>780403</v>
      </c>
      <c r="J25" s="69">
        <v>0</v>
      </c>
      <c r="K25" s="69"/>
      <c r="L25" s="14"/>
    </row>
    <row r="26" spans="1:12" x14ac:dyDescent="0.35">
      <c r="A26" s="8"/>
      <c r="B26" s="9"/>
      <c r="C26" s="10" t="s">
        <v>49</v>
      </c>
      <c r="D26" s="13"/>
      <c r="E26" s="10"/>
      <c r="F26" s="9" t="s">
        <v>50</v>
      </c>
      <c r="G26" s="70"/>
      <c r="H26" s="16"/>
      <c r="I26" s="70"/>
      <c r="J26" s="70"/>
      <c r="K26" s="69">
        <v>0</v>
      </c>
      <c r="L26" s="17"/>
    </row>
    <row r="27" spans="1:12" x14ac:dyDescent="0.35">
      <c r="A27" s="8"/>
      <c r="B27" s="9"/>
      <c r="C27" s="10" t="s">
        <v>51</v>
      </c>
      <c r="D27" s="13"/>
      <c r="E27" s="10"/>
      <c r="F27" s="9" t="s">
        <v>52</v>
      </c>
      <c r="G27" s="70"/>
      <c r="H27" s="16"/>
      <c r="I27" s="70"/>
      <c r="J27" s="70"/>
      <c r="K27" s="69">
        <v>0</v>
      </c>
      <c r="L27" s="17"/>
    </row>
    <row r="28" spans="1:12" x14ac:dyDescent="0.35">
      <c r="A28" s="8"/>
      <c r="B28" s="9"/>
      <c r="C28" s="10" t="s">
        <v>53</v>
      </c>
      <c r="D28" s="13"/>
      <c r="E28" s="10"/>
      <c r="F28" s="9" t="s">
        <v>54</v>
      </c>
      <c r="G28" s="70">
        <v>117252</v>
      </c>
      <c r="H28" s="95" t="s">
        <v>15</v>
      </c>
      <c r="I28" s="70">
        <v>117252</v>
      </c>
      <c r="J28" s="70"/>
      <c r="K28" s="69">
        <v>117252</v>
      </c>
      <c r="L28" s="17"/>
    </row>
    <row r="29" spans="1:12" x14ac:dyDescent="0.35">
      <c r="A29" s="8"/>
      <c r="B29" s="9"/>
      <c r="C29" s="10" t="s">
        <v>55</v>
      </c>
      <c r="D29" s="13"/>
      <c r="E29" s="10"/>
      <c r="F29" s="9" t="s">
        <v>56</v>
      </c>
      <c r="G29" s="70">
        <v>217279</v>
      </c>
      <c r="H29" s="95" t="s">
        <v>15</v>
      </c>
      <c r="I29" s="70">
        <v>217279</v>
      </c>
      <c r="J29" s="70"/>
      <c r="K29" s="69">
        <v>217279</v>
      </c>
      <c r="L29" s="17"/>
    </row>
    <row r="30" spans="1:12" x14ac:dyDescent="0.35">
      <c r="A30" s="8"/>
      <c r="B30" s="9"/>
      <c r="C30" s="10" t="s">
        <v>57</v>
      </c>
      <c r="D30" s="13"/>
      <c r="E30" s="10"/>
      <c r="F30" s="9" t="s">
        <v>58</v>
      </c>
      <c r="G30" s="70">
        <v>107014</v>
      </c>
      <c r="H30" s="95" t="s">
        <v>15</v>
      </c>
      <c r="I30" s="70">
        <v>107014</v>
      </c>
      <c r="J30" s="70"/>
      <c r="K30" s="69">
        <v>107014</v>
      </c>
      <c r="L30" s="17"/>
    </row>
    <row r="31" spans="1:12" x14ac:dyDescent="0.35">
      <c r="A31" s="8"/>
      <c r="B31" s="9"/>
      <c r="C31" s="10" t="s">
        <v>60</v>
      </c>
      <c r="D31" s="13"/>
      <c r="E31" s="10"/>
      <c r="F31" s="9" t="s">
        <v>61</v>
      </c>
      <c r="G31" s="70"/>
      <c r="H31" s="95"/>
      <c r="I31" s="70"/>
      <c r="J31" s="70"/>
      <c r="K31" s="69">
        <v>0</v>
      </c>
      <c r="L31" s="17"/>
    </row>
    <row r="32" spans="1:12" x14ac:dyDescent="0.35">
      <c r="A32" s="8"/>
      <c r="B32" s="9"/>
      <c r="C32" s="10" t="s">
        <v>62</v>
      </c>
      <c r="D32" s="13"/>
      <c r="E32" s="10"/>
      <c r="F32" s="9" t="s">
        <v>63</v>
      </c>
      <c r="G32" s="70"/>
      <c r="H32" s="16"/>
      <c r="I32" s="70"/>
      <c r="J32" s="70"/>
      <c r="K32" s="69">
        <v>0</v>
      </c>
      <c r="L32" s="17"/>
    </row>
    <row r="33" spans="1:12" x14ac:dyDescent="0.35">
      <c r="A33" s="9"/>
      <c r="B33" s="9"/>
      <c r="C33" s="10" t="s">
        <v>64</v>
      </c>
      <c r="D33" s="9"/>
      <c r="E33" s="10"/>
      <c r="F33" s="9" t="s">
        <v>65</v>
      </c>
      <c r="G33" s="70">
        <v>176818</v>
      </c>
      <c r="H33" s="95" t="s">
        <v>15</v>
      </c>
      <c r="I33" s="70">
        <v>176818</v>
      </c>
      <c r="J33" s="70"/>
      <c r="K33" s="69">
        <v>176818</v>
      </c>
      <c r="L33" s="17"/>
    </row>
    <row r="34" spans="1:12" x14ac:dyDescent="0.35">
      <c r="A34" s="9"/>
      <c r="B34" s="9"/>
      <c r="C34" s="10" t="s">
        <v>66</v>
      </c>
      <c r="D34" s="9"/>
      <c r="E34" s="9"/>
      <c r="F34" s="9" t="s">
        <v>67</v>
      </c>
      <c r="G34" s="70">
        <v>86159</v>
      </c>
      <c r="H34" s="95" t="s">
        <v>15</v>
      </c>
      <c r="I34" s="70">
        <v>86159</v>
      </c>
      <c r="J34" s="70"/>
      <c r="K34" s="69">
        <v>86159</v>
      </c>
      <c r="L34" s="17"/>
    </row>
    <row r="35" spans="1:12" x14ac:dyDescent="0.35">
      <c r="A35" s="9"/>
      <c r="B35" s="9"/>
      <c r="C35" s="10" t="s">
        <v>68</v>
      </c>
      <c r="D35" s="9"/>
      <c r="E35" s="10"/>
      <c r="F35" s="9" t="s">
        <v>69</v>
      </c>
      <c r="G35" s="70"/>
      <c r="H35" s="16"/>
      <c r="I35" s="70"/>
      <c r="J35" s="70"/>
      <c r="K35" s="69">
        <v>0</v>
      </c>
      <c r="L35" s="17"/>
    </row>
    <row r="36" spans="1:12" x14ac:dyDescent="0.35">
      <c r="A36" s="9"/>
      <c r="B36" s="9"/>
      <c r="C36" s="10" t="s">
        <v>70</v>
      </c>
      <c r="D36" s="9"/>
      <c r="E36" s="9"/>
      <c r="F36" s="9" t="s">
        <v>71</v>
      </c>
      <c r="G36" s="70"/>
      <c r="H36" s="16"/>
      <c r="I36" s="70"/>
      <c r="J36" s="70"/>
      <c r="K36" s="69">
        <v>0</v>
      </c>
      <c r="L36" s="17"/>
    </row>
    <row r="37" spans="1:12" x14ac:dyDescent="0.35">
      <c r="A37" s="9"/>
      <c r="B37" s="9"/>
      <c r="C37" s="10" t="s">
        <v>72</v>
      </c>
      <c r="D37" s="9"/>
      <c r="E37" s="21"/>
      <c r="F37" s="9" t="s">
        <v>73</v>
      </c>
      <c r="G37" s="70"/>
      <c r="H37" s="16"/>
      <c r="I37" s="70"/>
      <c r="J37" s="70"/>
      <c r="K37" s="69">
        <v>0</v>
      </c>
      <c r="L37" s="17"/>
    </row>
    <row r="38" spans="1:12" x14ac:dyDescent="0.35">
      <c r="A38" s="9"/>
      <c r="B38" s="9"/>
      <c r="C38" s="10" t="s">
        <v>74</v>
      </c>
      <c r="D38" s="9"/>
      <c r="E38" s="9"/>
      <c r="F38" s="9" t="s">
        <v>75</v>
      </c>
      <c r="G38" s="70"/>
      <c r="H38" s="16"/>
      <c r="I38" s="70"/>
      <c r="J38" s="70"/>
      <c r="K38" s="69">
        <v>0</v>
      </c>
      <c r="L38" s="17"/>
    </row>
    <row r="39" spans="1:12" x14ac:dyDescent="0.35">
      <c r="A39" s="9"/>
      <c r="B39" s="9"/>
      <c r="C39" s="10" t="s">
        <v>76</v>
      </c>
      <c r="D39" s="9"/>
      <c r="E39" s="9"/>
      <c r="F39" s="9" t="s">
        <v>77</v>
      </c>
      <c r="G39" s="70"/>
      <c r="H39" s="16"/>
      <c r="I39" s="70"/>
      <c r="J39" s="70"/>
      <c r="K39" s="69">
        <v>0</v>
      </c>
      <c r="L39" s="17"/>
    </row>
    <row r="40" spans="1:12" x14ac:dyDescent="0.35">
      <c r="A40" s="9"/>
      <c r="B40" s="9"/>
      <c r="C40" s="10" t="s">
        <v>78</v>
      </c>
      <c r="D40" s="9"/>
      <c r="E40" s="9"/>
      <c r="F40" s="9" t="s">
        <v>79</v>
      </c>
      <c r="G40" s="70"/>
      <c r="H40" s="16"/>
      <c r="I40" s="70"/>
      <c r="J40" s="70"/>
      <c r="K40" s="69">
        <v>0</v>
      </c>
      <c r="L40" s="17"/>
    </row>
    <row r="41" spans="1:12" x14ac:dyDescent="0.35">
      <c r="A41" s="9"/>
      <c r="B41" s="9"/>
      <c r="C41" s="10" t="s">
        <v>80</v>
      </c>
      <c r="D41" s="9"/>
      <c r="E41" s="9"/>
      <c r="F41" s="9" t="s">
        <v>81</v>
      </c>
      <c r="G41" s="70">
        <v>75881</v>
      </c>
      <c r="H41" s="95" t="s">
        <v>15</v>
      </c>
      <c r="I41" s="70">
        <v>75881</v>
      </c>
      <c r="J41" s="70"/>
      <c r="K41" s="69">
        <v>75881</v>
      </c>
      <c r="L41" s="17"/>
    </row>
    <row r="42" spans="1:12" x14ac:dyDescent="0.35">
      <c r="A42" s="9"/>
      <c r="B42" s="9" t="s">
        <v>82</v>
      </c>
      <c r="C42" s="10"/>
      <c r="D42" s="9"/>
      <c r="E42" s="9" t="s">
        <v>83</v>
      </c>
      <c r="F42" s="9"/>
      <c r="G42" s="69">
        <v>4829702</v>
      </c>
      <c r="H42" s="9"/>
      <c r="I42" s="69">
        <v>789242</v>
      </c>
      <c r="J42" s="69">
        <v>4040460</v>
      </c>
      <c r="K42" s="69"/>
      <c r="L42" s="14"/>
    </row>
    <row r="43" spans="1:12" x14ac:dyDescent="0.35">
      <c r="A43" s="9"/>
      <c r="B43" s="9"/>
      <c r="C43" s="10" t="s">
        <v>84</v>
      </c>
      <c r="D43" s="9"/>
      <c r="E43" s="9"/>
      <c r="F43" s="9" t="s">
        <v>85</v>
      </c>
      <c r="G43" s="70">
        <v>3000042</v>
      </c>
      <c r="H43" s="95" t="s">
        <v>24</v>
      </c>
      <c r="I43" s="70">
        <v>0</v>
      </c>
      <c r="J43" s="70">
        <v>3000042</v>
      </c>
      <c r="K43" s="69">
        <v>3000042</v>
      </c>
      <c r="L43" s="17"/>
    </row>
    <row r="44" spans="1:12" x14ac:dyDescent="0.35">
      <c r="A44" s="9"/>
      <c r="B44" s="9"/>
      <c r="C44" s="10" t="s">
        <v>86</v>
      </c>
      <c r="D44" s="9"/>
      <c r="E44" s="9"/>
      <c r="F44" s="9" t="s">
        <v>87</v>
      </c>
      <c r="G44" s="70">
        <v>648940</v>
      </c>
      <c r="H44" s="95" t="s">
        <v>24</v>
      </c>
      <c r="I44" s="70"/>
      <c r="J44" s="70">
        <v>648940</v>
      </c>
      <c r="K44" s="69">
        <v>648940</v>
      </c>
      <c r="L44" s="17"/>
    </row>
    <row r="45" spans="1:12" x14ac:dyDescent="0.35">
      <c r="A45" s="9"/>
      <c r="B45" s="9"/>
      <c r="C45" s="10" t="s">
        <v>88</v>
      </c>
      <c r="D45" s="9"/>
      <c r="E45" s="9"/>
      <c r="F45" s="9" t="s">
        <v>89</v>
      </c>
      <c r="G45" s="70"/>
      <c r="H45" s="16"/>
      <c r="I45" s="70"/>
      <c r="J45" s="70"/>
      <c r="K45" s="69">
        <v>0</v>
      </c>
      <c r="L45" s="17"/>
    </row>
    <row r="46" spans="1:12" x14ac:dyDescent="0.35">
      <c r="A46" s="9"/>
      <c r="B46" s="9"/>
      <c r="C46" s="10" t="s">
        <v>90</v>
      </c>
      <c r="D46" s="9"/>
      <c r="E46" s="9"/>
      <c r="F46" s="9" t="s">
        <v>91</v>
      </c>
      <c r="G46" s="70"/>
      <c r="H46" s="16"/>
      <c r="I46" s="70"/>
      <c r="J46" s="70"/>
      <c r="K46" s="69">
        <v>0</v>
      </c>
      <c r="L46" s="17"/>
    </row>
    <row r="47" spans="1:12" x14ac:dyDescent="0.35">
      <c r="A47" s="9"/>
      <c r="B47" s="9"/>
      <c r="C47" s="10" t="s">
        <v>92</v>
      </c>
      <c r="D47" s="9"/>
      <c r="E47" s="9"/>
      <c r="F47" s="9" t="s">
        <v>93</v>
      </c>
      <c r="G47" s="70">
        <v>494328</v>
      </c>
      <c r="H47" s="95" t="s">
        <v>15</v>
      </c>
      <c r="I47" s="70">
        <v>494328</v>
      </c>
      <c r="J47" s="70"/>
      <c r="K47" s="69">
        <v>494328</v>
      </c>
      <c r="L47" s="17"/>
    </row>
    <row r="48" spans="1:12" x14ac:dyDescent="0.35">
      <c r="A48" s="9"/>
      <c r="B48" s="9"/>
      <c r="C48" s="10" t="s">
        <v>94</v>
      </c>
      <c r="D48" s="9"/>
      <c r="E48" s="9"/>
      <c r="F48" s="9" t="s">
        <v>95</v>
      </c>
      <c r="G48" s="70"/>
      <c r="H48" s="16"/>
      <c r="I48" s="70"/>
      <c r="J48" s="70"/>
      <c r="K48" s="69">
        <v>0</v>
      </c>
      <c r="L48" s="17"/>
    </row>
    <row r="49" spans="1:12" x14ac:dyDescent="0.35">
      <c r="A49" s="9"/>
      <c r="B49" s="9"/>
      <c r="C49" s="10" t="s">
        <v>96</v>
      </c>
      <c r="D49" s="9"/>
      <c r="E49" s="9"/>
      <c r="F49" s="9" t="s">
        <v>97</v>
      </c>
      <c r="G49" s="70">
        <v>176634</v>
      </c>
      <c r="H49" s="95" t="s">
        <v>15</v>
      </c>
      <c r="I49" s="70">
        <v>176634</v>
      </c>
      <c r="J49" s="70"/>
      <c r="K49" s="69">
        <v>176634</v>
      </c>
      <c r="L49" s="17"/>
    </row>
    <row r="50" spans="1:12" x14ac:dyDescent="0.35">
      <c r="A50" s="9"/>
      <c r="B50" s="9"/>
      <c r="C50" s="10" t="s">
        <v>98</v>
      </c>
      <c r="D50" s="9"/>
      <c r="E50" s="9"/>
      <c r="F50" s="9" t="s">
        <v>99</v>
      </c>
      <c r="G50" s="70">
        <v>54111</v>
      </c>
      <c r="H50" s="95" t="s">
        <v>15</v>
      </c>
      <c r="I50" s="70">
        <v>54111</v>
      </c>
      <c r="J50" s="70"/>
      <c r="K50" s="69">
        <v>54111</v>
      </c>
      <c r="L50" s="17"/>
    </row>
    <row r="51" spans="1:12" x14ac:dyDescent="0.35">
      <c r="A51" s="9"/>
      <c r="B51" s="9"/>
      <c r="C51" s="10" t="s">
        <v>100</v>
      </c>
      <c r="D51" s="9"/>
      <c r="E51" s="9"/>
      <c r="F51" s="9" t="s">
        <v>101</v>
      </c>
      <c r="G51" s="70"/>
      <c r="H51" s="16"/>
      <c r="I51" s="70"/>
      <c r="J51" s="70"/>
      <c r="K51" s="69">
        <v>0</v>
      </c>
      <c r="L51" s="17"/>
    </row>
    <row r="52" spans="1:12" x14ac:dyDescent="0.35">
      <c r="A52" s="9"/>
      <c r="B52" s="9"/>
      <c r="C52" s="10" t="s">
        <v>102</v>
      </c>
      <c r="D52" s="9"/>
      <c r="E52" s="9"/>
      <c r="F52" s="9" t="s">
        <v>103</v>
      </c>
      <c r="G52" s="70"/>
      <c r="H52" s="16"/>
      <c r="I52" s="70"/>
      <c r="J52" s="70"/>
      <c r="K52" s="69">
        <v>0</v>
      </c>
      <c r="L52" s="17"/>
    </row>
    <row r="53" spans="1:12" x14ac:dyDescent="0.35">
      <c r="A53" s="9"/>
      <c r="B53" s="9"/>
      <c r="C53" s="10" t="s">
        <v>104</v>
      </c>
      <c r="D53" s="9"/>
      <c r="E53" s="9"/>
      <c r="F53" s="9" t="s">
        <v>105</v>
      </c>
      <c r="G53" s="70"/>
      <c r="H53" s="16"/>
      <c r="I53" s="70"/>
      <c r="J53" s="70"/>
      <c r="K53" s="69">
        <v>0</v>
      </c>
      <c r="L53" s="17"/>
    </row>
    <row r="54" spans="1:12" x14ac:dyDescent="0.35">
      <c r="A54" s="9"/>
      <c r="B54" s="9"/>
      <c r="C54" s="10" t="s">
        <v>106</v>
      </c>
      <c r="D54" s="9"/>
      <c r="E54" s="9"/>
      <c r="F54" s="9" t="s">
        <v>107</v>
      </c>
      <c r="G54" s="70">
        <v>51777</v>
      </c>
      <c r="H54" s="95" t="s">
        <v>24</v>
      </c>
      <c r="I54" s="70">
        <v>0</v>
      </c>
      <c r="J54" s="70">
        <v>51777</v>
      </c>
      <c r="K54" s="69">
        <v>51777</v>
      </c>
      <c r="L54" s="17"/>
    </row>
    <row r="55" spans="1:12" x14ac:dyDescent="0.35">
      <c r="A55" s="9"/>
      <c r="B55" s="9"/>
      <c r="C55" s="10" t="s">
        <v>108</v>
      </c>
      <c r="D55" s="9"/>
      <c r="E55" s="9"/>
      <c r="F55" s="9" t="s">
        <v>109</v>
      </c>
      <c r="G55" s="70">
        <v>299390</v>
      </c>
      <c r="H55" s="95" t="s">
        <v>24</v>
      </c>
      <c r="I55" s="70">
        <v>0</v>
      </c>
      <c r="J55" s="70">
        <v>299390</v>
      </c>
      <c r="K55" s="69">
        <v>299390</v>
      </c>
      <c r="L55" s="17"/>
    </row>
    <row r="56" spans="1:12" x14ac:dyDescent="0.35">
      <c r="A56" s="9"/>
      <c r="B56" s="9"/>
      <c r="C56" s="10" t="s">
        <v>110</v>
      </c>
      <c r="D56" s="9"/>
      <c r="E56" s="9"/>
      <c r="F56" s="9" t="s">
        <v>111</v>
      </c>
      <c r="G56" s="70"/>
      <c r="H56" s="16"/>
      <c r="I56" s="70"/>
      <c r="J56" s="70"/>
      <c r="K56" s="69">
        <v>0</v>
      </c>
      <c r="L56" s="17"/>
    </row>
    <row r="57" spans="1:12" x14ac:dyDescent="0.35">
      <c r="A57" s="9"/>
      <c r="B57" s="9"/>
      <c r="C57" s="10" t="s">
        <v>112</v>
      </c>
      <c r="D57" s="9"/>
      <c r="E57" s="9"/>
      <c r="F57" s="9" t="s">
        <v>113</v>
      </c>
      <c r="G57" s="70"/>
      <c r="H57" s="16"/>
      <c r="I57" s="70"/>
      <c r="J57" s="70"/>
      <c r="K57" s="69">
        <v>0</v>
      </c>
      <c r="L57" s="17"/>
    </row>
    <row r="58" spans="1:12" x14ac:dyDescent="0.35">
      <c r="A58" s="9"/>
      <c r="B58" s="9"/>
      <c r="C58" s="10" t="s">
        <v>114</v>
      </c>
      <c r="D58" s="9"/>
      <c r="E58" s="9"/>
      <c r="F58" s="9" t="s">
        <v>115</v>
      </c>
      <c r="G58" s="70"/>
      <c r="H58" s="16"/>
      <c r="I58" s="70"/>
      <c r="J58" s="70"/>
      <c r="K58" s="69">
        <v>0</v>
      </c>
      <c r="L58" s="17"/>
    </row>
    <row r="59" spans="1:12" x14ac:dyDescent="0.35">
      <c r="A59" s="9"/>
      <c r="B59" s="9"/>
      <c r="C59" s="10" t="s">
        <v>116</v>
      </c>
      <c r="D59" s="9"/>
      <c r="E59" s="9"/>
      <c r="F59" s="9" t="s">
        <v>117</v>
      </c>
      <c r="G59" s="70"/>
      <c r="H59" s="16"/>
      <c r="I59" s="70"/>
      <c r="J59" s="70"/>
      <c r="K59" s="69">
        <v>0</v>
      </c>
      <c r="L59" s="17"/>
    </row>
    <row r="60" spans="1:12" x14ac:dyDescent="0.35">
      <c r="A60" s="9"/>
      <c r="B60" s="9"/>
      <c r="C60" s="10" t="s">
        <v>118</v>
      </c>
      <c r="D60" s="9"/>
      <c r="E60" s="9"/>
      <c r="F60" s="9" t="s">
        <v>119</v>
      </c>
      <c r="G60" s="70">
        <v>4275</v>
      </c>
      <c r="H60" s="95" t="s">
        <v>24</v>
      </c>
      <c r="I60" s="70"/>
      <c r="J60" s="70">
        <v>4275</v>
      </c>
      <c r="K60" s="69">
        <v>4275</v>
      </c>
      <c r="L60" s="17"/>
    </row>
    <row r="61" spans="1:12" x14ac:dyDescent="0.35">
      <c r="A61" s="9"/>
      <c r="B61" s="9"/>
      <c r="C61" s="10" t="s">
        <v>120</v>
      </c>
      <c r="D61" s="9"/>
      <c r="E61" s="9"/>
      <c r="F61" s="9" t="s">
        <v>121</v>
      </c>
      <c r="G61" s="70">
        <v>64169</v>
      </c>
      <c r="H61" s="95" t="s">
        <v>15</v>
      </c>
      <c r="I61" s="70">
        <v>64169</v>
      </c>
      <c r="J61" s="70"/>
      <c r="K61" s="69">
        <v>64169</v>
      </c>
      <c r="L61" s="17"/>
    </row>
    <row r="62" spans="1:12" x14ac:dyDescent="0.35">
      <c r="A62" s="9"/>
      <c r="B62" s="9"/>
      <c r="C62" s="10" t="s">
        <v>122</v>
      </c>
      <c r="D62" s="9"/>
      <c r="E62" s="9"/>
      <c r="F62" s="9" t="s">
        <v>123</v>
      </c>
      <c r="G62" s="70">
        <v>4999</v>
      </c>
      <c r="H62" s="95" t="s">
        <v>24</v>
      </c>
      <c r="I62" s="70">
        <v>0</v>
      </c>
      <c r="J62" s="70">
        <v>4999</v>
      </c>
      <c r="K62" s="69">
        <v>4999</v>
      </c>
      <c r="L62" s="17"/>
    </row>
    <row r="63" spans="1:12" x14ac:dyDescent="0.35">
      <c r="A63" s="9"/>
      <c r="B63" s="9"/>
      <c r="C63" s="10" t="s">
        <v>124</v>
      </c>
      <c r="D63" s="9"/>
      <c r="E63" s="9"/>
      <c r="F63" s="9" t="s">
        <v>125</v>
      </c>
      <c r="G63" s="70">
        <v>31037</v>
      </c>
      <c r="H63" s="95" t="s">
        <v>24</v>
      </c>
      <c r="I63" s="70"/>
      <c r="J63" s="70">
        <v>31037</v>
      </c>
      <c r="K63" s="69">
        <v>31037</v>
      </c>
      <c r="L63" s="17"/>
    </row>
    <row r="64" spans="1:12" hidden="1" x14ac:dyDescent="0.35">
      <c r="A64" s="9"/>
      <c r="B64" s="9" t="s">
        <v>126</v>
      </c>
      <c r="C64" s="10"/>
      <c r="D64" s="9"/>
      <c r="E64" s="9" t="s">
        <v>127</v>
      </c>
      <c r="F64" s="9"/>
      <c r="G64" s="69"/>
      <c r="H64" s="9"/>
      <c r="I64" s="69"/>
      <c r="J64" s="69"/>
      <c r="K64" s="69"/>
      <c r="L64" s="14"/>
    </row>
    <row r="65" spans="1:12" hidden="1" x14ac:dyDescent="0.35">
      <c r="A65" s="9"/>
      <c r="B65" s="9" t="s">
        <v>128</v>
      </c>
      <c r="C65" s="10"/>
      <c r="D65" s="9"/>
      <c r="E65" s="9" t="s">
        <v>127</v>
      </c>
      <c r="F65" s="9"/>
      <c r="G65" s="69"/>
      <c r="H65" s="9"/>
      <c r="I65" s="69"/>
      <c r="J65" s="69"/>
      <c r="K65" s="69"/>
      <c r="L65" s="14"/>
    </row>
    <row r="66" spans="1:12" x14ac:dyDescent="0.35">
      <c r="A66" s="9"/>
      <c r="B66" s="9" t="s">
        <v>129</v>
      </c>
      <c r="C66" s="10"/>
      <c r="D66" s="9"/>
      <c r="E66" s="9" t="s">
        <v>130</v>
      </c>
      <c r="F66" s="9"/>
      <c r="G66" s="69">
        <v>0</v>
      </c>
      <c r="H66" s="9"/>
      <c r="I66" s="69">
        <v>0</v>
      </c>
      <c r="J66" s="69">
        <v>0</v>
      </c>
      <c r="K66" s="69"/>
      <c r="L66" s="14"/>
    </row>
    <row r="67" spans="1:12" x14ac:dyDescent="0.35">
      <c r="A67" s="9"/>
      <c r="B67" s="9"/>
      <c r="C67" s="10" t="s">
        <v>131</v>
      </c>
      <c r="D67" s="9"/>
      <c r="E67" s="9"/>
      <c r="F67" s="9" t="s">
        <v>132</v>
      </c>
      <c r="G67" s="70"/>
      <c r="H67" s="16"/>
      <c r="I67" s="70"/>
      <c r="J67" s="70">
        <v>0</v>
      </c>
      <c r="K67" s="69">
        <v>0</v>
      </c>
      <c r="L67" s="17"/>
    </row>
    <row r="68" spans="1:12" x14ac:dyDescent="0.35">
      <c r="A68" s="9"/>
      <c r="B68" s="9"/>
      <c r="C68" s="10" t="s">
        <v>133</v>
      </c>
      <c r="D68" s="9"/>
      <c r="E68" s="9"/>
      <c r="F68" s="9" t="s">
        <v>134</v>
      </c>
      <c r="G68" s="70"/>
      <c r="H68" s="16"/>
      <c r="I68" s="70"/>
      <c r="J68" s="70"/>
      <c r="K68" s="69">
        <v>0</v>
      </c>
      <c r="L68" s="17"/>
    </row>
    <row r="69" spans="1:12" x14ac:dyDescent="0.35">
      <c r="A69" s="9"/>
      <c r="B69" s="9"/>
      <c r="C69" s="10" t="s">
        <v>135</v>
      </c>
      <c r="D69" s="9"/>
      <c r="E69" s="9"/>
      <c r="F69" s="9" t="s">
        <v>136</v>
      </c>
      <c r="G69" s="70"/>
      <c r="H69" s="16"/>
      <c r="I69" s="70"/>
      <c r="J69" s="70"/>
      <c r="K69" s="69">
        <v>0</v>
      </c>
      <c r="L69" s="17"/>
    </row>
    <row r="70" spans="1:12" x14ac:dyDescent="0.35">
      <c r="A70" s="9"/>
      <c r="B70" s="9" t="s">
        <v>137</v>
      </c>
      <c r="C70" s="10"/>
      <c r="D70" s="9"/>
      <c r="E70" s="9" t="s">
        <v>138</v>
      </c>
      <c r="F70" s="9"/>
      <c r="G70" s="69">
        <v>31806</v>
      </c>
      <c r="H70" s="9"/>
      <c r="I70" s="69">
        <v>0</v>
      </c>
      <c r="J70" s="69">
        <v>31806</v>
      </c>
      <c r="K70" s="69"/>
      <c r="L70" s="14"/>
    </row>
    <row r="71" spans="1:12" x14ac:dyDescent="0.35">
      <c r="A71" s="9"/>
      <c r="B71" s="9"/>
      <c r="C71" s="10" t="s">
        <v>139</v>
      </c>
      <c r="D71" s="9"/>
      <c r="E71" s="9"/>
      <c r="F71" s="9" t="s">
        <v>140</v>
      </c>
      <c r="G71" s="70"/>
      <c r="H71" s="16"/>
      <c r="I71" s="70"/>
      <c r="J71" s="70"/>
      <c r="K71" s="69">
        <v>0</v>
      </c>
      <c r="L71" s="17"/>
    </row>
    <row r="72" spans="1:12" x14ac:dyDescent="0.35">
      <c r="A72" s="9"/>
      <c r="B72" s="9"/>
      <c r="C72" s="10" t="s">
        <v>141</v>
      </c>
      <c r="D72" s="9"/>
      <c r="E72" s="9"/>
      <c r="F72" s="9" t="s">
        <v>142</v>
      </c>
      <c r="G72" s="70">
        <v>31806</v>
      </c>
      <c r="H72" s="95" t="s">
        <v>24</v>
      </c>
      <c r="I72" s="70"/>
      <c r="J72" s="70">
        <v>31806</v>
      </c>
      <c r="K72" s="69">
        <v>31806</v>
      </c>
      <c r="L72" s="17"/>
    </row>
    <row r="73" spans="1:12" x14ac:dyDescent="0.35">
      <c r="A73" s="9"/>
      <c r="B73" s="9"/>
      <c r="C73" s="10" t="s">
        <v>143</v>
      </c>
      <c r="D73" s="9"/>
      <c r="E73" s="9"/>
      <c r="F73" s="9" t="s">
        <v>144</v>
      </c>
      <c r="G73" s="70"/>
      <c r="H73" s="16"/>
      <c r="I73" s="70"/>
      <c r="J73" s="70"/>
      <c r="K73" s="69">
        <v>0</v>
      </c>
      <c r="L73" s="17"/>
    </row>
    <row r="74" spans="1:12" hidden="1" x14ac:dyDescent="0.35">
      <c r="A74" s="9"/>
      <c r="B74" s="9" t="s">
        <v>145</v>
      </c>
      <c r="C74" s="10"/>
      <c r="D74" s="9"/>
      <c r="E74" s="9" t="s">
        <v>127</v>
      </c>
      <c r="F74" s="9"/>
      <c r="G74" s="69"/>
      <c r="H74" s="9"/>
      <c r="I74" s="69"/>
      <c r="J74" s="69"/>
      <c r="K74" s="69"/>
      <c r="L74" s="14"/>
    </row>
    <row r="75" spans="1:12" hidden="1" x14ac:dyDescent="0.35">
      <c r="A75" s="9"/>
      <c r="B75" s="9" t="s">
        <v>146</v>
      </c>
      <c r="C75" s="10"/>
      <c r="D75" s="9"/>
      <c r="E75" s="9" t="s">
        <v>127</v>
      </c>
      <c r="F75" s="9"/>
      <c r="G75" s="69"/>
      <c r="H75" s="9"/>
      <c r="I75" s="69"/>
      <c r="J75" s="69"/>
      <c r="K75" s="69"/>
      <c r="L75" s="14"/>
    </row>
    <row r="76" spans="1:12" s="7" customFormat="1" x14ac:dyDescent="0.35">
      <c r="A76" s="4" t="s">
        <v>147</v>
      </c>
      <c r="B76" s="4"/>
      <c r="C76" s="22"/>
      <c r="D76" s="4"/>
      <c r="E76" s="4"/>
      <c r="F76" s="4"/>
      <c r="G76" s="138">
        <v>6938734</v>
      </c>
      <c r="H76" s="24"/>
      <c r="I76" s="138">
        <v>2734639</v>
      </c>
      <c r="J76" s="138">
        <v>4204095</v>
      </c>
      <c r="K76" s="69">
        <v>6938734</v>
      </c>
      <c r="L76" s="25"/>
    </row>
    <row r="77" spans="1:12" x14ac:dyDescent="0.35">
      <c r="F77" s="139" t="s">
        <v>200</v>
      </c>
      <c r="G77" s="140">
        <v>6938734</v>
      </c>
      <c r="H77" s="13"/>
      <c r="I77" s="66">
        <v>0.39411209595295049</v>
      </c>
      <c r="J77" s="66">
        <v>0.60588790404704951</v>
      </c>
      <c r="K77" s="27"/>
    </row>
    <row r="79" spans="1:12" x14ac:dyDescent="0.35">
      <c r="F79" s="142" t="s">
        <v>201</v>
      </c>
    </row>
    <row r="80" spans="1:12" hidden="1" x14ac:dyDescent="0.35">
      <c r="H80" t="s">
        <v>15</v>
      </c>
    </row>
    <row r="81" spans="3:11" x14ac:dyDescent="0.35">
      <c r="C81"/>
      <c r="H81" t="s">
        <v>24</v>
      </c>
    </row>
    <row r="82" spans="3:11" x14ac:dyDescent="0.35">
      <c r="C82"/>
      <c r="H82" t="s">
        <v>59</v>
      </c>
    </row>
    <row r="83" spans="3:11" x14ac:dyDescent="0.35">
      <c r="C83"/>
      <c r="H83" s="139" t="s">
        <v>202</v>
      </c>
      <c r="I83" s="69">
        <v>34956526.279999994</v>
      </c>
      <c r="J83" s="141">
        <v>7.8229712474737367E-2</v>
      </c>
      <c r="K83" s="142" t="s">
        <v>203</v>
      </c>
    </row>
    <row r="97" customFormat="1" x14ac:dyDescent="0.35"/>
    <row r="98" customFormat="1" x14ac:dyDescent="0.35"/>
    <row r="99" customFormat="1" x14ac:dyDescent="0.35"/>
    <row r="100" customFormat="1" x14ac:dyDescent="0.35"/>
    <row r="101" customFormat="1" x14ac:dyDescent="0.35"/>
    <row r="102" customFormat="1" x14ac:dyDescent="0.35"/>
    <row r="103" customFormat="1" x14ac:dyDescent="0.35"/>
    <row r="104" customFormat="1" x14ac:dyDescent="0.35"/>
    <row r="105" customFormat="1" x14ac:dyDescent="0.35"/>
    <row r="106" customFormat="1" x14ac:dyDescent="0.35"/>
    <row r="107" customFormat="1" x14ac:dyDescent="0.35"/>
    <row r="108" customFormat="1" x14ac:dyDescent="0.35"/>
    <row r="109" customFormat="1" x14ac:dyDescent="0.35"/>
    <row r="110" customFormat="1" x14ac:dyDescent="0.35"/>
    <row r="112" customFormat="1" ht="15" hidden="1" customHeight="1" x14ac:dyDescent="0.35"/>
    <row r="113" customFormat="1" ht="15" hidden="1" customHeight="1" x14ac:dyDescent="0.35"/>
    <row r="114" customFormat="1" ht="15" hidden="1" customHeight="1" x14ac:dyDescent="0.35"/>
    <row r="115" customFormat="1" ht="15" hidden="1" customHeight="1" x14ac:dyDescent="0.35"/>
    <row r="116" customFormat="1" ht="15" hidden="1" customHeight="1" x14ac:dyDescent="0.35"/>
    <row r="117" customFormat="1" ht="15" hidden="1" customHeight="1" x14ac:dyDescent="0.35"/>
    <row r="118" customFormat="1" ht="15" hidden="1" customHeight="1" x14ac:dyDescent="0.35"/>
    <row r="119" customFormat="1" ht="15" hidden="1" customHeight="1" x14ac:dyDescent="0.35"/>
    <row r="120" customFormat="1" ht="15" hidden="1" customHeight="1" x14ac:dyDescent="0.35"/>
    <row r="121" customFormat="1" ht="15" hidden="1" customHeight="1" x14ac:dyDescent="0.35"/>
    <row r="122" customFormat="1" ht="15" hidden="1" customHeight="1" x14ac:dyDescent="0.35"/>
    <row r="123" customFormat="1" ht="15" hidden="1" customHeight="1" x14ac:dyDescent="0.35"/>
    <row r="124" customFormat="1" ht="15" hidden="1" customHeight="1" x14ac:dyDescent="0.35"/>
    <row r="125" customFormat="1" ht="15" hidden="1" customHeight="1" x14ac:dyDescent="0.35"/>
    <row r="126" customFormat="1" ht="15" hidden="1" customHeight="1" x14ac:dyDescent="0.35"/>
    <row r="127" customFormat="1" ht="15" hidden="1" customHeight="1" x14ac:dyDescent="0.35"/>
    <row r="128" customFormat="1" ht="15" hidden="1" customHeight="1" x14ac:dyDescent="0.35"/>
    <row r="129" customFormat="1" ht="15" hidden="1" customHeight="1" x14ac:dyDescent="0.35"/>
    <row r="130" customFormat="1" ht="15" hidden="1" customHeight="1" x14ac:dyDescent="0.35"/>
    <row r="131" customFormat="1" ht="15" hidden="1" customHeight="1" x14ac:dyDescent="0.35"/>
    <row r="132" customFormat="1" ht="15" hidden="1" customHeight="1" x14ac:dyDescent="0.35"/>
    <row r="133" customFormat="1" ht="15" hidden="1" customHeight="1" x14ac:dyDescent="0.35"/>
    <row r="134" customFormat="1" ht="15" hidden="1" customHeight="1" x14ac:dyDescent="0.35"/>
    <row r="135" customFormat="1" ht="15" hidden="1" customHeight="1" x14ac:dyDescent="0.35"/>
    <row r="136" customFormat="1" ht="15" hidden="1" customHeight="1" x14ac:dyDescent="0.35"/>
    <row r="137" customFormat="1" ht="15" hidden="1" customHeight="1" x14ac:dyDescent="0.35"/>
    <row r="138" customFormat="1" ht="15" hidden="1" customHeight="1" x14ac:dyDescent="0.35"/>
    <row r="139" customFormat="1" ht="15" hidden="1" customHeight="1" x14ac:dyDescent="0.35"/>
    <row r="140" customFormat="1" ht="15" hidden="1" customHeight="1" x14ac:dyDescent="0.35"/>
  </sheetData>
  <conditionalFormatting sqref="G76">
    <cfRule type="cellIs" dxfId="339" priority="11" operator="notEqual">
      <formula>$G$77</formula>
    </cfRule>
    <cfRule type="cellIs" dxfId="338" priority="12" operator="equal">
      <formula>$G$77</formula>
    </cfRule>
  </conditionalFormatting>
  <conditionalFormatting sqref="K9:K24">
    <cfRule type="cellIs" dxfId="337" priority="101" operator="notEqual">
      <formula>G9</formula>
    </cfRule>
    <cfRule type="cellIs" dxfId="336" priority="102" operator="equal">
      <formula>G9</formula>
    </cfRule>
  </conditionalFormatting>
  <conditionalFormatting sqref="K26:K41">
    <cfRule type="cellIs" dxfId="335" priority="69" operator="notEqual">
      <formula>G26</formula>
    </cfRule>
    <cfRule type="cellIs" dxfId="334" priority="70" operator="equal">
      <formula>G26</formula>
    </cfRule>
  </conditionalFormatting>
  <conditionalFormatting sqref="K43:K63">
    <cfRule type="cellIs" dxfId="333" priority="27" operator="notEqual">
      <formula>G43</formula>
    </cfRule>
    <cfRule type="cellIs" dxfId="332" priority="28" operator="equal">
      <formula>G43</formula>
    </cfRule>
  </conditionalFormatting>
  <conditionalFormatting sqref="K67:K69">
    <cfRule type="cellIs" dxfId="331" priority="21" operator="notEqual">
      <formula>G67</formula>
    </cfRule>
    <cfRule type="cellIs" dxfId="330" priority="22" operator="equal">
      <formula>G67</formula>
    </cfRule>
  </conditionalFormatting>
  <conditionalFormatting sqref="K71:K73">
    <cfRule type="cellIs" dxfId="329" priority="15" operator="notEqual">
      <formula>G71</formula>
    </cfRule>
    <cfRule type="cellIs" dxfId="328" priority="16" operator="equal">
      <formula>G71</formula>
    </cfRule>
  </conditionalFormatting>
  <conditionalFormatting sqref="K76">
    <cfRule type="cellIs" dxfId="327" priority="13" operator="notEqual">
      <formula>G76</formula>
    </cfRule>
    <cfRule type="cellIs" dxfId="326" priority="14" operator="equal">
      <formula>G76</formula>
    </cfRule>
  </conditionalFormatting>
  <dataValidations count="1">
    <dataValidation type="list" allowBlank="1" showInputMessage="1" showErrorMessage="1" sqref="H9:H75" xr:uid="{00000000-0002-0000-0F00-000000000000}">
      <formula1>$H$80:$H$82</formula1>
    </dataValidation>
  </dataValidations>
  <pageMargins left="0.7" right="0.7" top="0.75" bottom="0.75" header="0.3" footer="0.3"/>
  <pageSetup scale="39" orientation="landscape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9" operator="notEqual" id="{09E0E8D6-22F7-41C2-AA25-67F536132825}">
            <xm:f>'D:\Finance\Work\Reports &amp; Surveys\Cost Analysis\Cost Analysis - 2012-2013\Received from Colleges\Gulf Coast\Original\[Gulf Coast 2012-13 CA2 9-9-13.xlsx]CA2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10" operator="equal" id="{05F05C2A-AD93-4E8A-9FBC-93AFF738FD2E}">
            <xm:f>'D:\Finance\Work\Reports &amp; Surveys\Cost Analysis\Cost Analysis - 2012-2013\Received from Colleges\Gulf Coast\Original\[Gulf Coast 2012-13 CA2 9-9-13.xlsx]CA2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G8</xm:sqref>
        </x14:conditionalFormatting>
        <x14:conditionalFormatting xmlns:xm="http://schemas.microsoft.com/office/excel/2006/main">
          <x14:cfRule type="cellIs" priority="7" operator="notEqual" id="{699D84EF-09FD-4AE6-A0CE-F59859C3730B}">
            <xm:f>'D:\Finance\Work\Reports &amp; Surveys\Cost Analysis\Cost Analysis - 2012-2013\Received from Colleges\Gulf Coast\Original\[Gulf Coast 2012-13 CA2 9-9-13.xlsx]CA2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8" operator="equal" id="{6AB6403D-CA1A-43FF-9D69-3E0A4E536AAD}">
            <xm:f>'D:\Finance\Work\Reports &amp; Surveys\Cost Analysis\Cost Analysis - 2012-2013\Received from Colleges\Gulf Coast\Original\[Gulf Coast 2012-13 CA2 9-9-13.xlsx]CA2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G25</xm:sqref>
        </x14:conditionalFormatting>
        <x14:conditionalFormatting xmlns:xm="http://schemas.microsoft.com/office/excel/2006/main">
          <x14:cfRule type="cellIs" priority="5" operator="notEqual" id="{0AD0BFCF-197F-46AA-A55E-75670CB2DD2E}">
            <xm:f>'D:\Finance\Work\Reports &amp; Surveys\Cost Analysis\Cost Analysis - 2012-2013\Received from Colleges\Gulf Coast\Original\[Gulf Coast 2012-13 CA2 9-9-13.xlsx]CA2 Detail'!#REF!+'D:\Finance\Work\Reports &amp; Surveys\Cost Analysis\Cost Analysis - 2012-2013\Received from Colleges\Gulf Coast\Original\[Gulf Coast 2012-13 CA2 9-9-13.xlsx]CA2 Detail'!#REF!+'D:\Finance\Work\Reports &amp; Surveys\Cost Analysis\Cost Analysis - 2012-2013\Received from Colleges\Gulf Coast\Original\[Gulf Coast 2012-13 CA2 9-9-13.xlsx]CA2 Detail'!#REF!+'D:\Finance\Work\Reports &amp; Surveys\Cost Analysis\Cost Analysis - 2012-2013\Received from Colleges\Gulf Coast\Original\[Gulf Coast 2012-13 CA2 9-9-13.xlsx]CA2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6" operator="equal" id="{5ED81CAA-A52B-49BA-AC8B-892E1C0B2CAF}">
            <xm:f>'D:\Finance\Work\Reports &amp; Surveys\Cost Analysis\Cost Analysis - 2012-2013\Received from Colleges\Gulf Coast\Original\[Gulf Coast 2012-13 CA2 9-9-13.xlsx]CA2 Detail'!#REF!+'D:\Finance\Work\Reports &amp; Surveys\Cost Analysis\Cost Analysis - 2012-2013\Received from Colleges\Gulf Coast\Original\[Gulf Coast 2012-13 CA2 9-9-13.xlsx]CA2 Detail'!#REF!+'D:\Finance\Work\Reports &amp; Surveys\Cost Analysis\Cost Analysis - 2012-2013\Received from Colleges\Gulf Coast\Original\[Gulf Coast 2012-13 CA2 9-9-13.xlsx]CA2 Detail'!#REF!+'D:\Finance\Work\Reports &amp; Surveys\Cost Analysis\Cost Analysis - 2012-2013\Received from Colleges\Gulf Coast\Original\[Gulf Coast 2012-13 CA2 9-9-13.xlsx]CA2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G42</xm:sqref>
        </x14:conditionalFormatting>
        <x14:conditionalFormatting xmlns:xm="http://schemas.microsoft.com/office/excel/2006/main">
          <x14:cfRule type="cellIs" priority="3" operator="notEqual" id="{7FB8B14D-F8F9-45E5-B607-54F458D92F45}">
            <xm:f>'D:\Finance\Work\Reports &amp; Surveys\Cost Analysis\Cost Analysis - 2012-2013\Received from Colleges\Gulf Coast\Original\[Gulf Coast 2012-13 CA2 9-9-13.xlsx]CA2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4" operator="equal" id="{1B03E7F4-C7A1-4D93-976D-92A5D2378CFF}">
            <xm:f>'D:\Finance\Work\Reports &amp; Surveys\Cost Analysis\Cost Analysis - 2012-2013\Received from Colleges\Gulf Coast\Original\[Gulf Coast 2012-13 CA2 9-9-13.xlsx]CA2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G66</xm:sqref>
        </x14:conditionalFormatting>
        <x14:conditionalFormatting xmlns:xm="http://schemas.microsoft.com/office/excel/2006/main">
          <x14:cfRule type="cellIs" priority="1" operator="notEqual" id="{5F9A6D1F-1A28-41F6-959D-E7FFE7351500}">
            <xm:f>'D:\Finance\Work\Reports &amp; Surveys\Cost Analysis\Cost Analysis - 2012-2013\Received from Colleges\Gulf Coast\Original\[Gulf Coast 2012-13 CA2 9-9-13.xlsx]CA2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2" operator="equal" id="{3C4EAD1F-2051-447B-9AA1-345B890249A0}">
            <xm:f>'D:\Finance\Work\Reports &amp; Surveys\Cost Analysis\Cost Analysis - 2012-2013\Received from Colleges\Gulf Coast\Original\[Gulf Coast 2012-13 CA2 9-9-13.xlsx]CA2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G70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00B0F0"/>
    <pageSetUpPr fitToPage="1"/>
  </sheetPr>
  <dimension ref="A1:L140"/>
  <sheetViews>
    <sheetView workbookViewId="0"/>
  </sheetViews>
  <sheetFormatPr defaultColWidth="11.453125" defaultRowHeight="14.5" x14ac:dyDescent="0.35"/>
  <cols>
    <col min="1" max="2" width="2.81640625" customWidth="1"/>
    <col min="3" max="3" width="10.453125" style="26" bestFit="1" customWidth="1"/>
    <col min="4" max="5" width="2.81640625" customWidth="1"/>
    <col min="6" max="6" width="80.7265625" bestFit="1" customWidth="1"/>
    <col min="7" max="7" width="27.81640625" customWidth="1"/>
    <col min="8" max="8" width="15.26953125" bestFit="1" customWidth="1"/>
    <col min="9" max="9" width="27.26953125" customWidth="1"/>
    <col min="10" max="10" width="26.81640625" customWidth="1"/>
    <col min="11" max="11" width="25.81640625" customWidth="1"/>
    <col min="12" max="12" width="82.54296875" customWidth="1"/>
  </cols>
  <sheetData>
    <row r="1" spans="1:12" ht="14.25" customHeight="1" x14ac:dyDescent="0.35">
      <c r="A1" s="134"/>
      <c r="B1" s="7"/>
      <c r="C1" s="7"/>
      <c r="D1" s="7"/>
      <c r="E1" s="7"/>
      <c r="F1" s="7"/>
      <c r="G1" s="7"/>
      <c r="H1" s="7"/>
      <c r="I1" s="7" t="s">
        <v>0</v>
      </c>
      <c r="J1" s="7"/>
      <c r="K1" s="7"/>
      <c r="L1" s="7"/>
    </row>
    <row r="2" spans="1:12" x14ac:dyDescent="0.35">
      <c r="A2" s="135"/>
      <c r="B2" s="7"/>
      <c r="C2" s="7"/>
      <c r="D2" s="7"/>
      <c r="E2" s="7"/>
      <c r="F2" s="7"/>
      <c r="G2" s="7"/>
      <c r="H2" s="7"/>
      <c r="I2" s="7" t="s">
        <v>197</v>
      </c>
      <c r="J2" s="7"/>
      <c r="K2" s="7"/>
      <c r="L2" s="7"/>
    </row>
    <row r="3" spans="1:12" x14ac:dyDescent="0.35">
      <c r="A3" s="136" t="s">
        <v>198</v>
      </c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</row>
    <row r="4" spans="1:12" ht="19.5" customHeight="1" x14ac:dyDescent="0.35">
      <c r="A4" s="137" t="s">
        <v>155</v>
      </c>
      <c r="C4"/>
    </row>
    <row r="5" spans="1:12" x14ac:dyDescent="0.35">
      <c r="C5"/>
    </row>
    <row r="6" spans="1:12" s="7" customFormat="1" x14ac:dyDescent="0.35">
      <c r="A6" s="3" t="s">
        <v>2</v>
      </c>
      <c r="B6" s="4"/>
      <c r="C6" s="4"/>
      <c r="D6" s="3" t="s">
        <v>3</v>
      </c>
      <c r="E6" s="4"/>
      <c r="F6" s="4"/>
      <c r="G6" s="5" t="s">
        <v>274</v>
      </c>
      <c r="H6" s="6" t="s">
        <v>4</v>
      </c>
      <c r="I6" s="6" t="s">
        <v>5</v>
      </c>
      <c r="J6" s="6" t="s">
        <v>6</v>
      </c>
      <c r="K6" s="6" t="s">
        <v>7</v>
      </c>
      <c r="L6" s="6" t="s">
        <v>199</v>
      </c>
    </row>
    <row r="7" spans="1:12" x14ac:dyDescent="0.35">
      <c r="A7" s="8" t="s">
        <v>9</v>
      </c>
      <c r="B7" s="9"/>
      <c r="C7" s="10"/>
      <c r="D7" s="11" t="s">
        <v>10</v>
      </c>
      <c r="E7" s="10"/>
      <c r="F7" s="10"/>
      <c r="G7" s="69"/>
      <c r="H7" s="9"/>
      <c r="I7" s="69"/>
      <c r="J7" s="69"/>
      <c r="K7" s="69"/>
      <c r="L7" s="11"/>
    </row>
    <row r="8" spans="1:12" x14ac:dyDescent="0.35">
      <c r="A8" s="8"/>
      <c r="B8" s="9" t="s">
        <v>11</v>
      </c>
      <c r="C8" s="10"/>
      <c r="D8" s="13"/>
      <c r="E8" s="9" t="s">
        <v>12</v>
      </c>
      <c r="F8" s="10"/>
      <c r="G8" s="69">
        <v>8180710.5500000007</v>
      </c>
      <c r="H8" s="9"/>
      <c r="I8" s="69">
        <v>4430098.2799999993</v>
      </c>
      <c r="J8" s="69">
        <v>3750612.27</v>
      </c>
      <c r="K8" s="69"/>
      <c r="L8" s="14"/>
    </row>
    <row r="9" spans="1:12" x14ac:dyDescent="0.35">
      <c r="A9" s="8"/>
      <c r="B9" s="9"/>
      <c r="C9" s="10" t="s">
        <v>13</v>
      </c>
      <c r="D9" s="13"/>
      <c r="E9" s="10"/>
      <c r="F9" s="9" t="s">
        <v>14</v>
      </c>
      <c r="G9" s="70"/>
      <c r="H9" s="16"/>
      <c r="I9" s="70"/>
      <c r="J9" s="70"/>
      <c r="K9" s="69">
        <v>0</v>
      </c>
      <c r="L9" s="17"/>
    </row>
    <row r="10" spans="1:12" x14ac:dyDescent="0.35">
      <c r="A10" s="8"/>
      <c r="B10" s="9"/>
      <c r="C10" s="10" t="s">
        <v>16</v>
      </c>
      <c r="D10" s="13"/>
      <c r="E10" s="10"/>
      <c r="F10" s="9" t="s">
        <v>17</v>
      </c>
      <c r="G10" s="70">
        <v>20723</v>
      </c>
      <c r="H10" s="16" t="s">
        <v>15</v>
      </c>
      <c r="I10" s="70">
        <v>20723</v>
      </c>
      <c r="J10" s="70"/>
      <c r="K10" s="69">
        <v>20723</v>
      </c>
      <c r="L10" s="17"/>
    </row>
    <row r="11" spans="1:12" x14ac:dyDescent="0.35">
      <c r="A11" s="8"/>
      <c r="B11" s="9"/>
      <c r="C11" s="10" t="s">
        <v>18</v>
      </c>
      <c r="D11" s="13"/>
      <c r="E11" s="10"/>
      <c r="F11" s="9" t="s">
        <v>19</v>
      </c>
      <c r="G11" s="70">
        <v>1099009.73</v>
      </c>
      <c r="H11" s="16" t="s">
        <v>24</v>
      </c>
      <c r="I11" s="70"/>
      <c r="J11" s="70">
        <v>1099009.73</v>
      </c>
      <c r="K11" s="69">
        <v>1099009.73</v>
      </c>
      <c r="L11" s="17"/>
    </row>
    <row r="12" spans="1:12" x14ac:dyDescent="0.35">
      <c r="A12" s="8"/>
      <c r="B12" s="9"/>
      <c r="C12" s="10" t="s">
        <v>20</v>
      </c>
      <c r="D12" s="13"/>
      <c r="E12" s="10"/>
      <c r="F12" s="9" t="s">
        <v>21</v>
      </c>
      <c r="G12" s="70"/>
      <c r="H12" s="16"/>
      <c r="I12" s="70"/>
      <c r="J12" s="70"/>
      <c r="K12" s="69">
        <v>0</v>
      </c>
      <c r="L12" s="17"/>
    </row>
    <row r="13" spans="1:12" x14ac:dyDescent="0.35">
      <c r="A13" s="8"/>
      <c r="B13" s="9"/>
      <c r="C13" s="10" t="s">
        <v>22</v>
      </c>
      <c r="D13" s="13"/>
      <c r="E13" s="10"/>
      <c r="F13" s="9" t="s">
        <v>23</v>
      </c>
      <c r="G13" s="70">
        <v>336755.94</v>
      </c>
      <c r="H13" s="16" t="s">
        <v>15</v>
      </c>
      <c r="I13" s="70">
        <v>336755.94</v>
      </c>
      <c r="J13" s="70"/>
      <c r="K13" s="69">
        <v>336755.94</v>
      </c>
      <c r="L13" s="17"/>
    </row>
    <row r="14" spans="1:12" x14ac:dyDescent="0.35">
      <c r="A14" s="8"/>
      <c r="B14" s="9"/>
      <c r="C14" s="10" t="s">
        <v>25</v>
      </c>
      <c r="D14" s="13"/>
      <c r="E14" s="10"/>
      <c r="F14" s="9" t="s">
        <v>26</v>
      </c>
      <c r="G14" s="70">
        <v>2651602.54</v>
      </c>
      <c r="H14" s="16" t="s">
        <v>24</v>
      </c>
      <c r="I14" s="70"/>
      <c r="J14" s="70">
        <v>2651602.54</v>
      </c>
      <c r="K14" s="69">
        <v>2651602.54</v>
      </c>
      <c r="L14" s="17"/>
    </row>
    <row r="15" spans="1:12" x14ac:dyDescent="0.35">
      <c r="A15" s="8"/>
      <c r="B15" s="9"/>
      <c r="C15" s="10" t="s">
        <v>27</v>
      </c>
      <c r="D15" s="13"/>
      <c r="E15" s="10"/>
      <c r="F15" s="9" t="s">
        <v>28</v>
      </c>
      <c r="G15" s="70">
        <v>410626.87</v>
      </c>
      <c r="H15" s="16" t="s">
        <v>15</v>
      </c>
      <c r="I15" s="70">
        <v>410626.87</v>
      </c>
      <c r="J15" s="70"/>
      <c r="K15" s="69">
        <v>410626.87</v>
      </c>
      <c r="L15" s="17"/>
    </row>
    <row r="16" spans="1:12" x14ac:dyDescent="0.35">
      <c r="A16" s="8"/>
      <c r="B16" s="9"/>
      <c r="C16" s="10" t="s">
        <v>29</v>
      </c>
      <c r="D16" s="13"/>
      <c r="E16" s="10"/>
      <c r="F16" s="9" t="s">
        <v>30</v>
      </c>
      <c r="G16" s="70"/>
      <c r="H16" s="16"/>
      <c r="I16" s="70"/>
      <c r="J16" s="70"/>
      <c r="K16" s="69">
        <v>0</v>
      </c>
      <c r="L16" s="17"/>
    </row>
    <row r="17" spans="1:12" x14ac:dyDescent="0.35">
      <c r="A17" s="8"/>
      <c r="B17" s="9"/>
      <c r="C17" s="10" t="s">
        <v>31</v>
      </c>
      <c r="D17" s="13"/>
      <c r="E17" s="10"/>
      <c r="F17" s="9" t="s">
        <v>32</v>
      </c>
      <c r="G17" s="70"/>
      <c r="H17" s="16"/>
      <c r="I17" s="70"/>
      <c r="J17" s="70"/>
      <c r="K17" s="69">
        <v>0</v>
      </c>
      <c r="L17" s="17"/>
    </row>
    <row r="18" spans="1:12" x14ac:dyDescent="0.35">
      <c r="A18" s="8"/>
      <c r="B18" s="9"/>
      <c r="C18" s="10" t="s">
        <v>33</v>
      </c>
      <c r="D18" s="13"/>
      <c r="E18" s="10"/>
      <c r="F18" s="9" t="s">
        <v>34</v>
      </c>
      <c r="G18" s="70">
        <v>333665.7</v>
      </c>
      <c r="H18" s="16" t="s">
        <v>15</v>
      </c>
      <c r="I18" s="70">
        <v>333665.7</v>
      </c>
      <c r="J18" s="70"/>
      <c r="K18" s="69">
        <v>333665.7</v>
      </c>
      <c r="L18" s="17"/>
    </row>
    <row r="19" spans="1:12" x14ac:dyDescent="0.35">
      <c r="A19" s="8"/>
      <c r="B19" s="9"/>
      <c r="C19" s="10" t="s">
        <v>35</v>
      </c>
      <c r="D19" s="13"/>
      <c r="E19" s="10"/>
      <c r="F19" s="9" t="s">
        <v>36</v>
      </c>
      <c r="G19" s="71">
        <v>202025.16</v>
      </c>
      <c r="H19" s="16" t="s">
        <v>15</v>
      </c>
      <c r="I19" s="71">
        <v>202025.16</v>
      </c>
      <c r="J19" s="71"/>
      <c r="K19" s="69">
        <v>202025.16</v>
      </c>
      <c r="L19" s="17"/>
    </row>
    <row r="20" spans="1:12" x14ac:dyDescent="0.35">
      <c r="A20" s="8"/>
      <c r="B20" s="9"/>
      <c r="C20" s="10" t="s">
        <v>37</v>
      </c>
      <c r="D20" s="13"/>
      <c r="E20" s="10"/>
      <c r="F20" s="9" t="s">
        <v>38</v>
      </c>
      <c r="G20" s="70">
        <v>3126301.61</v>
      </c>
      <c r="H20" s="16" t="s">
        <v>15</v>
      </c>
      <c r="I20" s="70">
        <v>3126301.61</v>
      </c>
      <c r="J20" s="70"/>
      <c r="K20" s="69">
        <v>3126301.61</v>
      </c>
      <c r="L20" s="17"/>
    </row>
    <row r="21" spans="1:12" x14ac:dyDescent="0.35">
      <c r="A21" s="8"/>
      <c r="B21" s="9"/>
      <c r="C21" s="10" t="s">
        <v>39</v>
      </c>
      <c r="D21" s="13"/>
      <c r="E21" s="10"/>
      <c r="F21" s="9" t="s">
        <v>40</v>
      </c>
      <c r="G21" s="70"/>
      <c r="H21" s="16"/>
      <c r="I21" s="70"/>
      <c r="J21" s="70"/>
      <c r="K21" s="69">
        <v>0</v>
      </c>
      <c r="L21" s="17"/>
    </row>
    <row r="22" spans="1:12" x14ac:dyDescent="0.35">
      <c r="A22" s="8"/>
      <c r="B22" s="9"/>
      <c r="C22" s="10" t="s">
        <v>41</v>
      </c>
      <c r="D22" s="13"/>
      <c r="E22" s="10"/>
      <c r="F22" s="9" t="s">
        <v>42</v>
      </c>
      <c r="G22" s="70"/>
      <c r="H22" s="16"/>
      <c r="I22" s="70"/>
      <c r="J22" s="70"/>
      <c r="K22" s="69">
        <v>0</v>
      </c>
      <c r="L22" s="17"/>
    </row>
    <row r="23" spans="1:12" x14ac:dyDescent="0.35">
      <c r="A23" s="8"/>
      <c r="B23" s="9"/>
      <c r="C23" s="10" t="s">
        <v>43</v>
      </c>
      <c r="D23" s="13"/>
      <c r="E23" s="10"/>
      <c r="F23" s="9" t="s">
        <v>44</v>
      </c>
      <c r="G23" s="70"/>
      <c r="H23" s="16"/>
      <c r="I23" s="70"/>
      <c r="J23" s="70"/>
      <c r="K23" s="69">
        <v>0</v>
      </c>
      <c r="L23" s="17"/>
    </row>
    <row r="24" spans="1:12" x14ac:dyDescent="0.35">
      <c r="A24" s="9"/>
      <c r="B24" s="9"/>
      <c r="C24" s="19" t="s">
        <v>45</v>
      </c>
      <c r="D24" s="13"/>
      <c r="E24" s="19"/>
      <c r="F24" s="9" t="s">
        <v>46</v>
      </c>
      <c r="G24" s="72"/>
      <c r="H24" s="16"/>
      <c r="I24" s="72"/>
      <c r="J24" s="72"/>
      <c r="K24" s="69">
        <v>0</v>
      </c>
      <c r="L24" s="17"/>
    </row>
    <row r="25" spans="1:12" x14ac:dyDescent="0.35">
      <c r="A25" s="8"/>
      <c r="B25" s="9" t="s">
        <v>47</v>
      </c>
      <c r="C25" s="10"/>
      <c r="D25" s="13"/>
      <c r="E25" s="9" t="s">
        <v>48</v>
      </c>
      <c r="F25" s="10"/>
      <c r="G25" s="69">
        <v>3415410.01</v>
      </c>
      <c r="H25" s="9"/>
      <c r="I25" s="69">
        <v>3255272.71</v>
      </c>
      <c r="J25" s="69">
        <v>160137.29999999999</v>
      </c>
      <c r="K25" s="69"/>
      <c r="L25" s="14"/>
    </row>
    <row r="26" spans="1:12" x14ac:dyDescent="0.35">
      <c r="A26" s="8"/>
      <c r="B26" s="9"/>
      <c r="C26" s="10" t="s">
        <v>49</v>
      </c>
      <c r="D26" s="13"/>
      <c r="E26" s="10"/>
      <c r="F26" s="9" t="s">
        <v>50</v>
      </c>
      <c r="G26" s="70"/>
      <c r="H26" s="16"/>
      <c r="I26" s="70"/>
      <c r="J26" s="70"/>
      <c r="K26" s="69">
        <v>0</v>
      </c>
      <c r="L26" s="17"/>
    </row>
    <row r="27" spans="1:12" x14ac:dyDescent="0.35">
      <c r="A27" s="8"/>
      <c r="B27" s="9"/>
      <c r="C27" s="10" t="s">
        <v>51</v>
      </c>
      <c r="D27" s="13"/>
      <c r="E27" s="10"/>
      <c r="F27" s="9" t="s">
        <v>52</v>
      </c>
      <c r="G27" s="70"/>
      <c r="H27" s="16"/>
      <c r="I27" s="70"/>
      <c r="J27" s="70"/>
      <c r="K27" s="69">
        <v>0</v>
      </c>
      <c r="L27" s="17"/>
    </row>
    <row r="28" spans="1:12" x14ac:dyDescent="0.35">
      <c r="A28" s="8"/>
      <c r="B28" s="9"/>
      <c r="C28" s="10" t="s">
        <v>53</v>
      </c>
      <c r="D28" s="13"/>
      <c r="E28" s="10"/>
      <c r="F28" s="9" t="s">
        <v>54</v>
      </c>
      <c r="G28" s="70">
        <v>1700874.77</v>
      </c>
      <c r="H28" s="16" t="s">
        <v>15</v>
      </c>
      <c r="I28" s="70">
        <v>1700874.77</v>
      </c>
      <c r="J28" s="70"/>
      <c r="K28" s="69">
        <v>1700874.77</v>
      </c>
      <c r="L28" s="17"/>
    </row>
    <row r="29" spans="1:12" x14ac:dyDescent="0.35">
      <c r="A29" s="8"/>
      <c r="B29" s="9"/>
      <c r="C29" s="10" t="s">
        <v>55</v>
      </c>
      <c r="D29" s="13"/>
      <c r="E29" s="10"/>
      <c r="F29" s="9" t="s">
        <v>56</v>
      </c>
      <c r="G29" s="70"/>
      <c r="H29" s="16"/>
      <c r="I29" s="70"/>
      <c r="J29" s="70"/>
      <c r="K29" s="69">
        <v>0</v>
      </c>
      <c r="L29" s="17"/>
    </row>
    <row r="30" spans="1:12" x14ac:dyDescent="0.35">
      <c r="A30" s="8"/>
      <c r="B30" s="9"/>
      <c r="C30" s="10" t="s">
        <v>57</v>
      </c>
      <c r="D30" s="13"/>
      <c r="E30" s="10"/>
      <c r="F30" s="9" t="s">
        <v>58</v>
      </c>
      <c r="G30" s="70">
        <v>1641174.86</v>
      </c>
      <c r="H30" s="16" t="s">
        <v>59</v>
      </c>
      <c r="I30" s="70">
        <v>1481037.56</v>
      </c>
      <c r="J30" s="70">
        <v>160137.29999999999</v>
      </c>
      <c r="K30" s="69">
        <v>1641174.86</v>
      </c>
      <c r="L30" s="17" t="s">
        <v>235</v>
      </c>
    </row>
    <row r="31" spans="1:12" x14ac:dyDescent="0.35">
      <c r="A31" s="8"/>
      <c r="B31" s="9"/>
      <c r="C31" s="10" t="s">
        <v>60</v>
      </c>
      <c r="D31" s="13"/>
      <c r="E31" s="10"/>
      <c r="F31" s="9" t="s">
        <v>61</v>
      </c>
      <c r="G31" s="70"/>
      <c r="H31" s="16"/>
      <c r="I31" s="70"/>
      <c r="J31" s="70"/>
      <c r="K31" s="69">
        <v>0</v>
      </c>
      <c r="L31" s="17"/>
    </row>
    <row r="32" spans="1:12" x14ac:dyDescent="0.35">
      <c r="A32" s="8"/>
      <c r="B32" s="9"/>
      <c r="C32" s="10" t="s">
        <v>62</v>
      </c>
      <c r="D32" s="13"/>
      <c r="E32" s="10"/>
      <c r="F32" s="9" t="s">
        <v>63</v>
      </c>
      <c r="G32" s="70"/>
      <c r="H32" s="16"/>
      <c r="I32" s="70"/>
      <c r="J32" s="70"/>
      <c r="K32" s="69">
        <v>0</v>
      </c>
      <c r="L32" s="17"/>
    </row>
    <row r="33" spans="1:12" x14ac:dyDescent="0.35">
      <c r="A33" s="9"/>
      <c r="B33" s="9"/>
      <c r="C33" s="10" t="s">
        <v>64</v>
      </c>
      <c r="D33" s="9"/>
      <c r="E33" s="10"/>
      <c r="F33" s="9" t="s">
        <v>65</v>
      </c>
      <c r="G33" s="70"/>
      <c r="H33" s="16"/>
      <c r="I33" s="70"/>
      <c r="J33" s="70"/>
      <c r="K33" s="69">
        <v>0</v>
      </c>
      <c r="L33" s="17"/>
    </row>
    <row r="34" spans="1:12" x14ac:dyDescent="0.35">
      <c r="A34" s="9"/>
      <c r="B34" s="9"/>
      <c r="C34" s="10" t="s">
        <v>66</v>
      </c>
      <c r="D34" s="9"/>
      <c r="E34" s="9"/>
      <c r="F34" s="9" t="s">
        <v>67</v>
      </c>
      <c r="G34" s="70"/>
      <c r="H34" s="16"/>
      <c r="I34" s="70"/>
      <c r="J34" s="70"/>
      <c r="K34" s="69">
        <v>0</v>
      </c>
      <c r="L34" s="17"/>
    </row>
    <row r="35" spans="1:12" x14ac:dyDescent="0.35">
      <c r="A35" s="9"/>
      <c r="B35" s="9"/>
      <c r="C35" s="10" t="s">
        <v>68</v>
      </c>
      <c r="D35" s="9"/>
      <c r="E35" s="10"/>
      <c r="F35" s="9" t="s">
        <v>69</v>
      </c>
      <c r="G35" s="70"/>
      <c r="H35" s="16"/>
      <c r="I35" s="70"/>
      <c r="J35" s="70"/>
      <c r="K35" s="69">
        <v>0</v>
      </c>
      <c r="L35" s="17"/>
    </row>
    <row r="36" spans="1:12" x14ac:dyDescent="0.35">
      <c r="A36" s="9"/>
      <c r="B36" s="9"/>
      <c r="C36" s="10" t="s">
        <v>70</v>
      </c>
      <c r="D36" s="9"/>
      <c r="E36" s="9"/>
      <c r="F36" s="9" t="s">
        <v>71</v>
      </c>
      <c r="G36" s="70"/>
      <c r="H36" s="16"/>
      <c r="I36" s="70"/>
      <c r="J36" s="70"/>
      <c r="K36" s="69">
        <v>0</v>
      </c>
      <c r="L36" s="17"/>
    </row>
    <row r="37" spans="1:12" x14ac:dyDescent="0.35">
      <c r="A37" s="9"/>
      <c r="B37" s="9"/>
      <c r="C37" s="10" t="s">
        <v>72</v>
      </c>
      <c r="D37" s="9"/>
      <c r="E37" s="21"/>
      <c r="F37" s="9" t="s">
        <v>73</v>
      </c>
      <c r="G37" s="70"/>
      <c r="H37" s="16"/>
      <c r="I37" s="70"/>
      <c r="J37" s="70"/>
      <c r="K37" s="69">
        <v>0</v>
      </c>
      <c r="L37" s="17"/>
    </row>
    <row r="38" spans="1:12" x14ac:dyDescent="0.35">
      <c r="A38" s="9"/>
      <c r="B38" s="9"/>
      <c r="C38" s="10" t="s">
        <v>74</v>
      </c>
      <c r="D38" s="9"/>
      <c r="E38" s="9"/>
      <c r="F38" s="9" t="s">
        <v>75</v>
      </c>
      <c r="G38" s="70"/>
      <c r="H38" s="16"/>
      <c r="I38" s="70"/>
      <c r="J38" s="70"/>
      <c r="K38" s="69">
        <v>0</v>
      </c>
      <c r="L38" s="17"/>
    </row>
    <row r="39" spans="1:12" x14ac:dyDescent="0.35">
      <c r="A39" s="9"/>
      <c r="B39" s="9"/>
      <c r="C39" s="10" t="s">
        <v>76</v>
      </c>
      <c r="D39" s="9"/>
      <c r="E39" s="9"/>
      <c r="F39" s="9" t="s">
        <v>77</v>
      </c>
      <c r="G39" s="70"/>
      <c r="H39" s="16"/>
      <c r="I39" s="70"/>
      <c r="J39" s="70"/>
      <c r="K39" s="69">
        <v>0</v>
      </c>
      <c r="L39" s="17"/>
    </row>
    <row r="40" spans="1:12" x14ac:dyDescent="0.35">
      <c r="A40" s="9"/>
      <c r="B40" s="9"/>
      <c r="C40" s="10" t="s">
        <v>78</v>
      </c>
      <c r="D40" s="9"/>
      <c r="E40" s="9"/>
      <c r="F40" s="9" t="s">
        <v>79</v>
      </c>
      <c r="G40" s="70">
        <v>73360.38</v>
      </c>
      <c r="H40" s="16" t="s">
        <v>15</v>
      </c>
      <c r="I40" s="70">
        <v>73360.38</v>
      </c>
      <c r="J40" s="70"/>
      <c r="K40" s="69">
        <v>73360.38</v>
      </c>
      <c r="L40" s="17"/>
    </row>
    <row r="41" spans="1:12" x14ac:dyDescent="0.35">
      <c r="A41" s="9"/>
      <c r="B41" s="9"/>
      <c r="C41" s="10" t="s">
        <v>80</v>
      </c>
      <c r="D41" s="9"/>
      <c r="E41" s="9"/>
      <c r="F41" s="9" t="s">
        <v>81</v>
      </c>
      <c r="G41" s="70"/>
      <c r="H41" s="16"/>
      <c r="I41" s="70"/>
      <c r="J41" s="70"/>
      <c r="K41" s="69">
        <v>0</v>
      </c>
      <c r="L41" s="17"/>
    </row>
    <row r="42" spans="1:12" x14ac:dyDescent="0.35">
      <c r="A42" s="9"/>
      <c r="B42" s="9" t="s">
        <v>82</v>
      </c>
      <c r="C42" s="10"/>
      <c r="D42" s="9"/>
      <c r="E42" s="9" t="s">
        <v>83</v>
      </c>
      <c r="F42" s="9"/>
      <c r="G42" s="69">
        <v>9244989.2600000016</v>
      </c>
      <c r="H42" s="9"/>
      <c r="I42" s="69">
        <v>3049177.08</v>
      </c>
      <c r="J42" s="69">
        <v>6195812.1799999997</v>
      </c>
      <c r="K42" s="69"/>
      <c r="L42" s="14"/>
    </row>
    <row r="43" spans="1:12" x14ac:dyDescent="0.35">
      <c r="A43" s="9"/>
      <c r="B43" s="9"/>
      <c r="C43" s="10" t="s">
        <v>84</v>
      </c>
      <c r="D43" s="9"/>
      <c r="E43" s="9"/>
      <c r="F43" s="9" t="s">
        <v>85</v>
      </c>
      <c r="G43" s="70">
        <v>1643660.02</v>
      </c>
      <c r="H43" s="16" t="s">
        <v>24</v>
      </c>
      <c r="I43" s="70"/>
      <c r="J43" s="70">
        <v>1643660.02</v>
      </c>
      <c r="K43" s="69">
        <v>1643660.02</v>
      </c>
      <c r="L43" s="17"/>
    </row>
    <row r="44" spans="1:12" x14ac:dyDescent="0.35">
      <c r="A44" s="9"/>
      <c r="B44" s="9"/>
      <c r="C44" s="10" t="s">
        <v>86</v>
      </c>
      <c r="D44" s="9"/>
      <c r="E44" s="9"/>
      <c r="F44" s="9" t="s">
        <v>87</v>
      </c>
      <c r="G44" s="70">
        <v>1577867.02</v>
      </c>
      <c r="H44" s="16" t="s">
        <v>59</v>
      </c>
      <c r="I44" s="70">
        <v>945273.19</v>
      </c>
      <c r="J44" s="70">
        <v>632593.82999999996</v>
      </c>
      <c r="K44" s="69">
        <v>1577867.02</v>
      </c>
      <c r="L44" s="17" t="s">
        <v>257</v>
      </c>
    </row>
    <row r="45" spans="1:12" x14ac:dyDescent="0.35">
      <c r="A45" s="9"/>
      <c r="B45" s="9"/>
      <c r="C45" s="10" t="s">
        <v>88</v>
      </c>
      <c r="D45" s="9"/>
      <c r="E45" s="9"/>
      <c r="F45" s="9" t="s">
        <v>89</v>
      </c>
      <c r="G45" s="70">
        <v>35288.379999999997</v>
      </c>
      <c r="H45" s="16" t="s">
        <v>24</v>
      </c>
      <c r="I45" s="70"/>
      <c r="J45" s="70">
        <v>35288.379999999997</v>
      </c>
      <c r="K45" s="69">
        <v>35288.379999999997</v>
      </c>
      <c r="L45" s="17" t="s">
        <v>278</v>
      </c>
    </row>
    <row r="46" spans="1:12" x14ac:dyDescent="0.35">
      <c r="A46" s="9"/>
      <c r="B46" s="9"/>
      <c r="C46" s="10" t="s">
        <v>90</v>
      </c>
      <c r="D46" s="9"/>
      <c r="E46" s="9"/>
      <c r="F46" s="9" t="s">
        <v>91</v>
      </c>
      <c r="G46" s="70">
        <v>2265231.0099999998</v>
      </c>
      <c r="H46" s="16" t="s">
        <v>24</v>
      </c>
      <c r="I46" s="70"/>
      <c r="J46" s="70">
        <v>2265231.0099999998</v>
      </c>
      <c r="K46" s="69">
        <v>2265231.0099999998</v>
      </c>
      <c r="L46" s="17"/>
    </row>
    <row r="47" spans="1:12" x14ac:dyDescent="0.35">
      <c r="A47" s="9"/>
      <c r="B47" s="9"/>
      <c r="C47" s="10" t="s">
        <v>92</v>
      </c>
      <c r="D47" s="9"/>
      <c r="E47" s="9"/>
      <c r="F47" s="9" t="s">
        <v>93</v>
      </c>
      <c r="G47" s="70">
        <v>1589839.08</v>
      </c>
      <c r="H47" s="16" t="s">
        <v>15</v>
      </c>
      <c r="I47" s="70">
        <v>1589839.08</v>
      </c>
      <c r="J47" s="70"/>
      <c r="K47" s="69">
        <v>1589839.08</v>
      </c>
      <c r="L47" s="17"/>
    </row>
    <row r="48" spans="1:12" x14ac:dyDescent="0.35">
      <c r="A48" s="9"/>
      <c r="B48" s="9"/>
      <c r="C48" s="10" t="s">
        <v>94</v>
      </c>
      <c r="D48" s="9"/>
      <c r="E48" s="9"/>
      <c r="F48" s="9" t="s">
        <v>95</v>
      </c>
      <c r="G48" s="70"/>
      <c r="H48" s="16"/>
      <c r="I48" s="70"/>
      <c r="J48" s="70"/>
      <c r="K48" s="69">
        <v>0</v>
      </c>
      <c r="L48" s="17"/>
    </row>
    <row r="49" spans="1:12" x14ac:dyDescent="0.35">
      <c r="A49" s="9"/>
      <c r="B49" s="9"/>
      <c r="C49" s="10" t="s">
        <v>96</v>
      </c>
      <c r="D49" s="9"/>
      <c r="E49" s="9"/>
      <c r="F49" s="9" t="s">
        <v>97</v>
      </c>
      <c r="G49" s="70">
        <v>685947.41</v>
      </c>
      <c r="H49" s="16" t="s">
        <v>15</v>
      </c>
      <c r="I49" s="70">
        <v>685947.41</v>
      </c>
      <c r="J49" s="70"/>
      <c r="K49" s="69">
        <v>685947.41</v>
      </c>
      <c r="L49" s="17"/>
    </row>
    <row r="50" spans="1:12" x14ac:dyDescent="0.35">
      <c r="A50" s="9"/>
      <c r="B50" s="9"/>
      <c r="C50" s="10" t="s">
        <v>98</v>
      </c>
      <c r="D50" s="9"/>
      <c r="E50" s="9"/>
      <c r="F50" s="9" t="s">
        <v>99</v>
      </c>
      <c r="G50" s="70">
        <v>209512.12</v>
      </c>
      <c r="H50" s="16" t="s">
        <v>24</v>
      </c>
      <c r="I50" s="70"/>
      <c r="J50" s="70">
        <v>209512.12</v>
      </c>
      <c r="K50" s="69">
        <v>209512.12</v>
      </c>
      <c r="L50" s="17"/>
    </row>
    <row r="51" spans="1:12" x14ac:dyDescent="0.35">
      <c r="A51" s="9"/>
      <c r="B51" s="9"/>
      <c r="C51" s="10" t="s">
        <v>100</v>
      </c>
      <c r="D51" s="9"/>
      <c r="E51" s="9"/>
      <c r="F51" s="9" t="s">
        <v>101</v>
      </c>
      <c r="G51" s="70"/>
      <c r="H51" s="16"/>
      <c r="I51" s="70"/>
      <c r="J51" s="70"/>
      <c r="K51" s="69">
        <v>0</v>
      </c>
      <c r="L51" s="17"/>
    </row>
    <row r="52" spans="1:12" x14ac:dyDescent="0.35">
      <c r="A52" s="9"/>
      <c r="B52" s="9"/>
      <c r="C52" s="10" t="s">
        <v>102</v>
      </c>
      <c r="D52" s="9"/>
      <c r="E52" s="9"/>
      <c r="F52" s="9" t="s">
        <v>103</v>
      </c>
      <c r="G52" s="70"/>
      <c r="H52" s="16"/>
      <c r="I52" s="70"/>
      <c r="J52" s="70"/>
      <c r="K52" s="69">
        <v>0</v>
      </c>
      <c r="L52" s="17"/>
    </row>
    <row r="53" spans="1:12" x14ac:dyDescent="0.35">
      <c r="A53" s="9"/>
      <c r="B53" s="9"/>
      <c r="C53" s="10" t="s">
        <v>104</v>
      </c>
      <c r="D53" s="9"/>
      <c r="E53" s="9"/>
      <c r="F53" s="9" t="s">
        <v>105</v>
      </c>
      <c r="G53" s="70">
        <v>59602.37</v>
      </c>
      <c r="H53" s="16" t="s">
        <v>24</v>
      </c>
      <c r="I53" s="70"/>
      <c r="J53" s="70">
        <v>59602.37</v>
      </c>
      <c r="K53" s="69">
        <v>59602.37</v>
      </c>
      <c r="L53" s="17"/>
    </row>
    <row r="54" spans="1:12" x14ac:dyDescent="0.35">
      <c r="A54" s="9"/>
      <c r="B54" s="9"/>
      <c r="C54" s="10" t="s">
        <v>106</v>
      </c>
      <c r="D54" s="9"/>
      <c r="E54" s="9"/>
      <c r="F54" s="9" t="s">
        <v>107</v>
      </c>
      <c r="G54" s="70">
        <v>152634.51</v>
      </c>
      <c r="H54" s="16" t="s">
        <v>24</v>
      </c>
      <c r="I54" s="70"/>
      <c r="J54" s="70">
        <v>152634.51</v>
      </c>
      <c r="K54" s="69">
        <v>152634.51</v>
      </c>
      <c r="L54" s="17"/>
    </row>
    <row r="55" spans="1:12" x14ac:dyDescent="0.35">
      <c r="A55" s="9"/>
      <c r="B55" s="9"/>
      <c r="C55" s="10" t="s">
        <v>108</v>
      </c>
      <c r="D55" s="9"/>
      <c r="E55" s="9"/>
      <c r="F55" s="9" t="s">
        <v>109</v>
      </c>
      <c r="G55" s="70">
        <v>366317.72</v>
      </c>
      <c r="H55" s="16" t="s">
        <v>24</v>
      </c>
      <c r="I55" s="70"/>
      <c r="J55" s="70">
        <v>366317.72</v>
      </c>
      <c r="K55" s="69">
        <v>366317.72</v>
      </c>
      <c r="L55" s="17"/>
    </row>
    <row r="56" spans="1:12" x14ac:dyDescent="0.35">
      <c r="A56" s="9"/>
      <c r="B56" s="9"/>
      <c r="C56" s="10" t="s">
        <v>110</v>
      </c>
      <c r="D56" s="9"/>
      <c r="E56" s="9"/>
      <c r="F56" s="9" t="s">
        <v>111</v>
      </c>
      <c r="G56" s="70">
        <v>576714.67000000004</v>
      </c>
      <c r="H56" s="16" t="s">
        <v>24</v>
      </c>
      <c r="I56" s="70"/>
      <c r="J56" s="70">
        <v>576714.67000000004</v>
      </c>
      <c r="K56" s="69">
        <v>576714.67000000004</v>
      </c>
      <c r="L56" s="17"/>
    </row>
    <row r="57" spans="1:12" x14ac:dyDescent="0.35">
      <c r="A57" s="9"/>
      <c r="B57" s="9"/>
      <c r="C57" s="10" t="s">
        <v>112</v>
      </c>
      <c r="D57" s="9"/>
      <c r="E57" s="9"/>
      <c r="F57" s="9" t="s">
        <v>113</v>
      </c>
      <c r="G57" s="70"/>
      <c r="H57" s="16"/>
      <c r="I57" s="70"/>
      <c r="J57" s="70"/>
      <c r="K57" s="69">
        <v>0</v>
      </c>
      <c r="L57" s="17"/>
    </row>
    <row r="58" spans="1:12" x14ac:dyDescent="0.35">
      <c r="A58" s="9"/>
      <c r="B58" s="9"/>
      <c r="C58" s="10" t="s">
        <v>114</v>
      </c>
      <c r="D58" s="9"/>
      <c r="E58" s="9"/>
      <c r="F58" s="9" t="s">
        <v>115</v>
      </c>
      <c r="G58" s="70">
        <v>136340.64000000001</v>
      </c>
      <c r="H58" s="16" t="s">
        <v>24</v>
      </c>
      <c r="I58" s="70"/>
      <c r="J58" s="70">
        <v>136340.64000000001</v>
      </c>
      <c r="K58" s="69">
        <v>136340.64000000001</v>
      </c>
      <c r="L58" s="17"/>
    </row>
    <row r="59" spans="1:12" x14ac:dyDescent="0.35">
      <c r="A59" s="9"/>
      <c r="B59" s="9"/>
      <c r="C59" s="10" t="s">
        <v>116</v>
      </c>
      <c r="D59" s="9"/>
      <c r="E59" s="9"/>
      <c r="F59" s="9" t="s">
        <v>117</v>
      </c>
      <c r="G59" s="70">
        <v>-171882.6</v>
      </c>
      <c r="H59" s="16" t="s">
        <v>24</v>
      </c>
      <c r="I59" s="70">
        <v>-171882.6</v>
      </c>
      <c r="J59" s="70"/>
      <c r="K59" s="69">
        <v>-171882.6</v>
      </c>
      <c r="L59" s="17"/>
    </row>
    <row r="60" spans="1:12" x14ac:dyDescent="0.35">
      <c r="A60" s="9"/>
      <c r="B60" s="9"/>
      <c r="C60" s="10" t="s">
        <v>118</v>
      </c>
      <c r="D60" s="9"/>
      <c r="E60" s="9"/>
      <c r="F60" s="9" t="s">
        <v>119</v>
      </c>
      <c r="G60" s="70">
        <v>117916.91</v>
      </c>
      <c r="H60" s="16" t="s">
        <v>24</v>
      </c>
      <c r="I60" s="70"/>
      <c r="J60" s="70">
        <v>117916.91</v>
      </c>
      <c r="K60" s="69">
        <v>117916.91</v>
      </c>
      <c r="L60" s="17"/>
    </row>
    <row r="61" spans="1:12" x14ac:dyDescent="0.35">
      <c r="A61" s="9"/>
      <c r="B61" s="9"/>
      <c r="C61" s="10" t="s">
        <v>120</v>
      </c>
      <c r="D61" s="9"/>
      <c r="E61" s="9"/>
      <c r="F61" s="9" t="s">
        <v>121</v>
      </c>
      <c r="G61" s="70"/>
      <c r="H61" s="16"/>
      <c r="I61" s="70"/>
      <c r="J61" s="70"/>
      <c r="K61" s="69">
        <v>0</v>
      </c>
      <c r="L61" s="17"/>
    </row>
    <row r="62" spans="1:12" x14ac:dyDescent="0.35">
      <c r="A62" s="9"/>
      <c r="B62" s="9"/>
      <c r="C62" s="10" t="s">
        <v>122</v>
      </c>
      <c r="D62" s="9"/>
      <c r="E62" s="9"/>
      <c r="F62" s="9" t="s">
        <v>123</v>
      </c>
      <c r="G62" s="70"/>
      <c r="H62" s="16"/>
      <c r="I62" s="70"/>
      <c r="J62" s="70"/>
      <c r="K62" s="69">
        <v>0</v>
      </c>
      <c r="L62" s="17"/>
    </row>
    <row r="63" spans="1:12" x14ac:dyDescent="0.35">
      <c r="A63" s="9"/>
      <c r="B63" s="9"/>
      <c r="C63" s="10" t="s">
        <v>124</v>
      </c>
      <c r="D63" s="9"/>
      <c r="E63" s="9"/>
      <c r="F63" s="9" t="s">
        <v>125</v>
      </c>
      <c r="G63" s="70"/>
      <c r="H63" s="16"/>
      <c r="I63" s="70"/>
      <c r="J63" s="70"/>
      <c r="K63" s="69">
        <v>0</v>
      </c>
      <c r="L63" s="17"/>
    </row>
    <row r="64" spans="1:12" hidden="1" x14ac:dyDescent="0.35">
      <c r="A64" s="9"/>
      <c r="B64" s="9" t="s">
        <v>126</v>
      </c>
      <c r="C64" s="10"/>
      <c r="D64" s="9"/>
      <c r="E64" s="9" t="s">
        <v>127</v>
      </c>
      <c r="F64" s="9"/>
      <c r="G64" s="69"/>
      <c r="H64" s="9"/>
      <c r="I64" s="69"/>
      <c r="J64" s="69"/>
      <c r="K64" s="69"/>
      <c r="L64" s="14"/>
    </row>
    <row r="65" spans="1:12" hidden="1" x14ac:dyDescent="0.35">
      <c r="A65" s="9"/>
      <c r="B65" s="9" t="s">
        <v>128</v>
      </c>
      <c r="C65" s="10"/>
      <c r="D65" s="9"/>
      <c r="E65" s="9" t="s">
        <v>127</v>
      </c>
      <c r="F65" s="9"/>
      <c r="G65" s="69"/>
      <c r="H65" s="9"/>
      <c r="I65" s="69"/>
      <c r="J65" s="69"/>
      <c r="K65" s="69"/>
      <c r="L65" s="14"/>
    </row>
    <row r="66" spans="1:12" x14ac:dyDescent="0.35">
      <c r="A66" s="9"/>
      <c r="B66" s="9" t="s">
        <v>129</v>
      </c>
      <c r="C66" s="10"/>
      <c r="D66" s="9"/>
      <c r="E66" s="9" t="s">
        <v>130</v>
      </c>
      <c r="F66" s="9"/>
      <c r="G66" s="69">
        <v>165149.98000000001</v>
      </c>
      <c r="H66" s="9"/>
      <c r="I66" s="69">
        <v>165149.98000000001</v>
      </c>
      <c r="J66" s="69">
        <v>0</v>
      </c>
      <c r="K66" s="69"/>
      <c r="L66" s="14"/>
    </row>
    <row r="67" spans="1:12" x14ac:dyDescent="0.35">
      <c r="A67" s="9"/>
      <c r="B67" s="9"/>
      <c r="C67" s="10" t="s">
        <v>131</v>
      </c>
      <c r="D67" s="9"/>
      <c r="E67" s="9"/>
      <c r="F67" s="9" t="s">
        <v>132</v>
      </c>
      <c r="G67" s="70">
        <v>165149.98000000001</v>
      </c>
      <c r="H67" s="16" t="s">
        <v>15</v>
      </c>
      <c r="I67" s="70">
        <v>165149.98000000001</v>
      </c>
      <c r="J67" s="70">
        <v>0</v>
      </c>
      <c r="K67" s="69">
        <v>165149.98000000001</v>
      </c>
      <c r="L67" s="17"/>
    </row>
    <row r="68" spans="1:12" x14ac:dyDescent="0.35">
      <c r="A68" s="9"/>
      <c r="B68" s="9"/>
      <c r="C68" s="10" t="s">
        <v>133</v>
      </c>
      <c r="D68" s="9"/>
      <c r="E68" s="9"/>
      <c r="F68" s="9" t="s">
        <v>134</v>
      </c>
      <c r="G68" s="70"/>
      <c r="H68" s="16"/>
      <c r="I68" s="70"/>
      <c r="J68" s="70"/>
      <c r="K68" s="69">
        <v>0</v>
      </c>
      <c r="L68" s="17"/>
    </row>
    <row r="69" spans="1:12" x14ac:dyDescent="0.35">
      <c r="A69" s="9"/>
      <c r="B69" s="9"/>
      <c r="C69" s="10" t="s">
        <v>135</v>
      </c>
      <c r="D69" s="9"/>
      <c r="E69" s="9"/>
      <c r="F69" s="9" t="s">
        <v>136</v>
      </c>
      <c r="G69" s="70"/>
      <c r="H69" s="16"/>
      <c r="I69" s="70"/>
      <c r="J69" s="70"/>
      <c r="K69" s="69">
        <v>0</v>
      </c>
      <c r="L69" s="17"/>
    </row>
    <row r="70" spans="1:12" x14ac:dyDescent="0.35">
      <c r="A70" s="9"/>
      <c r="B70" s="9" t="s">
        <v>137</v>
      </c>
      <c r="C70" s="10"/>
      <c r="D70" s="9"/>
      <c r="E70" s="9" t="s">
        <v>138</v>
      </c>
      <c r="F70" s="9"/>
      <c r="G70" s="69">
        <v>2237661.31</v>
      </c>
      <c r="H70" s="9"/>
      <c r="I70" s="69">
        <v>2237661.31</v>
      </c>
      <c r="J70" s="69">
        <v>0</v>
      </c>
      <c r="K70" s="69"/>
      <c r="L70" s="14"/>
    </row>
    <row r="71" spans="1:12" x14ac:dyDescent="0.35">
      <c r="A71" s="9"/>
      <c r="B71" s="9"/>
      <c r="C71" s="10" t="s">
        <v>139</v>
      </c>
      <c r="D71" s="9"/>
      <c r="E71" s="9"/>
      <c r="F71" s="9" t="s">
        <v>140</v>
      </c>
      <c r="G71" s="70"/>
      <c r="H71" s="16"/>
      <c r="I71" s="70"/>
      <c r="J71" s="70"/>
      <c r="K71" s="69">
        <v>0</v>
      </c>
      <c r="L71" s="17"/>
    </row>
    <row r="72" spans="1:12" x14ac:dyDescent="0.35">
      <c r="A72" s="9"/>
      <c r="B72" s="9"/>
      <c r="C72" s="10" t="s">
        <v>141</v>
      </c>
      <c r="D72" s="9"/>
      <c r="E72" s="9"/>
      <c r="F72" s="9" t="s">
        <v>142</v>
      </c>
      <c r="G72" s="70">
        <v>1534225.55</v>
      </c>
      <c r="H72" s="16" t="s">
        <v>15</v>
      </c>
      <c r="I72" s="70">
        <v>1534225.55</v>
      </c>
      <c r="J72" s="70"/>
      <c r="K72" s="69">
        <v>1534225.55</v>
      </c>
      <c r="L72" s="17"/>
    </row>
    <row r="73" spans="1:12" x14ac:dyDescent="0.35">
      <c r="A73" s="9"/>
      <c r="B73" s="9"/>
      <c r="C73" s="10" t="s">
        <v>143</v>
      </c>
      <c r="D73" s="9"/>
      <c r="E73" s="9"/>
      <c r="F73" s="9" t="s">
        <v>144</v>
      </c>
      <c r="G73" s="70">
        <v>703435.76</v>
      </c>
      <c r="H73" s="16" t="s">
        <v>15</v>
      </c>
      <c r="I73" s="70">
        <v>703435.76</v>
      </c>
      <c r="J73" s="70"/>
      <c r="K73" s="69">
        <v>703435.76</v>
      </c>
      <c r="L73" s="17"/>
    </row>
    <row r="74" spans="1:12" hidden="1" x14ac:dyDescent="0.35">
      <c r="A74" s="9"/>
      <c r="B74" s="9" t="s">
        <v>145</v>
      </c>
      <c r="C74" s="10"/>
      <c r="D74" s="9"/>
      <c r="E74" s="9" t="s">
        <v>127</v>
      </c>
      <c r="F74" s="9"/>
      <c r="G74" s="69"/>
      <c r="H74" s="9"/>
      <c r="I74" s="69"/>
      <c r="J74" s="69"/>
      <c r="K74" s="69"/>
      <c r="L74" s="14"/>
    </row>
    <row r="75" spans="1:12" hidden="1" x14ac:dyDescent="0.35">
      <c r="A75" s="9"/>
      <c r="B75" s="9" t="s">
        <v>146</v>
      </c>
      <c r="C75" s="10"/>
      <c r="D75" s="9"/>
      <c r="E75" s="9" t="s">
        <v>127</v>
      </c>
      <c r="F75" s="9"/>
      <c r="G75" s="69"/>
      <c r="H75" s="9"/>
      <c r="I75" s="69"/>
      <c r="J75" s="69"/>
      <c r="K75" s="69"/>
      <c r="L75" s="14"/>
    </row>
    <row r="76" spans="1:12" s="7" customFormat="1" x14ac:dyDescent="0.35">
      <c r="A76" s="4" t="s">
        <v>147</v>
      </c>
      <c r="B76" s="4"/>
      <c r="C76" s="22"/>
      <c r="D76" s="4"/>
      <c r="E76" s="4"/>
      <c r="F76" s="4"/>
      <c r="G76" s="138">
        <v>23243921.109999999</v>
      </c>
      <c r="H76" s="24"/>
      <c r="I76" s="138">
        <v>13137359.360000001</v>
      </c>
      <c r="J76" s="138">
        <v>10106561.75</v>
      </c>
      <c r="K76" s="69">
        <v>23243921.109999999</v>
      </c>
      <c r="L76" s="25"/>
    </row>
    <row r="77" spans="1:12" x14ac:dyDescent="0.35">
      <c r="F77" s="139" t="s">
        <v>200</v>
      </c>
      <c r="G77" s="140">
        <v>23243921.109999999</v>
      </c>
      <c r="H77" s="13"/>
      <c r="I77" s="66">
        <v>0.56519548908415662</v>
      </c>
      <c r="J77" s="66">
        <v>0.43480451091584349</v>
      </c>
      <c r="K77" s="27"/>
    </row>
    <row r="79" spans="1:12" x14ac:dyDescent="0.35">
      <c r="F79" s="142" t="s">
        <v>201</v>
      </c>
    </row>
    <row r="80" spans="1:12" hidden="1" x14ac:dyDescent="0.35">
      <c r="H80" t="s">
        <v>15</v>
      </c>
    </row>
    <row r="81" spans="3:11" x14ac:dyDescent="0.35">
      <c r="C81"/>
      <c r="H81" t="s">
        <v>24</v>
      </c>
    </row>
    <row r="82" spans="3:11" x14ac:dyDescent="0.35">
      <c r="C82"/>
      <c r="H82" t="s">
        <v>59</v>
      </c>
    </row>
    <row r="83" spans="3:11" x14ac:dyDescent="0.35">
      <c r="C83"/>
      <c r="H83" s="139" t="s">
        <v>202</v>
      </c>
      <c r="I83" s="69">
        <v>123576546.75464751</v>
      </c>
      <c r="J83" s="141">
        <v>0.10630948756063963</v>
      </c>
      <c r="K83" s="142" t="s">
        <v>203</v>
      </c>
    </row>
    <row r="97" customFormat="1" x14ac:dyDescent="0.35"/>
    <row r="98" customFormat="1" x14ac:dyDescent="0.35"/>
    <row r="99" customFormat="1" x14ac:dyDescent="0.35"/>
    <row r="100" customFormat="1" x14ac:dyDescent="0.35"/>
    <row r="101" customFormat="1" x14ac:dyDescent="0.35"/>
    <row r="102" customFormat="1" x14ac:dyDescent="0.35"/>
    <row r="103" customFormat="1" x14ac:dyDescent="0.35"/>
    <row r="104" customFormat="1" x14ac:dyDescent="0.35"/>
    <row r="105" customFormat="1" x14ac:dyDescent="0.35"/>
    <row r="106" customFormat="1" x14ac:dyDescent="0.35"/>
    <row r="107" customFormat="1" x14ac:dyDescent="0.35"/>
    <row r="108" customFormat="1" x14ac:dyDescent="0.35"/>
    <row r="109" customFormat="1" x14ac:dyDescent="0.35"/>
    <row r="110" customFormat="1" x14ac:dyDescent="0.35"/>
    <row r="112" customFormat="1" ht="15" hidden="1" customHeight="1" x14ac:dyDescent="0.35"/>
    <row r="113" customFormat="1" ht="15" hidden="1" customHeight="1" x14ac:dyDescent="0.35"/>
    <row r="114" customFormat="1" ht="15" hidden="1" customHeight="1" x14ac:dyDescent="0.35"/>
    <row r="115" customFormat="1" ht="15" hidden="1" customHeight="1" x14ac:dyDescent="0.35"/>
    <row r="116" customFormat="1" ht="15" hidden="1" customHeight="1" x14ac:dyDescent="0.35"/>
    <row r="117" customFormat="1" ht="15" hidden="1" customHeight="1" x14ac:dyDescent="0.35"/>
    <row r="118" customFormat="1" ht="15" hidden="1" customHeight="1" x14ac:dyDescent="0.35"/>
    <row r="119" customFormat="1" ht="15" hidden="1" customHeight="1" x14ac:dyDescent="0.35"/>
    <row r="120" customFormat="1" ht="15" hidden="1" customHeight="1" x14ac:dyDescent="0.35"/>
    <row r="121" customFormat="1" ht="15" hidden="1" customHeight="1" x14ac:dyDescent="0.35"/>
    <row r="122" customFormat="1" ht="15" hidden="1" customHeight="1" x14ac:dyDescent="0.35"/>
    <row r="123" customFormat="1" ht="15" hidden="1" customHeight="1" x14ac:dyDescent="0.35"/>
    <row r="124" customFormat="1" ht="15" hidden="1" customHeight="1" x14ac:dyDescent="0.35"/>
    <row r="125" customFormat="1" ht="15" hidden="1" customHeight="1" x14ac:dyDescent="0.35"/>
    <row r="126" customFormat="1" ht="15" hidden="1" customHeight="1" x14ac:dyDescent="0.35"/>
    <row r="127" customFormat="1" ht="15" hidden="1" customHeight="1" x14ac:dyDescent="0.35"/>
    <row r="128" customFormat="1" ht="15" hidden="1" customHeight="1" x14ac:dyDescent="0.35"/>
    <row r="129" customFormat="1" ht="15" hidden="1" customHeight="1" x14ac:dyDescent="0.35"/>
    <row r="130" customFormat="1" ht="15" hidden="1" customHeight="1" x14ac:dyDescent="0.35"/>
    <row r="131" customFormat="1" ht="15" hidden="1" customHeight="1" x14ac:dyDescent="0.35"/>
    <row r="132" customFormat="1" ht="15" hidden="1" customHeight="1" x14ac:dyDescent="0.35"/>
    <row r="133" customFormat="1" ht="15" hidden="1" customHeight="1" x14ac:dyDescent="0.35"/>
    <row r="134" customFormat="1" ht="15" hidden="1" customHeight="1" x14ac:dyDescent="0.35"/>
    <row r="135" customFormat="1" ht="15" hidden="1" customHeight="1" x14ac:dyDescent="0.35"/>
    <row r="136" customFormat="1" ht="15" hidden="1" customHeight="1" x14ac:dyDescent="0.35"/>
    <row r="137" customFormat="1" ht="15" hidden="1" customHeight="1" x14ac:dyDescent="0.35"/>
    <row r="138" customFormat="1" ht="15" hidden="1" customHeight="1" x14ac:dyDescent="0.35"/>
    <row r="139" customFormat="1" ht="15" hidden="1" customHeight="1" x14ac:dyDescent="0.35"/>
    <row r="140" customFormat="1" ht="15" hidden="1" customHeight="1" x14ac:dyDescent="0.35"/>
  </sheetData>
  <conditionalFormatting sqref="G76">
    <cfRule type="cellIs" dxfId="315" priority="11" operator="notEqual">
      <formula>$G$77</formula>
    </cfRule>
    <cfRule type="cellIs" dxfId="314" priority="12" operator="equal">
      <formula>$G$77</formula>
    </cfRule>
  </conditionalFormatting>
  <conditionalFormatting sqref="K9:K24">
    <cfRule type="cellIs" dxfId="313" priority="101" operator="notEqual">
      <formula>G9</formula>
    </cfRule>
    <cfRule type="cellIs" dxfId="312" priority="102" operator="equal">
      <formula>G9</formula>
    </cfRule>
  </conditionalFormatting>
  <conditionalFormatting sqref="K26:K41">
    <cfRule type="cellIs" dxfId="311" priority="69" operator="notEqual">
      <formula>G26</formula>
    </cfRule>
    <cfRule type="cellIs" dxfId="310" priority="70" operator="equal">
      <formula>G26</formula>
    </cfRule>
  </conditionalFormatting>
  <conditionalFormatting sqref="K43:K63">
    <cfRule type="cellIs" dxfId="309" priority="27" operator="notEqual">
      <formula>G43</formula>
    </cfRule>
    <cfRule type="cellIs" dxfId="308" priority="28" operator="equal">
      <formula>G43</formula>
    </cfRule>
  </conditionalFormatting>
  <conditionalFormatting sqref="K67:K69">
    <cfRule type="cellIs" dxfId="307" priority="21" operator="notEqual">
      <formula>G67</formula>
    </cfRule>
    <cfRule type="cellIs" dxfId="306" priority="22" operator="equal">
      <formula>G67</formula>
    </cfRule>
  </conditionalFormatting>
  <conditionalFormatting sqref="K71:K73">
    <cfRule type="cellIs" dxfId="305" priority="15" operator="notEqual">
      <formula>G71</formula>
    </cfRule>
    <cfRule type="cellIs" dxfId="304" priority="16" operator="equal">
      <formula>G71</formula>
    </cfRule>
  </conditionalFormatting>
  <conditionalFormatting sqref="K76">
    <cfRule type="cellIs" dxfId="303" priority="13" operator="notEqual">
      <formula>G76</formula>
    </cfRule>
    <cfRule type="cellIs" dxfId="302" priority="14" operator="equal">
      <formula>G76</formula>
    </cfRule>
  </conditionalFormatting>
  <dataValidations disablePrompts="1" count="1">
    <dataValidation type="list" allowBlank="1" showInputMessage="1" showErrorMessage="1" sqref="H9:H75" xr:uid="{00000000-0002-0000-1000-000000000000}">
      <formula1>$H$80:$H$82</formula1>
    </dataValidation>
  </dataValidations>
  <pageMargins left="0.7" right="0.7" top="0.75" bottom="0.75" header="0.3" footer="0.3"/>
  <pageSetup scale="39" orientation="landscape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9" operator="notEqual" id="{44B28A93-718D-4E06-A777-38D78CE92674}">
            <xm:f>'D:\Finance\Work\Reports &amp; Surveys\Cost Analysis\Cost Analysis - 2012-2013\Received from Colleges\Hillsborough\Original\[10 Hillsborough 2012-13 CA2 12-6-13.xlsx]CA2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10" operator="equal" id="{90A67841-1E54-44DF-9454-51F444D5D90D}">
            <xm:f>'D:\Finance\Work\Reports &amp; Surveys\Cost Analysis\Cost Analysis - 2012-2013\Received from Colleges\Hillsborough\Original\[10 Hillsborough 2012-13 CA2 12-6-13.xlsx]CA2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G8</xm:sqref>
        </x14:conditionalFormatting>
        <x14:conditionalFormatting xmlns:xm="http://schemas.microsoft.com/office/excel/2006/main">
          <x14:cfRule type="cellIs" priority="7" operator="notEqual" id="{B6E75119-E80D-453B-A285-49198A0473B6}">
            <xm:f>'D:\Finance\Work\Reports &amp; Surveys\Cost Analysis\Cost Analysis - 2012-2013\Received from Colleges\Hillsborough\Original\[10 Hillsborough 2012-13 CA2 12-6-13.xlsx]CA2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8" operator="equal" id="{AA46A7C1-F6F3-44B9-A9CB-10731A87496C}">
            <xm:f>'D:\Finance\Work\Reports &amp; Surveys\Cost Analysis\Cost Analysis - 2012-2013\Received from Colleges\Hillsborough\Original\[10 Hillsborough 2012-13 CA2 12-6-13.xlsx]CA2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G25</xm:sqref>
        </x14:conditionalFormatting>
        <x14:conditionalFormatting xmlns:xm="http://schemas.microsoft.com/office/excel/2006/main">
          <x14:cfRule type="cellIs" priority="5" operator="notEqual" id="{8D6B5590-87F7-4BBC-8C75-11A887BE4F25}">
            <xm:f>'D:\Finance\Work\Reports &amp; Surveys\Cost Analysis\Cost Analysis - 2012-2013\Received from Colleges\Hillsborough\Original\[10 Hillsborough 2012-13 CA2 12-6-13.xlsx]CA2 Detail'!#REF!+'D:\Finance\Work\Reports &amp; Surveys\Cost Analysis\Cost Analysis - 2012-2013\Received from Colleges\Hillsborough\Original\[10 Hillsborough 2012-13 CA2 12-6-13.xlsx]CA2 Detail'!#REF!+'D:\Finance\Work\Reports &amp; Surveys\Cost Analysis\Cost Analysis - 2012-2013\Received from Colleges\Hillsborough\Original\[10 Hillsborough 2012-13 CA2 12-6-13.xlsx]CA2 Detail'!#REF!+'D:\Finance\Work\Reports &amp; Surveys\Cost Analysis\Cost Analysis - 2012-2013\Received from Colleges\Hillsborough\Original\[10 Hillsborough 2012-13 CA2 12-6-13.xlsx]CA2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6" operator="equal" id="{483166EC-66AE-4131-BD1F-8DF1D8E4D0FE}">
            <xm:f>'D:\Finance\Work\Reports &amp; Surveys\Cost Analysis\Cost Analysis - 2012-2013\Received from Colleges\Hillsborough\Original\[10 Hillsborough 2012-13 CA2 12-6-13.xlsx]CA2 Detail'!#REF!+'D:\Finance\Work\Reports &amp; Surveys\Cost Analysis\Cost Analysis - 2012-2013\Received from Colleges\Hillsborough\Original\[10 Hillsborough 2012-13 CA2 12-6-13.xlsx]CA2 Detail'!#REF!+'D:\Finance\Work\Reports &amp; Surveys\Cost Analysis\Cost Analysis - 2012-2013\Received from Colleges\Hillsborough\Original\[10 Hillsborough 2012-13 CA2 12-6-13.xlsx]CA2 Detail'!#REF!+'D:\Finance\Work\Reports &amp; Surveys\Cost Analysis\Cost Analysis - 2012-2013\Received from Colleges\Hillsborough\Original\[10 Hillsborough 2012-13 CA2 12-6-13.xlsx]CA2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G42</xm:sqref>
        </x14:conditionalFormatting>
        <x14:conditionalFormatting xmlns:xm="http://schemas.microsoft.com/office/excel/2006/main">
          <x14:cfRule type="cellIs" priority="3" operator="notEqual" id="{31168C2D-659D-4417-B5AD-3A4159C60DF9}">
            <xm:f>'D:\Finance\Work\Reports &amp; Surveys\Cost Analysis\Cost Analysis - 2012-2013\Received from Colleges\Hillsborough\Original\[10 Hillsborough 2012-13 CA2 12-6-13.xlsx]CA2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4" operator="equal" id="{211B1BD5-999D-4D98-B886-D352C063CB94}">
            <xm:f>'D:\Finance\Work\Reports &amp; Surveys\Cost Analysis\Cost Analysis - 2012-2013\Received from Colleges\Hillsborough\Original\[10 Hillsborough 2012-13 CA2 12-6-13.xlsx]CA2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G66</xm:sqref>
        </x14:conditionalFormatting>
        <x14:conditionalFormatting xmlns:xm="http://schemas.microsoft.com/office/excel/2006/main">
          <x14:cfRule type="cellIs" priority="1" operator="notEqual" id="{4CD0E523-777E-4B6A-8A9E-7049CCE4D9A0}">
            <xm:f>'D:\Finance\Work\Reports &amp; Surveys\Cost Analysis\Cost Analysis - 2012-2013\Received from Colleges\Hillsborough\Original\[10 Hillsborough 2012-13 CA2 12-6-13.xlsx]CA2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2" operator="equal" id="{E88E7C5D-3B7F-4281-A43A-7B77A96F1779}">
            <xm:f>'D:\Finance\Work\Reports &amp; Surveys\Cost Analysis\Cost Analysis - 2012-2013\Received from Colleges\Hillsborough\Original\[10 Hillsborough 2012-13 CA2 12-6-13.xlsx]CA2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G70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00B0F0"/>
    <pageSetUpPr fitToPage="1"/>
  </sheetPr>
  <dimension ref="A1:L140"/>
  <sheetViews>
    <sheetView workbookViewId="0"/>
  </sheetViews>
  <sheetFormatPr defaultColWidth="11.453125" defaultRowHeight="14.5" x14ac:dyDescent="0.35"/>
  <cols>
    <col min="1" max="2" width="2.81640625" style="144" customWidth="1"/>
    <col min="3" max="3" width="10.453125" style="165" bestFit="1" customWidth="1"/>
    <col min="4" max="5" width="2.81640625" style="144" customWidth="1"/>
    <col min="6" max="6" width="80.7265625" style="144" bestFit="1" customWidth="1"/>
    <col min="7" max="7" width="27.81640625" style="144" customWidth="1"/>
    <col min="8" max="8" width="15.26953125" style="144" bestFit="1" customWidth="1"/>
    <col min="9" max="9" width="27.26953125" style="144" customWidth="1"/>
    <col min="10" max="10" width="26.81640625" style="144" customWidth="1"/>
    <col min="11" max="11" width="25.81640625" style="144" customWidth="1"/>
    <col min="12" max="12" width="82.54296875" style="144" customWidth="1"/>
    <col min="13" max="16384" width="11.453125" style="144"/>
  </cols>
  <sheetData>
    <row r="1" spans="1:12" x14ac:dyDescent="0.35">
      <c r="A1" s="146"/>
      <c r="B1" s="146"/>
      <c r="C1" s="146"/>
      <c r="D1" s="146"/>
      <c r="E1" s="146"/>
      <c r="F1" s="146"/>
      <c r="G1" s="146"/>
      <c r="H1" s="146"/>
      <c r="I1" s="146" t="s">
        <v>0</v>
      </c>
      <c r="J1" s="146"/>
      <c r="K1" s="146"/>
      <c r="L1" s="146"/>
    </row>
    <row r="2" spans="1:12" x14ac:dyDescent="0.35">
      <c r="A2" s="146"/>
      <c r="B2" s="146"/>
      <c r="C2" s="146"/>
      <c r="D2" s="146"/>
      <c r="E2" s="146"/>
      <c r="F2" s="146"/>
      <c r="G2" s="146"/>
      <c r="H2" s="146"/>
      <c r="I2" s="147" t="s">
        <v>197</v>
      </c>
      <c r="J2" s="146"/>
      <c r="K2" s="146"/>
      <c r="L2" s="146"/>
    </row>
    <row r="3" spans="1:12" x14ac:dyDescent="0.35">
      <c r="A3" s="148" t="s">
        <v>198</v>
      </c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147"/>
    </row>
    <row r="4" spans="1:12" ht="19.5" customHeight="1" x14ac:dyDescent="0.35">
      <c r="A4" s="149" t="s">
        <v>156</v>
      </c>
      <c r="B4" s="150"/>
      <c r="C4" s="150"/>
      <c r="D4" s="150"/>
      <c r="E4" s="150"/>
      <c r="F4" s="150"/>
      <c r="G4" s="150"/>
      <c r="H4" s="150"/>
      <c r="I4" s="150"/>
      <c r="J4" s="150"/>
      <c r="K4" s="150"/>
      <c r="L4" s="150"/>
    </row>
    <row r="5" spans="1:12" x14ac:dyDescent="0.35">
      <c r="A5" s="150"/>
      <c r="B5" s="150"/>
      <c r="C5" s="150"/>
      <c r="D5" s="150"/>
      <c r="E5" s="150"/>
      <c r="F5" s="150"/>
      <c r="G5" s="150"/>
      <c r="H5" s="150"/>
      <c r="I5" s="150"/>
      <c r="J5" s="150"/>
      <c r="K5" s="150"/>
      <c r="L5" s="150"/>
    </row>
    <row r="6" spans="1:12" s="7" customFormat="1" x14ac:dyDescent="0.35">
      <c r="A6" s="128" t="s">
        <v>2</v>
      </c>
      <c r="B6" s="129"/>
      <c r="C6" s="129"/>
      <c r="D6" s="128" t="s">
        <v>3</v>
      </c>
      <c r="E6" s="129"/>
      <c r="F6" s="129"/>
      <c r="G6" s="118" t="s">
        <v>274</v>
      </c>
      <c r="H6" s="130" t="s">
        <v>4</v>
      </c>
      <c r="I6" s="130" t="s">
        <v>5</v>
      </c>
      <c r="J6" s="130" t="s">
        <v>6</v>
      </c>
      <c r="K6" s="130" t="s">
        <v>7</v>
      </c>
      <c r="L6" s="130" t="s">
        <v>199</v>
      </c>
    </row>
    <row r="7" spans="1:12" x14ac:dyDescent="0.35">
      <c r="A7" s="151" t="s">
        <v>9</v>
      </c>
      <c r="B7" s="152"/>
      <c r="C7" s="153"/>
      <c r="D7" s="154" t="s">
        <v>10</v>
      </c>
      <c r="E7" s="153"/>
      <c r="F7" s="153"/>
      <c r="G7" s="155"/>
      <c r="H7" s="152"/>
      <c r="I7" s="155"/>
      <c r="J7" s="155"/>
      <c r="K7" s="155"/>
      <c r="L7" s="154"/>
    </row>
    <row r="8" spans="1:12" x14ac:dyDescent="0.35">
      <c r="A8" s="151"/>
      <c r="B8" s="152" t="s">
        <v>11</v>
      </c>
      <c r="C8" s="153"/>
      <c r="D8" s="156"/>
      <c r="E8" s="152" t="s">
        <v>12</v>
      </c>
      <c r="F8" s="153"/>
      <c r="G8" s="155">
        <v>3065980.95</v>
      </c>
      <c r="H8" s="152"/>
      <c r="I8" s="155">
        <v>3065980.95</v>
      </c>
      <c r="J8" s="155">
        <v>0</v>
      </c>
      <c r="K8" s="155"/>
      <c r="L8" s="157"/>
    </row>
    <row r="9" spans="1:12" x14ac:dyDescent="0.35">
      <c r="A9" s="151"/>
      <c r="B9" s="152"/>
      <c r="C9" s="153" t="s">
        <v>13</v>
      </c>
      <c r="D9" s="156"/>
      <c r="E9" s="153"/>
      <c r="F9" s="152" t="s">
        <v>14</v>
      </c>
      <c r="G9" s="86"/>
      <c r="H9" s="158"/>
      <c r="I9" s="86"/>
      <c r="J9" s="86"/>
      <c r="K9" s="155">
        <v>0</v>
      </c>
      <c r="L9" s="159"/>
    </row>
    <row r="10" spans="1:12" x14ac:dyDescent="0.35">
      <c r="A10" s="151"/>
      <c r="B10" s="152"/>
      <c r="C10" s="153" t="s">
        <v>16</v>
      </c>
      <c r="D10" s="156"/>
      <c r="E10" s="153"/>
      <c r="F10" s="152" t="s">
        <v>17</v>
      </c>
      <c r="G10" s="86">
        <v>9100.67</v>
      </c>
      <c r="H10" s="158" t="s">
        <v>15</v>
      </c>
      <c r="I10" s="86">
        <v>9100.67</v>
      </c>
      <c r="J10" s="86"/>
      <c r="K10" s="155">
        <v>9100.67</v>
      </c>
      <c r="L10" s="159"/>
    </row>
    <row r="11" spans="1:12" x14ac:dyDescent="0.35">
      <c r="A11" s="151"/>
      <c r="B11" s="152"/>
      <c r="C11" s="153" t="s">
        <v>18</v>
      </c>
      <c r="D11" s="156"/>
      <c r="E11" s="153"/>
      <c r="F11" s="152" t="s">
        <v>19</v>
      </c>
      <c r="G11" s="86">
        <v>1126818.58</v>
      </c>
      <c r="H11" s="158" t="s">
        <v>15</v>
      </c>
      <c r="I11" s="86">
        <v>1126818.58</v>
      </c>
      <c r="J11" s="86">
        <v>0</v>
      </c>
      <c r="K11" s="155">
        <v>1126818.58</v>
      </c>
      <c r="L11" s="159"/>
    </row>
    <row r="12" spans="1:12" x14ac:dyDescent="0.35">
      <c r="A12" s="151"/>
      <c r="B12" s="152"/>
      <c r="C12" s="153" t="s">
        <v>20</v>
      </c>
      <c r="D12" s="156"/>
      <c r="E12" s="153"/>
      <c r="F12" s="152" t="s">
        <v>21</v>
      </c>
      <c r="G12" s="86"/>
      <c r="H12" s="158" t="s">
        <v>15</v>
      </c>
      <c r="I12" s="86">
        <v>0</v>
      </c>
      <c r="J12" s="86"/>
      <c r="K12" s="155">
        <v>0</v>
      </c>
      <c r="L12" s="159"/>
    </row>
    <row r="13" spans="1:12" x14ac:dyDescent="0.35">
      <c r="A13" s="151"/>
      <c r="B13" s="152"/>
      <c r="C13" s="153" t="s">
        <v>22</v>
      </c>
      <c r="D13" s="156"/>
      <c r="E13" s="153"/>
      <c r="F13" s="152" t="s">
        <v>23</v>
      </c>
      <c r="G13" s="86">
        <v>837339.96</v>
      </c>
      <c r="H13" s="158" t="s">
        <v>15</v>
      </c>
      <c r="I13" s="86">
        <v>837339.96</v>
      </c>
      <c r="J13" s="86"/>
      <c r="K13" s="155">
        <v>837339.96</v>
      </c>
      <c r="L13" s="159"/>
    </row>
    <row r="14" spans="1:12" x14ac:dyDescent="0.35">
      <c r="A14" s="151"/>
      <c r="B14" s="152"/>
      <c r="C14" s="153" t="s">
        <v>25</v>
      </c>
      <c r="D14" s="156"/>
      <c r="E14" s="153"/>
      <c r="F14" s="152" t="s">
        <v>26</v>
      </c>
      <c r="G14" s="86"/>
      <c r="H14" s="158"/>
      <c r="I14" s="86"/>
      <c r="J14" s="86"/>
      <c r="K14" s="155">
        <v>0</v>
      </c>
      <c r="L14" s="159"/>
    </row>
    <row r="15" spans="1:12" x14ac:dyDescent="0.35">
      <c r="A15" s="151"/>
      <c r="B15" s="152"/>
      <c r="C15" s="153" t="s">
        <v>27</v>
      </c>
      <c r="D15" s="156"/>
      <c r="E15" s="153"/>
      <c r="F15" s="152" t="s">
        <v>28</v>
      </c>
      <c r="G15" s="86"/>
      <c r="H15" s="158"/>
      <c r="I15" s="86"/>
      <c r="J15" s="86"/>
      <c r="K15" s="155">
        <v>0</v>
      </c>
      <c r="L15" s="159"/>
    </row>
    <row r="16" spans="1:12" x14ac:dyDescent="0.35">
      <c r="A16" s="151"/>
      <c r="B16" s="152"/>
      <c r="C16" s="153" t="s">
        <v>29</v>
      </c>
      <c r="D16" s="156"/>
      <c r="E16" s="153"/>
      <c r="F16" s="152" t="s">
        <v>30</v>
      </c>
      <c r="G16" s="86"/>
      <c r="H16" s="158"/>
      <c r="I16" s="86"/>
      <c r="J16" s="86"/>
      <c r="K16" s="155">
        <v>0</v>
      </c>
      <c r="L16" s="159"/>
    </row>
    <row r="17" spans="1:12" x14ac:dyDescent="0.35">
      <c r="A17" s="151"/>
      <c r="B17" s="152"/>
      <c r="C17" s="153" t="s">
        <v>31</v>
      </c>
      <c r="D17" s="156"/>
      <c r="E17" s="153"/>
      <c r="F17" s="152" t="s">
        <v>32</v>
      </c>
      <c r="G17" s="86"/>
      <c r="H17" s="158"/>
      <c r="I17" s="86"/>
      <c r="J17" s="86"/>
      <c r="K17" s="155">
        <v>0</v>
      </c>
      <c r="L17" s="159"/>
    </row>
    <row r="18" spans="1:12" x14ac:dyDescent="0.35">
      <c r="A18" s="151"/>
      <c r="B18" s="152"/>
      <c r="C18" s="153" t="s">
        <v>33</v>
      </c>
      <c r="D18" s="156"/>
      <c r="E18" s="153"/>
      <c r="F18" s="152" t="s">
        <v>34</v>
      </c>
      <c r="G18" s="86"/>
      <c r="H18" s="158"/>
      <c r="I18" s="86"/>
      <c r="J18" s="86"/>
      <c r="K18" s="155">
        <v>0</v>
      </c>
      <c r="L18" s="159"/>
    </row>
    <row r="19" spans="1:12" x14ac:dyDescent="0.35">
      <c r="A19" s="151"/>
      <c r="B19" s="152"/>
      <c r="C19" s="153" t="s">
        <v>35</v>
      </c>
      <c r="D19" s="156"/>
      <c r="E19" s="153"/>
      <c r="F19" s="152" t="s">
        <v>36</v>
      </c>
      <c r="G19" s="91"/>
      <c r="H19" s="158"/>
      <c r="I19" s="91"/>
      <c r="J19" s="91"/>
      <c r="K19" s="155">
        <v>0</v>
      </c>
      <c r="L19" s="159"/>
    </row>
    <row r="20" spans="1:12" x14ac:dyDescent="0.35">
      <c r="A20" s="151"/>
      <c r="B20" s="152"/>
      <c r="C20" s="153" t="s">
        <v>37</v>
      </c>
      <c r="D20" s="156"/>
      <c r="E20" s="153"/>
      <c r="F20" s="152" t="s">
        <v>38</v>
      </c>
      <c r="G20" s="86">
        <v>1092721.74</v>
      </c>
      <c r="H20" s="158" t="s">
        <v>15</v>
      </c>
      <c r="I20" s="86">
        <v>1092721.74</v>
      </c>
      <c r="J20" s="86"/>
      <c r="K20" s="155">
        <v>1092721.74</v>
      </c>
      <c r="L20" s="159"/>
    </row>
    <row r="21" spans="1:12" x14ac:dyDescent="0.35">
      <c r="A21" s="151"/>
      <c r="B21" s="152"/>
      <c r="C21" s="153" t="s">
        <v>39</v>
      </c>
      <c r="D21" s="156"/>
      <c r="E21" s="153"/>
      <c r="F21" s="152" t="s">
        <v>40</v>
      </c>
      <c r="G21" s="86"/>
      <c r="H21" s="158"/>
      <c r="I21" s="86"/>
      <c r="J21" s="86"/>
      <c r="K21" s="155">
        <v>0</v>
      </c>
      <c r="L21" s="159"/>
    </row>
    <row r="22" spans="1:12" x14ac:dyDescent="0.35">
      <c r="A22" s="151"/>
      <c r="B22" s="152"/>
      <c r="C22" s="153" t="s">
        <v>41</v>
      </c>
      <c r="D22" s="156"/>
      <c r="E22" s="153"/>
      <c r="F22" s="152" t="s">
        <v>42</v>
      </c>
      <c r="G22" s="86"/>
      <c r="H22" s="158"/>
      <c r="I22" s="86"/>
      <c r="J22" s="86"/>
      <c r="K22" s="155">
        <v>0</v>
      </c>
      <c r="L22" s="159"/>
    </row>
    <row r="23" spans="1:12" x14ac:dyDescent="0.35">
      <c r="A23" s="151"/>
      <c r="B23" s="152"/>
      <c r="C23" s="153" t="s">
        <v>43</v>
      </c>
      <c r="D23" s="156"/>
      <c r="E23" s="153"/>
      <c r="F23" s="152" t="s">
        <v>44</v>
      </c>
      <c r="G23" s="86"/>
      <c r="H23" s="158"/>
      <c r="I23" s="86"/>
      <c r="J23" s="86"/>
      <c r="K23" s="155">
        <v>0</v>
      </c>
      <c r="L23" s="159"/>
    </row>
    <row r="24" spans="1:12" x14ac:dyDescent="0.35">
      <c r="A24" s="152"/>
      <c r="B24" s="152"/>
      <c r="C24" s="160" t="s">
        <v>45</v>
      </c>
      <c r="D24" s="156"/>
      <c r="E24" s="160"/>
      <c r="F24" s="152" t="s">
        <v>46</v>
      </c>
      <c r="G24" s="92"/>
      <c r="H24" s="158"/>
      <c r="I24" s="92"/>
      <c r="J24" s="92"/>
      <c r="K24" s="155">
        <v>0</v>
      </c>
      <c r="L24" s="159"/>
    </row>
    <row r="25" spans="1:12" x14ac:dyDescent="0.35">
      <c r="A25" s="151"/>
      <c r="B25" s="152" t="s">
        <v>47</v>
      </c>
      <c r="C25" s="153"/>
      <c r="D25" s="156"/>
      <c r="E25" s="152" t="s">
        <v>48</v>
      </c>
      <c r="F25" s="153"/>
      <c r="G25" s="155">
        <v>3098474.23</v>
      </c>
      <c r="H25" s="152"/>
      <c r="I25" s="155">
        <v>2076775.48</v>
      </c>
      <c r="J25" s="155">
        <v>1021698.75</v>
      </c>
      <c r="K25" s="155"/>
      <c r="L25" s="157"/>
    </row>
    <row r="26" spans="1:12" x14ac:dyDescent="0.35">
      <c r="A26" s="151"/>
      <c r="B26" s="152"/>
      <c r="C26" s="153" t="s">
        <v>49</v>
      </c>
      <c r="D26" s="156"/>
      <c r="E26" s="153"/>
      <c r="F26" s="152" t="s">
        <v>50</v>
      </c>
      <c r="G26" s="86"/>
      <c r="H26" s="158"/>
      <c r="I26" s="86"/>
      <c r="J26" s="86"/>
      <c r="K26" s="155">
        <v>0</v>
      </c>
      <c r="L26" s="159"/>
    </row>
    <row r="27" spans="1:12" x14ac:dyDescent="0.35">
      <c r="A27" s="151"/>
      <c r="B27" s="152"/>
      <c r="C27" s="153" t="s">
        <v>51</v>
      </c>
      <c r="D27" s="156"/>
      <c r="E27" s="153"/>
      <c r="F27" s="152" t="s">
        <v>52</v>
      </c>
      <c r="G27" s="86"/>
      <c r="H27" s="158"/>
      <c r="I27" s="86"/>
      <c r="J27" s="86"/>
      <c r="K27" s="155">
        <v>0</v>
      </c>
      <c r="L27" s="159"/>
    </row>
    <row r="28" spans="1:12" x14ac:dyDescent="0.35">
      <c r="A28" s="151"/>
      <c r="B28" s="152"/>
      <c r="C28" s="153" t="s">
        <v>53</v>
      </c>
      <c r="D28" s="156"/>
      <c r="E28" s="153"/>
      <c r="F28" s="152" t="s">
        <v>54</v>
      </c>
      <c r="G28" s="86">
        <v>186640.19999999998</v>
      </c>
      <c r="H28" s="158" t="s">
        <v>15</v>
      </c>
      <c r="I28" s="86">
        <v>186640.19999999998</v>
      </c>
      <c r="J28" s="86"/>
      <c r="K28" s="155">
        <v>186640.19999999998</v>
      </c>
      <c r="L28" s="159"/>
    </row>
    <row r="29" spans="1:12" x14ac:dyDescent="0.35">
      <c r="A29" s="151"/>
      <c r="B29" s="152"/>
      <c r="C29" s="153" t="s">
        <v>55</v>
      </c>
      <c r="D29" s="156"/>
      <c r="E29" s="153"/>
      <c r="F29" s="152" t="s">
        <v>56</v>
      </c>
      <c r="G29" s="86">
        <v>294102.80999999994</v>
      </c>
      <c r="H29" s="158" t="s">
        <v>15</v>
      </c>
      <c r="I29" s="86">
        <v>294102.80999999994</v>
      </c>
      <c r="J29" s="86"/>
      <c r="K29" s="155">
        <v>294102.80999999994</v>
      </c>
      <c r="L29" s="159"/>
    </row>
    <row r="30" spans="1:12" x14ac:dyDescent="0.35">
      <c r="A30" s="151"/>
      <c r="B30" s="152"/>
      <c r="C30" s="153" t="s">
        <v>57</v>
      </c>
      <c r="D30" s="156"/>
      <c r="E30" s="153"/>
      <c r="F30" s="152" t="s">
        <v>58</v>
      </c>
      <c r="G30" s="86">
        <v>800257.47</v>
      </c>
      <c r="H30" s="158" t="s">
        <v>59</v>
      </c>
      <c r="I30" s="86">
        <v>764638.99</v>
      </c>
      <c r="J30" s="86">
        <v>35618.480000000003</v>
      </c>
      <c r="K30" s="155">
        <v>800257.47</v>
      </c>
      <c r="L30" s="159"/>
    </row>
    <row r="31" spans="1:12" x14ac:dyDescent="0.35">
      <c r="A31" s="151"/>
      <c r="B31" s="152"/>
      <c r="C31" s="153" t="s">
        <v>60</v>
      </c>
      <c r="D31" s="156"/>
      <c r="E31" s="153"/>
      <c r="F31" s="152" t="s">
        <v>61</v>
      </c>
      <c r="G31" s="86">
        <v>213263.3</v>
      </c>
      <c r="H31" s="158" t="s">
        <v>15</v>
      </c>
      <c r="I31" s="86">
        <v>213263.3</v>
      </c>
      <c r="J31" s="86"/>
      <c r="K31" s="155">
        <v>213263.3</v>
      </c>
      <c r="L31" s="159"/>
    </row>
    <row r="32" spans="1:12" x14ac:dyDescent="0.35">
      <c r="A32" s="151"/>
      <c r="B32" s="152"/>
      <c r="C32" s="153" t="s">
        <v>62</v>
      </c>
      <c r="D32" s="156"/>
      <c r="E32" s="153"/>
      <c r="F32" s="152" t="s">
        <v>63</v>
      </c>
      <c r="G32" s="86">
        <v>512885.02</v>
      </c>
      <c r="H32" s="158" t="s">
        <v>24</v>
      </c>
      <c r="I32" s="86"/>
      <c r="J32" s="86">
        <v>512885.02</v>
      </c>
      <c r="K32" s="155">
        <v>512885.02</v>
      </c>
      <c r="L32" s="159"/>
    </row>
    <row r="33" spans="1:12" x14ac:dyDescent="0.35">
      <c r="A33" s="152"/>
      <c r="B33" s="152"/>
      <c r="C33" s="153" t="s">
        <v>64</v>
      </c>
      <c r="D33" s="152"/>
      <c r="E33" s="153"/>
      <c r="F33" s="152" t="s">
        <v>65</v>
      </c>
      <c r="G33" s="86">
        <v>122792.52</v>
      </c>
      <c r="H33" s="158" t="s">
        <v>24</v>
      </c>
      <c r="I33" s="86"/>
      <c r="J33" s="86">
        <v>122792.52</v>
      </c>
      <c r="K33" s="155">
        <v>122792.52</v>
      </c>
      <c r="L33" s="159"/>
    </row>
    <row r="34" spans="1:12" x14ac:dyDescent="0.35">
      <c r="A34" s="152"/>
      <c r="B34" s="152"/>
      <c r="C34" s="153" t="s">
        <v>66</v>
      </c>
      <c r="D34" s="152"/>
      <c r="E34" s="152"/>
      <c r="F34" s="152" t="s">
        <v>67</v>
      </c>
      <c r="G34" s="86">
        <v>153340.65</v>
      </c>
      <c r="H34" s="158" t="s">
        <v>15</v>
      </c>
      <c r="I34" s="86">
        <v>153340.65</v>
      </c>
      <c r="J34" s="86"/>
      <c r="K34" s="155">
        <v>153340.65</v>
      </c>
      <c r="L34" s="159"/>
    </row>
    <row r="35" spans="1:12" x14ac:dyDescent="0.35">
      <c r="A35" s="152"/>
      <c r="B35" s="152"/>
      <c r="C35" s="153" t="s">
        <v>68</v>
      </c>
      <c r="D35" s="152"/>
      <c r="E35" s="153"/>
      <c r="F35" s="152" t="s">
        <v>69</v>
      </c>
      <c r="G35" s="86">
        <v>464789.53</v>
      </c>
      <c r="H35" s="158" t="s">
        <v>15</v>
      </c>
      <c r="I35" s="86">
        <v>464789.53</v>
      </c>
      <c r="J35" s="86"/>
      <c r="K35" s="155">
        <v>464789.53</v>
      </c>
      <c r="L35" s="159"/>
    </row>
    <row r="36" spans="1:12" x14ac:dyDescent="0.35">
      <c r="A36" s="152"/>
      <c r="B36" s="152"/>
      <c r="C36" s="153" t="s">
        <v>70</v>
      </c>
      <c r="D36" s="152"/>
      <c r="E36" s="152"/>
      <c r="F36" s="152" t="s">
        <v>71</v>
      </c>
      <c r="G36" s="86"/>
      <c r="H36" s="158"/>
      <c r="I36" s="86"/>
      <c r="J36" s="86"/>
      <c r="K36" s="155">
        <v>0</v>
      </c>
      <c r="L36" s="159"/>
    </row>
    <row r="37" spans="1:12" x14ac:dyDescent="0.35">
      <c r="A37" s="152"/>
      <c r="B37" s="152"/>
      <c r="C37" s="153" t="s">
        <v>72</v>
      </c>
      <c r="D37" s="152"/>
      <c r="E37" s="161"/>
      <c r="F37" s="152" t="s">
        <v>73</v>
      </c>
      <c r="G37" s="86"/>
      <c r="H37" s="158"/>
      <c r="I37" s="86"/>
      <c r="J37" s="86"/>
      <c r="K37" s="155">
        <v>0</v>
      </c>
      <c r="L37" s="159"/>
    </row>
    <row r="38" spans="1:12" x14ac:dyDescent="0.35">
      <c r="A38" s="152"/>
      <c r="B38" s="152"/>
      <c r="C38" s="153" t="s">
        <v>74</v>
      </c>
      <c r="D38" s="152"/>
      <c r="E38" s="152"/>
      <c r="F38" s="152" t="s">
        <v>75</v>
      </c>
      <c r="G38" s="86"/>
      <c r="H38" s="158"/>
      <c r="I38" s="86"/>
      <c r="J38" s="86"/>
      <c r="K38" s="155">
        <v>0</v>
      </c>
      <c r="L38" s="159"/>
    </row>
    <row r="39" spans="1:12" x14ac:dyDescent="0.35">
      <c r="A39" s="152"/>
      <c r="B39" s="152"/>
      <c r="C39" s="153" t="s">
        <v>76</v>
      </c>
      <c r="D39" s="152"/>
      <c r="E39" s="152"/>
      <c r="F39" s="152" t="s">
        <v>77</v>
      </c>
      <c r="G39" s="86"/>
      <c r="H39" s="158"/>
      <c r="I39" s="86"/>
      <c r="J39" s="86"/>
      <c r="K39" s="155">
        <v>0</v>
      </c>
      <c r="L39" s="159"/>
    </row>
    <row r="40" spans="1:12" x14ac:dyDescent="0.35">
      <c r="A40" s="152"/>
      <c r="B40" s="152"/>
      <c r="C40" s="153" t="s">
        <v>78</v>
      </c>
      <c r="D40" s="152"/>
      <c r="E40" s="152"/>
      <c r="F40" s="152" t="s">
        <v>79</v>
      </c>
      <c r="G40" s="86">
        <v>94424.9</v>
      </c>
      <c r="H40" s="158" t="s">
        <v>24</v>
      </c>
      <c r="I40" s="86"/>
      <c r="J40" s="86">
        <v>94424.9</v>
      </c>
      <c r="K40" s="155">
        <v>94424.9</v>
      </c>
      <c r="L40" s="159"/>
    </row>
    <row r="41" spans="1:12" x14ac:dyDescent="0.35">
      <c r="A41" s="152"/>
      <c r="B41" s="152"/>
      <c r="C41" s="153" t="s">
        <v>80</v>
      </c>
      <c r="D41" s="152"/>
      <c r="E41" s="152"/>
      <c r="F41" s="152" t="s">
        <v>81</v>
      </c>
      <c r="G41" s="86">
        <v>255977.83000000002</v>
      </c>
      <c r="H41" s="158" t="s">
        <v>24</v>
      </c>
      <c r="I41" s="86"/>
      <c r="J41" s="86">
        <v>255977.83000000002</v>
      </c>
      <c r="K41" s="155">
        <v>255977.83000000002</v>
      </c>
      <c r="L41" s="159"/>
    </row>
    <row r="42" spans="1:12" x14ac:dyDescent="0.35">
      <c r="A42" s="152"/>
      <c r="B42" s="152" t="s">
        <v>82</v>
      </c>
      <c r="C42" s="153"/>
      <c r="D42" s="152"/>
      <c r="E42" s="152" t="s">
        <v>83</v>
      </c>
      <c r="F42" s="152"/>
      <c r="G42" s="155">
        <v>4810840.879999999</v>
      </c>
      <c r="H42" s="152"/>
      <c r="I42" s="155">
        <v>1628971.99</v>
      </c>
      <c r="J42" s="155">
        <v>3181868.8899999997</v>
      </c>
      <c r="K42" s="155"/>
      <c r="L42" s="157"/>
    </row>
    <row r="43" spans="1:12" x14ac:dyDescent="0.35">
      <c r="A43" s="152"/>
      <c r="B43" s="152"/>
      <c r="C43" s="153" t="s">
        <v>84</v>
      </c>
      <c r="D43" s="152"/>
      <c r="E43" s="152"/>
      <c r="F43" s="152" t="s">
        <v>85</v>
      </c>
      <c r="G43" s="86"/>
      <c r="H43" s="158"/>
      <c r="I43" s="86"/>
      <c r="J43" s="86"/>
      <c r="K43" s="155">
        <v>0</v>
      </c>
      <c r="L43" s="159"/>
    </row>
    <row r="44" spans="1:12" x14ac:dyDescent="0.35">
      <c r="A44" s="152"/>
      <c r="B44" s="152"/>
      <c r="C44" s="153" t="s">
        <v>86</v>
      </c>
      <c r="D44" s="152"/>
      <c r="E44" s="152"/>
      <c r="F44" s="152" t="s">
        <v>87</v>
      </c>
      <c r="G44" s="86">
        <v>2307925.5499999998</v>
      </c>
      <c r="H44" s="158" t="s">
        <v>24</v>
      </c>
      <c r="I44" s="86"/>
      <c r="J44" s="86">
        <v>2307925.5499999998</v>
      </c>
      <c r="K44" s="155">
        <v>2307925.5499999998</v>
      </c>
      <c r="L44" s="159"/>
    </row>
    <row r="45" spans="1:12" x14ac:dyDescent="0.35">
      <c r="A45" s="152"/>
      <c r="B45" s="152"/>
      <c r="C45" s="153" t="s">
        <v>88</v>
      </c>
      <c r="D45" s="152"/>
      <c r="E45" s="152"/>
      <c r="F45" s="152" t="s">
        <v>89</v>
      </c>
      <c r="G45" s="86"/>
      <c r="H45" s="158"/>
      <c r="I45" s="86"/>
      <c r="J45" s="86"/>
      <c r="K45" s="155">
        <v>0</v>
      </c>
      <c r="L45" s="159"/>
    </row>
    <row r="46" spans="1:12" x14ac:dyDescent="0.35">
      <c r="A46" s="152"/>
      <c r="B46" s="152"/>
      <c r="C46" s="153" t="s">
        <v>90</v>
      </c>
      <c r="D46" s="152"/>
      <c r="E46" s="152"/>
      <c r="F46" s="152" t="s">
        <v>91</v>
      </c>
      <c r="G46" s="86"/>
      <c r="H46" s="158"/>
      <c r="I46" s="86"/>
      <c r="J46" s="86"/>
      <c r="K46" s="155">
        <v>0</v>
      </c>
      <c r="L46" s="159"/>
    </row>
    <row r="47" spans="1:12" x14ac:dyDescent="0.35">
      <c r="A47" s="152"/>
      <c r="B47" s="152"/>
      <c r="C47" s="153" t="s">
        <v>92</v>
      </c>
      <c r="D47" s="152"/>
      <c r="E47" s="152"/>
      <c r="F47" s="152" t="s">
        <v>93</v>
      </c>
      <c r="G47" s="86">
        <v>1353322.3900000001</v>
      </c>
      <c r="H47" s="158" t="s">
        <v>59</v>
      </c>
      <c r="I47" s="86">
        <v>1337758.54</v>
      </c>
      <c r="J47" s="86">
        <v>15563.85</v>
      </c>
      <c r="K47" s="155">
        <v>1353322.3900000001</v>
      </c>
      <c r="L47" s="159"/>
    </row>
    <row r="48" spans="1:12" x14ac:dyDescent="0.35">
      <c r="A48" s="152"/>
      <c r="B48" s="152"/>
      <c r="C48" s="153" t="s">
        <v>94</v>
      </c>
      <c r="D48" s="152"/>
      <c r="E48" s="152"/>
      <c r="F48" s="152" t="s">
        <v>95</v>
      </c>
      <c r="G48" s="86"/>
      <c r="H48" s="158"/>
      <c r="I48" s="86"/>
      <c r="J48" s="86"/>
      <c r="K48" s="155">
        <v>0</v>
      </c>
      <c r="L48" s="159"/>
    </row>
    <row r="49" spans="1:12" x14ac:dyDescent="0.35">
      <c r="A49" s="152"/>
      <c r="B49" s="152"/>
      <c r="C49" s="153" t="s">
        <v>96</v>
      </c>
      <c r="D49" s="152"/>
      <c r="E49" s="152"/>
      <c r="F49" s="152" t="s">
        <v>97</v>
      </c>
      <c r="G49" s="86">
        <v>179693.9</v>
      </c>
      <c r="H49" s="158" t="s">
        <v>15</v>
      </c>
      <c r="I49" s="86">
        <v>179693.9</v>
      </c>
      <c r="J49" s="86"/>
      <c r="K49" s="155">
        <v>179693.9</v>
      </c>
      <c r="L49" s="159"/>
    </row>
    <row r="50" spans="1:12" x14ac:dyDescent="0.35">
      <c r="A50" s="152"/>
      <c r="B50" s="152"/>
      <c r="C50" s="153" t="s">
        <v>98</v>
      </c>
      <c r="D50" s="152"/>
      <c r="E50" s="152"/>
      <c r="F50" s="152" t="s">
        <v>99</v>
      </c>
      <c r="G50" s="86"/>
      <c r="H50" s="158"/>
      <c r="I50" s="86"/>
      <c r="J50" s="86"/>
      <c r="K50" s="155">
        <v>0</v>
      </c>
      <c r="L50" s="159"/>
    </row>
    <row r="51" spans="1:12" x14ac:dyDescent="0.35">
      <c r="A51" s="152"/>
      <c r="B51" s="152"/>
      <c r="C51" s="153" t="s">
        <v>100</v>
      </c>
      <c r="D51" s="152"/>
      <c r="E51" s="152"/>
      <c r="F51" s="152" t="s">
        <v>101</v>
      </c>
      <c r="G51" s="86"/>
      <c r="H51" s="158"/>
      <c r="I51" s="86"/>
      <c r="J51" s="86"/>
      <c r="K51" s="155">
        <v>0</v>
      </c>
      <c r="L51" s="159"/>
    </row>
    <row r="52" spans="1:12" x14ac:dyDescent="0.35">
      <c r="A52" s="152"/>
      <c r="B52" s="152"/>
      <c r="C52" s="153" t="s">
        <v>102</v>
      </c>
      <c r="D52" s="152"/>
      <c r="E52" s="152"/>
      <c r="F52" s="152" t="s">
        <v>103</v>
      </c>
      <c r="G52" s="86"/>
      <c r="H52" s="158"/>
      <c r="I52" s="86"/>
      <c r="J52" s="86"/>
      <c r="K52" s="155">
        <v>0</v>
      </c>
      <c r="L52" s="159"/>
    </row>
    <row r="53" spans="1:12" x14ac:dyDescent="0.35">
      <c r="A53" s="152"/>
      <c r="B53" s="152"/>
      <c r="C53" s="153" t="s">
        <v>104</v>
      </c>
      <c r="D53" s="152"/>
      <c r="E53" s="152"/>
      <c r="F53" s="152" t="s">
        <v>105</v>
      </c>
      <c r="G53" s="86"/>
      <c r="H53" s="158"/>
      <c r="I53" s="86"/>
      <c r="J53" s="86"/>
      <c r="K53" s="155">
        <v>0</v>
      </c>
      <c r="L53" s="159"/>
    </row>
    <row r="54" spans="1:12" x14ac:dyDescent="0.35">
      <c r="A54" s="152"/>
      <c r="B54" s="152"/>
      <c r="C54" s="153" t="s">
        <v>106</v>
      </c>
      <c r="D54" s="152"/>
      <c r="E54" s="152"/>
      <c r="F54" s="152" t="s">
        <v>107</v>
      </c>
      <c r="G54" s="86">
        <v>189377.09000000003</v>
      </c>
      <c r="H54" s="158" t="s">
        <v>24</v>
      </c>
      <c r="I54" s="86"/>
      <c r="J54" s="86">
        <v>189377.09000000003</v>
      </c>
      <c r="K54" s="155">
        <v>189377.09000000003</v>
      </c>
      <c r="L54" s="159"/>
    </row>
    <row r="55" spans="1:12" x14ac:dyDescent="0.35">
      <c r="A55" s="152"/>
      <c r="B55" s="152"/>
      <c r="C55" s="153" t="s">
        <v>108</v>
      </c>
      <c r="D55" s="152"/>
      <c r="E55" s="152"/>
      <c r="F55" s="152" t="s">
        <v>109</v>
      </c>
      <c r="G55" s="86">
        <v>499867.68</v>
      </c>
      <c r="H55" s="158" t="s">
        <v>24</v>
      </c>
      <c r="I55" s="86"/>
      <c r="J55" s="86">
        <v>499867.68</v>
      </c>
      <c r="K55" s="155">
        <v>499867.68</v>
      </c>
      <c r="L55" s="159"/>
    </row>
    <row r="56" spans="1:12" x14ac:dyDescent="0.35">
      <c r="A56" s="152"/>
      <c r="B56" s="152"/>
      <c r="C56" s="153" t="s">
        <v>110</v>
      </c>
      <c r="D56" s="152"/>
      <c r="E56" s="152"/>
      <c r="F56" s="152" t="s">
        <v>111</v>
      </c>
      <c r="G56" s="86"/>
      <c r="H56" s="158"/>
      <c r="I56" s="86"/>
      <c r="J56" s="86"/>
      <c r="K56" s="155">
        <v>0</v>
      </c>
      <c r="L56" s="159"/>
    </row>
    <row r="57" spans="1:12" x14ac:dyDescent="0.35">
      <c r="A57" s="152"/>
      <c r="B57" s="152"/>
      <c r="C57" s="153" t="s">
        <v>112</v>
      </c>
      <c r="D57" s="152"/>
      <c r="E57" s="152"/>
      <c r="F57" s="152" t="s">
        <v>113</v>
      </c>
      <c r="G57" s="86">
        <v>169134.71999999997</v>
      </c>
      <c r="H57" s="158" t="s">
        <v>24</v>
      </c>
      <c r="I57" s="86"/>
      <c r="J57" s="86">
        <v>169134.71999999997</v>
      </c>
      <c r="K57" s="155">
        <v>169134.71999999997</v>
      </c>
      <c r="L57" s="159"/>
    </row>
    <row r="58" spans="1:12" x14ac:dyDescent="0.35">
      <c r="A58" s="152"/>
      <c r="B58" s="152"/>
      <c r="C58" s="153" t="s">
        <v>114</v>
      </c>
      <c r="D58" s="152"/>
      <c r="E58" s="152"/>
      <c r="F58" s="152" t="s">
        <v>115</v>
      </c>
      <c r="G58" s="86"/>
      <c r="H58" s="158"/>
      <c r="I58" s="86"/>
      <c r="J58" s="86"/>
      <c r="K58" s="155">
        <v>0</v>
      </c>
      <c r="L58" s="159"/>
    </row>
    <row r="59" spans="1:12" x14ac:dyDescent="0.35">
      <c r="A59" s="152"/>
      <c r="B59" s="152"/>
      <c r="C59" s="153" t="s">
        <v>116</v>
      </c>
      <c r="D59" s="152"/>
      <c r="E59" s="152"/>
      <c r="F59" s="152" t="s">
        <v>117</v>
      </c>
      <c r="G59" s="86"/>
      <c r="H59" s="158"/>
      <c r="I59" s="86"/>
      <c r="J59" s="86"/>
      <c r="K59" s="155">
        <v>0</v>
      </c>
      <c r="L59" s="159"/>
    </row>
    <row r="60" spans="1:12" x14ac:dyDescent="0.35">
      <c r="A60" s="152"/>
      <c r="B60" s="152"/>
      <c r="C60" s="153" t="s">
        <v>118</v>
      </c>
      <c r="D60" s="152"/>
      <c r="E60" s="152"/>
      <c r="F60" s="152" t="s">
        <v>119</v>
      </c>
      <c r="G60" s="86"/>
      <c r="H60" s="158"/>
      <c r="I60" s="86"/>
      <c r="J60" s="86"/>
      <c r="K60" s="155">
        <v>0</v>
      </c>
      <c r="L60" s="159"/>
    </row>
    <row r="61" spans="1:12" x14ac:dyDescent="0.35">
      <c r="A61" s="152"/>
      <c r="B61" s="152"/>
      <c r="C61" s="153" t="s">
        <v>120</v>
      </c>
      <c r="D61" s="152"/>
      <c r="E61" s="152"/>
      <c r="F61" s="152" t="s">
        <v>121</v>
      </c>
      <c r="G61" s="86">
        <v>111519.55</v>
      </c>
      <c r="H61" s="158" t="s">
        <v>15</v>
      </c>
      <c r="I61" s="86">
        <v>111519.55</v>
      </c>
      <c r="J61" s="86"/>
      <c r="K61" s="155">
        <v>111519.55</v>
      </c>
      <c r="L61" s="159"/>
    </row>
    <row r="62" spans="1:12" x14ac:dyDescent="0.35">
      <c r="A62" s="152"/>
      <c r="B62" s="152"/>
      <c r="C62" s="153" t="s">
        <v>122</v>
      </c>
      <c r="D62" s="152"/>
      <c r="E62" s="152"/>
      <c r="F62" s="152" t="s">
        <v>123</v>
      </c>
      <c r="G62" s="86"/>
      <c r="H62" s="158"/>
      <c r="I62" s="86"/>
      <c r="J62" s="86"/>
      <c r="K62" s="155">
        <v>0</v>
      </c>
      <c r="L62" s="159"/>
    </row>
    <row r="63" spans="1:12" x14ac:dyDescent="0.35">
      <c r="A63" s="152"/>
      <c r="B63" s="152"/>
      <c r="C63" s="153" t="s">
        <v>124</v>
      </c>
      <c r="D63" s="152"/>
      <c r="E63" s="152"/>
      <c r="F63" s="152" t="s">
        <v>125</v>
      </c>
      <c r="G63" s="86"/>
      <c r="H63" s="158"/>
      <c r="I63" s="86"/>
      <c r="J63" s="86"/>
      <c r="K63" s="155">
        <v>0</v>
      </c>
      <c r="L63" s="159"/>
    </row>
    <row r="64" spans="1:12" hidden="1" x14ac:dyDescent="0.35">
      <c r="A64" s="152"/>
      <c r="B64" s="152" t="s">
        <v>126</v>
      </c>
      <c r="C64" s="153"/>
      <c r="D64" s="152"/>
      <c r="E64" s="152" t="s">
        <v>127</v>
      </c>
      <c r="F64" s="152"/>
      <c r="G64" s="155"/>
      <c r="H64" s="152"/>
      <c r="I64" s="155"/>
      <c r="J64" s="155"/>
      <c r="K64" s="155"/>
      <c r="L64" s="157"/>
    </row>
    <row r="65" spans="1:12" hidden="1" x14ac:dyDescent="0.35">
      <c r="A65" s="152"/>
      <c r="B65" s="152" t="s">
        <v>128</v>
      </c>
      <c r="C65" s="153"/>
      <c r="D65" s="152"/>
      <c r="E65" s="152" t="s">
        <v>127</v>
      </c>
      <c r="F65" s="152"/>
      <c r="G65" s="155"/>
      <c r="H65" s="152"/>
      <c r="I65" s="155"/>
      <c r="J65" s="155"/>
      <c r="K65" s="155"/>
      <c r="L65" s="157"/>
    </row>
    <row r="66" spans="1:12" x14ac:dyDescent="0.35">
      <c r="A66" s="152"/>
      <c r="B66" s="152" t="s">
        <v>129</v>
      </c>
      <c r="C66" s="153"/>
      <c r="D66" s="152"/>
      <c r="E66" s="152" t="s">
        <v>130</v>
      </c>
      <c r="F66" s="152"/>
      <c r="G66" s="155">
        <v>0</v>
      </c>
      <c r="H66" s="152"/>
      <c r="I66" s="155">
        <v>0</v>
      </c>
      <c r="J66" s="155">
        <v>0</v>
      </c>
      <c r="K66" s="155"/>
      <c r="L66" s="157"/>
    </row>
    <row r="67" spans="1:12" x14ac:dyDescent="0.35">
      <c r="A67" s="152"/>
      <c r="B67" s="152"/>
      <c r="C67" s="153" t="s">
        <v>131</v>
      </c>
      <c r="D67" s="152"/>
      <c r="E67" s="152"/>
      <c r="F67" s="152" t="s">
        <v>132</v>
      </c>
      <c r="G67" s="86"/>
      <c r="H67" s="158"/>
      <c r="I67" s="86"/>
      <c r="J67" s="86">
        <v>0</v>
      </c>
      <c r="K67" s="155">
        <v>0</v>
      </c>
      <c r="L67" s="159"/>
    </row>
    <row r="68" spans="1:12" x14ac:dyDescent="0.35">
      <c r="A68" s="152"/>
      <c r="B68" s="152"/>
      <c r="C68" s="153" t="s">
        <v>133</v>
      </c>
      <c r="D68" s="152"/>
      <c r="E68" s="152"/>
      <c r="F68" s="152" t="s">
        <v>134</v>
      </c>
      <c r="G68" s="86"/>
      <c r="H68" s="158"/>
      <c r="I68" s="86"/>
      <c r="J68" s="86"/>
      <c r="K68" s="155">
        <v>0</v>
      </c>
      <c r="L68" s="159"/>
    </row>
    <row r="69" spans="1:12" x14ac:dyDescent="0.35">
      <c r="A69" s="152"/>
      <c r="B69" s="152"/>
      <c r="C69" s="153" t="s">
        <v>135</v>
      </c>
      <c r="D69" s="152"/>
      <c r="E69" s="152"/>
      <c r="F69" s="152" t="s">
        <v>136</v>
      </c>
      <c r="G69" s="86"/>
      <c r="H69" s="158"/>
      <c r="I69" s="86"/>
      <c r="J69" s="86"/>
      <c r="K69" s="155">
        <v>0</v>
      </c>
      <c r="L69" s="159"/>
    </row>
    <row r="70" spans="1:12" x14ac:dyDescent="0.35">
      <c r="A70" s="152"/>
      <c r="B70" s="152" t="s">
        <v>137</v>
      </c>
      <c r="C70" s="153"/>
      <c r="D70" s="152"/>
      <c r="E70" s="152" t="s">
        <v>138</v>
      </c>
      <c r="F70" s="152"/>
      <c r="G70" s="155">
        <v>94917.36</v>
      </c>
      <c r="H70" s="152"/>
      <c r="I70" s="155">
        <v>0</v>
      </c>
      <c r="J70" s="155">
        <v>94917.34</v>
      </c>
      <c r="K70" s="155"/>
      <c r="L70" s="157"/>
    </row>
    <row r="71" spans="1:12" x14ac:dyDescent="0.35">
      <c r="A71" s="152"/>
      <c r="B71" s="152"/>
      <c r="C71" s="153" t="s">
        <v>139</v>
      </c>
      <c r="D71" s="152"/>
      <c r="E71" s="152"/>
      <c r="F71" s="152" t="s">
        <v>140</v>
      </c>
      <c r="G71" s="86"/>
      <c r="H71" s="158"/>
      <c r="I71" s="86"/>
      <c r="J71" s="86"/>
      <c r="K71" s="155">
        <v>0</v>
      </c>
      <c r="L71" s="159"/>
    </row>
    <row r="72" spans="1:12" x14ac:dyDescent="0.35">
      <c r="A72" s="152"/>
      <c r="B72" s="152"/>
      <c r="C72" s="153" t="s">
        <v>141</v>
      </c>
      <c r="D72" s="152"/>
      <c r="E72" s="152"/>
      <c r="F72" s="152" t="s">
        <v>142</v>
      </c>
      <c r="G72" s="86"/>
      <c r="H72" s="158"/>
      <c r="I72" s="86"/>
      <c r="J72" s="86"/>
      <c r="K72" s="155">
        <v>0</v>
      </c>
      <c r="L72" s="159"/>
    </row>
    <row r="73" spans="1:12" x14ac:dyDescent="0.35">
      <c r="A73" s="152"/>
      <c r="B73" s="152"/>
      <c r="C73" s="153" t="s">
        <v>143</v>
      </c>
      <c r="D73" s="152"/>
      <c r="E73" s="152"/>
      <c r="F73" s="152" t="s">
        <v>144</v>
      </c>
      <c r="G73" s="86">
        <v>94917.36</v>
      </c>
      <c r="H73" s="158" t="s">
        <v>24</v>
      </c>
      <c r="I73" s="86"/>
      <c r="J73" s="86">
        <v>94917.34</v>
      </c>
      <c r="K73" s="155">
        <v>94917.36</v>
      </c>
      <c r="L73" s="159"/>
    </row>
    <row r="74" spans="1:12" hidden="1" x14ac:dyDescent="0.35">
      <c r="A74" s="152"/>
      <c r="B74" s="152" t="s">
        <v>145</v>
      </c>
      <c r="C74" s="153"/>
      <c r="D74" s="152"/>
      <c r="E74" s="152" t="s">
        <v>127</v>
      </c>
      <c r="F74" s="152"/>
      <c r="G74" s="155"/>
      <c r="H74" s="152"/>
      <c r="I74" s="155"/>
      <c r="J74" s="155"/>
      <c r="K74" s="155"/>
      <c r="L74" s="157"/>
    </row>
    <row r="75" spans="1:12" hidden="1" x14ac:dyDescent="0.35">
      <c r="A75" s="152"/>
      <c r="B75" s="152" t="s">
        <v>146</v>
      </c>
      <c r="C75" s="153"/>
      <c r="D75" s="152"/>
      <c r="E75" s="152" t="s">
        <v>127</v>
      </c>
      <c r="F75" s="152"/>
      <c r="G75" s="155"/>
      <c r="H75" s="152"/>
      <c r="I75" s="155"/>
      <c r="J75" s="155"/>
      <c r="K75" s="155"/>
      <c r="L75" s="157"/>
    </row>
    <row r="76" spans="1:12" s="7" customFormat="1" x14ac:dyDescent="0.35">
      <c r="A76" s="129" t="s">
        <v>147</v>
      </c>
      <c r="B76" s="129"/>
      <c r="C76" s="122"/>
      <c r="D76" s="129"/>
      <c r="E76" s="129"/>
      <c r="F76" s="129"/>
      <c r="G76" s="138">
        <v>11070213.419999998</v>
      </c>
      <c r="H76" s="88"/>
      <c r="I76" s="138">
        <v>6771728.4199999999</v>
      </c>
      <c r="J76" s="138">
        <v>4298484.9799999995</v>
      </c>
      <c r="K76" s="155">
        <v>11070213.419999998</v>
      </c>
      <c r="L76" s="131"/>
    </row>
    <row r="77" spans="1:12" x14ac:dyDescent="0.35">
      <c r="A77" s="150"/>
      <c r="B77" s="150"/>
      <c r="C77" s="150"/>
      <c r="D77" s="150"/>
      <c r="E77" s="150"/>
      <c r="F77" s="162" t="s">
        <v>200</v>
      </c>
      <c r="G77" s="140">
        <v>11070213.420000002</v>
      </c>
      <c r="H77" s="156"/>
      <c r="I77" s="163">
        <v>0.61170712461295995</v>
      </c>
      <c r="J77" s="163">
        <v>0.38829287358039033</v>
      </c>
      <c r="K77" s="164"/>
      <c r="L77" s="150"/>
    </row>
    <row r="79" spans="1:12" x14ac:dyDescent="0.35">
      <c r="A79" s="150"/>
      <c r="B79" s="150"/>
      <c r="C79" s="150"/>
      <c r="D79" s="150"/>
      <c r="E79" s="150"/>
      <c r="F79" s="150" t="s">
        <v>201</v>
      </c>
      <c r="G79" s="150"/>
      <c r="H79" s="150"/>
      <c r="I79" s="150"/>
      <c r="J79" s="150"/>
      <c r="K79" s="150"/>
      <c r="L79" s="150"/>
    </row>
    <row r="80" spans="1:12" hidden="1" x14ac:dyDescent="0.35">
      <c r="A80" s="150"/>
      <c r="B80" s="150"/>
      <c r="C80" s="150"/>
      <c r="D80" s="150"/>
      <c r="E80" s="150"/>
      <c r="F80" s="150"/>
      <c r="G80" s="150"/>
      <c r="H80" s="150" t="s">
        <v>15</v>
      </c>
      <c r="I80" s="150"/>
      <c r="J80" s="150"/>
      <c r="K80" s="150"/>
      <c r="L80" s="150"/>
    </row>
    <row r="81" spans="3:11" x14ac:dyDescent="0.35">
      <c r="C81" s="150"/>
      <c r="D81" s="150"/>
      <c r="E81" s="150"/>
      <c r="F81" s="150"/>
      <c r="G81" s="150"/>
      <c r="H81" s="150" t="s">
        <v>24</v>
      </c>
      <c r="I81" s="150"/>
      <c r="J81" s="150"/>
      <c r="K81" s="150"/>
    </row>
    <row r="82" spans="3:11" x14ac:dyDescent="0.35">
      <c r="C82" s="150"/>
      <c r="D82" s="150"/>
      <c r="E82" s="150"/>
      <c r="F82" s="150"/>
      <c r="G82" s="150"/>
      <c r="H82" s="150" t="s">
        <v>59</v>
      </c>
      <c r="I82" s="150"/>
      <c r="J82" s="150"/>
      <c r="K82" s="150"/>
    </row>
    <row r="83" spans="3:11" x14ac:dyDescent="0.35">
      <c r="C83" s="150"/>
      <c r="D83" s="150"/>
      <c r="E83" s="150"/>
      <c r="F83" s="150"/>
      <c r="G83" s="150"/>
      <c r="H83" s="162" t="s">
        <v>202</v>
      </c>
      <c r="I83" s="155">
        <v>82501204.701716363</v>
      </c>
      <c r="J83" s="161">
        <v>8.2080358032143017E-2</v>
      </c>
      <c r="K83" s="150" t="s">
        <v>203</v>
      </c>
    </row>
    <row r="97" spans="3:3" x14ac:dyDescent="0.35">
      <c r="C97" s="144"/>
    </row>
    <row r="98" spans="3:3" x14ac:dyDescent="0.35">
      <c r="C98" s="144"/>
    </row>
    <row r="99" spans="3:3" x14ac:dyDescent="0.35">
      <c r="C99" s="144"/>
    </row>
    <row r="100" spans="3:3" x14ac:dyDescent="0.35">
      <c r="C100" s="144"/>
    </row>
    <row r="101" spans="3:3" x14ac:dyDescent="0.35">
      <c r="C101" s="144"/>
    </row>
    <row r="102" spans="3:3" x14ac:dyDescent="0.35">
      <c r="C102" s="144"/>
    </row>
    <row r="103" spans="3:3" x14ac:dyDescent="0.35">
      <c r="C103" s="144"/>
    </row>
    <row r="104" spans="3:3" x14ac:dyDescent="0.35">
      <c r="C104" s="144"/>
    </row>
    <row r="105" spans="3:3" x14ac:dyDescent="0.35">
      <c r="C105" s="144"/>
    </row>
    <row r="106" spans="3:3" x14ac:dyDescent="0.35">
      <c r="C106" s="144"/>
    </row>
    <row r="107" spans="3:3" x14ac:dyDescent="0.35">
      <c r="C107" s="144"/>
    </row>
    <row r="108" spans="3:3" x14ac:dyDescent="0.35">
      <c r="C108" s="144"/>
    </row>
    <row r="109" spans="3:3" x14ac:dyDescent="0.35">
      <c r="C109" s="144"/>
    </row>
    <row r="110" spans="3:3" x14ac:dyDescent="0.35">
      <c r="C110" s="144"/>
    </row>
    <row r="112" spans="3:3" ht="15" hidden="1" customHeight="1" x14ac:dyDescent="0.35">
      <c r="C112" s="144"/>
    </row>
    <row r="113" s="144" customFormat="1" ht="15" hidden="1" customHeight="1" x14ac:dyDescent="0.35"/>
    <row r="114" s="144" customFormat="1" ht="15" hidden="1" customHeight="1" x14ac:dyDescent="0.35"/>
    <row r="115" s="144" customFormat="1" ht="15" hidden="1" customHeight="1" x14ac:dyDescent="0.35"/>
    <row r="116" s="144" customFormat="1" ht="15" hidden="1" customHeight="1" x14ac:dyDescent="0.35"/>
    <row r="117" s="144" customFormat="1" ht="15" hidden="1" customHeight="1" x14ac:dyDescent="0.35"/>
    <row r="118" s="144" customFormat="1" ht="15" hidden="1" customHeight="1" x14ac:dyDescent="0.35"/>
    <row r="119" s="144" customFormat="1" ht="15" hidden="1" customHeight="1" x14ac:dyDescent="0.35"/>
    <row r="120" s="144" customFormat="1" ht="15" hidden="1" customHeight="1" x14ac:dyDescent="0.35"/>
    <row r="121" s="144" customFormat="1" ht="15" hidden="1" customHeight="1" x14ac:dyDescent="0.35"/>
    <row r="122" s="144" customFormat="1" ht="15" hidden="1" customHeight="1" x14ac:dyDescent="0.35"/>
    <row r="123" s="144" customFormat="1" ht="15" hidden="1" customHeight="1" x14ac:dyDescent="0.35"/>
    <row r="124" s="144" customFormat="1" ht="15" hidden="1" customHeight="1" x14ac:dyDescent="0.35"/>
    <row r="125" s="144" customFormat="1" ht="15" hidden="1" customHeight="1" x14ac:dyDescent="0.35"/>
    <row r="126" s="144" customFormat="1" ht="15" hidden="1" customHeight="1" x14ac:dyDescent="0.35"/>
    <row r="127" s="144" customFormat="1" ht="15" hidden="1" customHeight="1" x14ac:dyDescent="0.35"/>
    <row r="128" s="144" customFormat="1" ht="15" hidden="1" customHeight="1" x14ac:dyDescent="0.35"/>
    <row r="129" s="144" customFormat="1" ht="15" hidden="1" customHeight="1" x14ac:dyDescent="0.35"/>
    <row r="130" s="144" customFormat="1" ht="15" hidden="1" customHeight="1" x14ac:dyDescent="0.35"/>
    <row r="131" s="144" customFormat="1" ht="15" hidden="1" customHeight="1" x14ac:dyDescent="0.35"/>
    <row r="132" s="144" customFormat="1" ht="15" hidden="1" customHeight="1" x14ac:dyDescent="0.35"/>
    <row r="133" s="144" customFormat="1" ht="15" hidden="1" customHeight="1" x14ac:dyDescent="0.35"/>
    <row r="134" s="144" customFormat="1" ht="15" hidden="1" customHeight="1" x14ac:dyDescent="0.35"/>
    <row r="135" s="144" customFormat="1" ht="15" hidden="1" customHeight="1" x14ac:dyDescent="0.35"/>
    <row r="136" s="144" customFormat="1" ht="15" hidden="1" customHeight="1" x14ac:dyDescent="0.35"/>
    <row r="137" s="144" customFormat="1" ht="15" hidden="1" customHeight="1" x14ac:dyDescent="0.35"/>
    <row r="138" s="144" customFormat="1" ht="15" hidden="1" customHeight="1" x14ac:dyDescent="0.35"/>
    <row r="139" s="144" customFormat="1" ht="15" hidden="1" customHeight="1" x14ac:dyDescent="0.35"/>
    <row r="140" s="144" customFormat="1" ht="15" hidden="1" customHeight="1" x14ac:dyDescent="0.35"/>
  </sheetData>
  <conditionalFormatting sqref="G76">
    <cfRule type="cellIs" dxfId="291" priority="11" operator="notEqual">
      <formula>$G$77</formula>
    </cfRule>
    <cfRule type="cellIs" dxfId="290" priority="12" operator="equal">
      <formula>$G$77</formula>
    </cfRule>
  </conditionalFormatting>
  <conditionalFormatting sqref="K9:K24">
    <cfRule type="cellIs" dxfId="289" priority="101" operator="notEqual">
      <formula>G9</formula>
    </cfRule>
    <cfRule type="cellIs" dxfId="288" priority="102" operator="equal">
      <formula>G9</formula>
    </cfRule>
  </conditionalFormatting>
  <conditionalFormatting sqref="K26:K41">
    <cfRule type="cellIs" dxfId="287" priority="69" operator="notEqual">
      <formula>G26</formula>
    </cfRule>
    <cfRule type="cellIs" dxfId="286" priority="70" operator="equal">
      <formula>G26</formula>
    </cfRule>
  </conditionalFormatting>
  <conditionalFormatting sqref="K43:K63">
    <cfRule type="cellIs" dxfId="285" priority="27" operator="notEqual">
      <formula>G43</formula>
    </cfRule>
    <cfRule type="cellIs" dxfId="284" priority="28" operator="equal">
      <formula>G43</formula>
    </cfRule>
  </conditionalFormatting>
  <conditionalFormatting sqref="K67:K69">
    <cfRule type="cellIs" dxfId="283" priority="21" operator="notEqual">
      <formula>G67</formula>
    </cfRule>
    <cfRule type="cellIs" dxfId="282" priority="22" operator="equal">
      <formula>G67</formula>
    </cfRule>
  </conditionalFormatting>
  <conditionalFormatting sqref="K71:K73">
    <cfRule type="cellIs" dxfId="281" priority="15" operator="notEqual">
      <formula>G71</formula>
    </cfRule>
    <cfRule type="cellIs" dxfId="280" priority="16" operator="equal">
      <formula>G71</formula>
    </cfRule>
  </conditionalFormatting>
  <conditionalFormatting sqref="K76">
    <cfRule type="cellIs" dxfId="279" priority="13" operator="notEqual">
      <formula>G76</formula>
    </cfRule>
    <cfRule type="cellIs" dxfId="278" priority="14" operator="equal">
      <formula>G76</formula>
    </cfRule>
  </conditionalFormatting>
  <dataValidations count="1">
    <dataValidation type="list" allowBlank="1" showInputMessage="1" showErrorMessage="1" sqref="H9:H75" xr:uid="{00000000-0002-0000-1100-000000000000}">
      <formula1>$H$80:$H$82</formula1>
    </dataValidation>
  </dataValidations>
  <pageMargins left="0.7" right="0.7" top="0.75" bottom="0.75" header="0.3" footer="0.3"/>
  <pageSetup scale="39" orientation="landscape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9" operator="notEqual" id="{3E702678-CDA1-4B66-8B8D-49D904E3009A}">
            <xm:f>'D:\Finance\Work\Reports &amp; Surveys\Cost Analysis\Cost Analysis - 2012-2013\Received from Colleges\Indian River\Original\[11 Indian River 2012-13 CA2 9-9-13 Final.xlsx]CA2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10" operator="equal" id="{E43049EF-0F06-49AE-8BD0-03832ED67B05}">
            <xm:f>'D:\Finance\Work\Reports &amp; Surveys\Cost Analysis\Cost Analysis - 2012-2013\Received from Colleges\Indian River\Original\[11 Indian River 2012-13 CA2 9-9-13 Final.xlsx]CA2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G8</xm:sqref>
        </x14:conditionalFormatting>
        <x14:conditionalFormatting xmlns:xm="http://schemas.microsoft.com/office/excel/2006/main">
          <x14:cfRule type="cellIs" priority="7" operator="notEqual" id="{69EFAE61-2D9D-4246-BE35-DFDB5757D942}">
            <xm:f>'D:\Finance\Work\Reports &amp; Surveys\Cost Analysis\Cost Analysis - 2012-2013\Received from Colleges\Indian River\Original\[11 Indian River 2012-13 CA2 9-9-13 Final.xlsx]CA2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8" operator="equal" id="{80E37F01-9C0C-4F24-8B6D-07D88AB3ACFE}">
            <xm:f>'D:\Finance\Work\Reports &amp; Surveys\Cost Analysis\Cost Analysis - 2012-2013\Received from Colleges\Indian River\Original\[11 Indian River 2012-13 CA2 9-9-13 Final.xlsx]CA2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G25</xm:sqref>
        </x14:conditionalFormatting>
        <x14:conditionalFormatting xmlns:xm="http://schemas.microsoft.com/office/excel/2006/main">
          <x14:cfRule type="cellIs" priority="5" operator="notEqual" id="{8BFA5ACE-AE8C-468C-B497-D594281F78E5}">
            <xm:f>'D:\Finance\Work\Reports &amp; Surveys\Cost Analysis\Cost Analysis - 2012-2013\Received from Colleges\Indian River\Original\[11 Indian River 2012-13 CA2 9-9-13 Final.xlsx]CA2 Detail'!#REF!+'D:\Finance\Work\Reports &amp; Surveys\Cost Analysis\Cost Analysis - 2012-2013\Received from Colleges\Indian River\Original\[11 Indian River 2012-13 CA2 9-9-13 Final.xlsx]CA2 Detail'!#REF!+'D:\Finance\Work\Reports &amp; Surveys\Cost Analysis\Cost Analysis - 2012-2013\Received from Colleges\Indian River\Original\[11 Indian River 2012-13 CA2 9-9-13 Final.xlsx]CA2 Detail'!#REF!+'D:\Finance\Work\Reports &amp; Surveys\Cost Analysis\Cost Analysis - 2012-2013\Received from Colleges\Indian River\Original\[11 Indian River 2012-13 CA2 9-9-13 Final.xlsx]CA2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6" operator="equal" id="{D6A5006B-7E74-41DE-8C90-779A7754E57E}">
            <xm:f>'D:\Finance\Work\Reports &amp; Surveys\Cost Analysis\Cost Analysis - 2012-2013\Received from Colleges\Indian River\Original\[11 Indian River 2012-13 CA2 9-9-13 Final.xlsx]CA2 Detail'!#REF!+'D:\Finance\Work\Reports &amp; Surveys\Cost Analysis\Cost Analysis - 2012-2013\Received from Colleges\Indian River\Original\[11 Indian River 2012-13 CA2 9-9-13 Final.xlsx]CA2 Detail'!#REF!+'D:\Finance\Work\Reports &amp; Surveys\Cost Analysis\Cost Analysis - 2012-2013\Received from Colleges\Indian River\Original\[11 Indian River 2012-13 CA2 9-9-13 Final.xlsx]CA2 Detail'!#REF!+'D:\Finance\Work\Reports &amp; Surveys\Cost Analysis\Cost Analysis - 2012-2013\Received from Colleges\Indian River\Original\[11 Indian River 2012-13 CA2 9-9-13 Final.xlsx]CA2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G42</xm:sqref>
        </x14:conditionalFormatting>
        <x14:conditionalFormatting xmlns:xm="http://schemas.microsoft.com/office/excel/2006/main">
          <x14:cfRule type="cellIs" priority="3" operator="notEqual" id="{F335E8FE-77F8-4F6A-9596-1D3C07822063}">
            <xm:f>'D:\Finance\Work\Reports &amp; Surveys\Cost Analysis\Cost Analysis - 2012-2013\Received from Colleges\Indian River\Original\[11 Indian River 2012-13 CA2 9-9-13 Final.xlsx]CA2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4" operator="equal" id="{BB521A4F-7516-4851-9FEA-E551EF178AA8}">
            <xm:f>'D:\Finance\Work\Reports &amp; Surveys\Cost Analysis\Cost Analysis - 2012-2013\Received from Colleges\Indian River\Original\[11 Indian River 2012-13 CA2 9-9-13 Final.xlsx]CA2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G66</xm:sqref>
        </x14:conditionalFormatting>
        <x14:conditionalFormatting xmlns:xm="http://schemas.microsoft.com/office/excel/2006/main">
          <x14:cfRule type="cellIs" priority="1" operator="notEqual" id="{CAFE6636-EF71-452D-B852-F8C24C7A7DD8}">
            <xm:f>'D:\Finance\Work\Reports &amp; Surveys\Cost Analysis\Cost Analysis - 2012-2013\Received from Colleges\Indian River\Original\[11 Indian River 2012-13 CA2 9-9-13 Final.xlsx]CA2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2" operator="equal" id="{E878DC64-6043-4D55-917E-1C5A14BB2737}">
            <xm:f>'D:\Finance\Work\Reports &amp; Surveys\Cost Analysis\Cost Analysis - 2012-2013\Received from Colleges\Indian River\Original\[11 Indian River 2012-13 CA2 9-9-13 Final.xlsx]CA2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G70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00B0F0"/>
    <pageSetUpPr fitToPage="1"/>
  </sheetPr>
  <dimension ref="A1:L140"/>
  <sheetViews>
    <sheetView workbookViewId="0"/>
  </sheetViews>
  <sheetFormatPr defaultRowHeight="14.5" x14ac:dyDescent="0.35"/>
  <cols>
    <col min="1" max="2" width="2.81640625" customWidth="1"/>
    <col min="3" max="3" width="10.453125" style="26" bestFit="1" customWidth="1"/>
    <col min="4" max="5" width="2.81640625" customWidth="1"/>
    <col min="6" max="6" width="80.7265625" bestFit="1" customWidth="1"/>
    <col min="7" max="7" width="27.81640625" customWidth="1"/>
    <col min="8" max="8" width="15.26953125" bestFit="1" customWidth="1"/>
    <col min="9" max="9" width="27.26953125" customWidth="1"/>
    <col min="10" max="10" width="26.81640625" customWidth="1"/>
    <col min="11" max="11" width="25.81640625" customWidth="1"/>
    <col min="12" max="12" width="82.54296875" customWidth="1"/>
  </cols>
  <sheetData>
    <row r="1" spans="1:12" x14ac:dyDescent="0.35">
      <c r="A1" s="134"/>
      <c r="B1" s="7"/>
      <c r="C1" s="7"/>
      <c r="D1" s="7"/>
      <c r="E1" s="7"/>
      <c r="F1" s="7"/>
      <c r="G1" s="7"/>
      <c r="H1" s="7"/>
      <c r="I1" s="7" t="s">
        <v>0</v>
      </c>
      <c r="J1" s="7"/>
      <c r="K1" s="7"/>
      <c r="L1" s="7"/>
    </row>
    <row r="2" spans="1:12" x14ac:dyDescent="0.35">
      <c r="A2" s="135"/>
      <c r="B2" s="7"/>
      <c r="C2" s="7"/>
      <c r="D2" s="7"/>
      <c r="E2" s="7"/>
      <c r="F2" s="7"/>
      <c r="G2" s="7"/>
      <c r="H2" s="7"/>
      <c r="I2" s="7" t="s">
        <v>197</v>
      </c>
      <c r="J2" s="7"/>
      <c r="K2" s="7"/>
      <c r="L2" s="7"/>
    </row>
    <row r="3" spans="1:12" x14ac:dyDescent="0.35">
      <c r="A3" s="136" t="s">
        <v>198</v>
      </c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</row>
    <row r="4" spans="1:12" ht="19.5" customHeight="1" x14ac:dyDescent="0.35">
      <c r="A4" s="137" t="s">
        <v>157</v>
      </c>
      <c r="C4"/>
    </row>
    <row r="5" spans="1:12" x14ac:dyDescent="0.35">
      <c r="C5"/>
    </row>
    <row r="6" spans="1:12" s="7" customFormat="1" x14ac:dyDescent="0.35">
      <c r="A6" s="3" t="s">
        <v>2</v>
      </c>
      <c r="B6" s="4"/>
      <c r="C6" s="4"/>
      <c r="D6" s="3" t="s">
        <v>3</v>
      </c>
      <c r="E6" s="4"/>
      <c r="F6" s="4"/>
      <c r="G6" s="5" t="s">
        <v>274</v>
      </c>
      <c r="H6" s="6" t="s">
        <v>4</v>
      </c>
      <c r="I6" s="6" t="s">
        <v>5</v>
      </c>
      <c r="J6" s="6" t="s">
        <v>6</v>
      </c>
      <c r="K6" s="6" t="s">
        <v>7</v>
      </c>
      <c r="L6" s="6" t="s">
        <v>199</v>
      </c>
    </row>
    <row r="7" spans="1:12" x14ac:dyDescent="0.35">
      <c r="A7" s="8" t="s">
        <v>9</v>
      </c>
      <c r="B7" s="9"/>
      <c r="C7" s="10"/>
      <c r="D7" s="11" t="s">
        <v>10</v>
      </c>
      <c r="E7" s="10"/>
      <c r="F7" s="10"/>
      <c r="G7" s="69"/>
      <c r="H7" s="9"/>
      <c r="I7" s="69"/>
      <c r="J7" s="69"/>
      <c r="K7" s="69"/>
      <c r="L7" s="11"/>
    </row>
    <row r="8" spans="1:12" x14ac:dyDescent="0.35">
      <c r="A8" s="8"/>
      <c r="B8" s="9" t="s">
        <v>11</v>
      </c>
      <c r="C8" s="10"/>
      <c r="D8" s="13"/>
      <c r="E8" s="9" t="s">
        <v>12</v>
      </c>
      <c r="F8" s="10"/>
      <c r="G8" s="69">
        <v>1631516.0600000003</v>
      </c>
      <c r="H8" s="9"/>
      <c r="I8" s="69">
        <v>1305290.6900000002</v>
      </c>
      <c r="J8" s="69">
        <v>326225.37</v>
      </c>
      <c r="K8" s="69"/>
      <c r="L8" s="14"/>
    </row>
    <row r="9" spans="1:12" x14ac:dyDescent="0.35">
      <c r="A9" s="8"/>
      <c r="B9" s="9"/>
      <c r="C9" s="10" t="s">
        <v>13</v>
      </c>
      <c r="D9" s="13"/>
      <c r="E9" s="10"/>
      <c r="F9" s="9" t="s">
        <v>14</v>
      </c>
      <c r="G9" s="70"/>
      <c r="H9" s="16"/>
      <c r="I9" s="70"/>
      <c r="J9" s="70"/>
      <c r="K9" s="69">
        <v>0</v>
      </c>
      <c r="L9" s="17"/>
    </row>
    <row r="10" spans="1:12" x14ac:dyDescent="0.35">
      <c r="A10" s="8"/>
      <c r="B10" s="9"/>
      <c r="C10" s="10" t="s">
        <v>16</v>
      </c>
      <c r="D10" s="13"/>
      <c r="E10" s="10"/>
      <c r="F10" s="9" t="s">
        <v>17</v>
      </c>
      <c r="G10" s="70">
        <v>2637.21</v>
      </c>
      <c r="H10" s="16" t="s">
        <v>15</v>
      </c>
      <c r="I10" s="70">
        <v>2637.21</v>
      </c>
      <c r="J10" s="70"/>
      <c r="K10" s="69">
        <v>2637.21</v>
      </c>
      <c r="L10" s="17"/>
    </row>
    <row r="11" spans="1:12" x14ac:dyDescent="0.35">
      <c r="A11" s="8"/>
      <c r="B11" s="9"/>
      <c r="C11" s="10" t="s">
        <v>18</v>
      </c>
      <c r="D11" s="13"/>
      <c r="E11" s="10"/>
      <c r="F11" s="9" t="s">
        <v>19</v>
      </c>
      <c r="G11" s="70">
        <v>520670.9</v>
      </c>
      <c r="H11" s="16" t="s">
        <v>15</v>
      </c>
      <c r="I11" s="70">
        <v>520670.9</v>
      </c>
      <c r="J11" s="70">
        <v>0</v>
      </c>
      <c r="K11" s="69">
        <v>520670.9</v>
      </c>
      <c r="L11" s="17"/>
    </row>
    <row r="12" spans="1:12" x14ac:dyDescent="0.35">
      <c r="A12" s="8"/>
      <c r="B12" s="9"/>
      <c r="C12" s="10" t="s">
        <v>20</v>
      </c>
      <c r="D12" s="13"/>
      <c r="E12" s="10"/>
      <c r="F12" s="9" t="s">
        <v>21</v>
      </c>
      <c r="G12" s="70"/>
      <c r="H12" s="16"/>
      <c r="I12" s="70"/>
      <c r="J12" s="70"/>
      <c r="K12" s="69">
        <v>0</v>
      </c>
      <c r="L12" s="17"/>
    </row>
    <row r="13" spans="1:12" x14ac:dyDescent="0.35">
      <c r="A13" s="8"/>
      <c r="B13" s="9"/>
      <c r="C13" s="10" t="s">
        <v>22</v>
      </c>
      <c r="D13" s="13"/>
      <c r="E13" s="10"/>
      <c r="F13" s="9" t="s">
        <v>23</v>
      </c>
      <c r="G13" s="70">
        <v>784280.91</v>
      </c>
      <c r="H13" s="16" t="s">
        <v>59</v>
      </c>
      <c r="I13" s="70">
        <v>470568.55</v>
      </c>
      <c r="J13" s="70">
        <v>313712.36</v>
      </c>
      <c r="K13" s="69">
        <v>784280.90999999992</v>
      </c>
      <c r="L13" s="17"/>
    </row>
    <row r="14" spans="1:12" x14ac:dyDescent="0.35">
      <c r="A14" s="8"/>
      <c r="B14" s="9"/>
      <c r="C14" s="10" t="s">
        <v>25</v>
      </c>
      <c r="D14" s="13"/>
      <c r="E14" s="10"/>
      <c r="F14" s="9" t="s">
        <v>26</v>
      </c>
      <c r="G14" s="70"/>
      <c r="H14" s="16"/>
      <c r="I14" s="70"/>
      <c r="J14" s="70"/>
      <c r="K14" s="69">
        <v>0</v>
      </c>
      <c r="L14" s="17"/>
    </row>
    <row r="15" spans="1:12" x14ac:dyDescent="0.35">
      <c r="A15" s="8"/>
      <c r="B15" s="9"/>
      <c r="C15" s="10" t="s">
        <v>27</v>
      </c>
      <c r="D15" s="13"/>
      <c r="E15" s="10"/>
      <c r="F15" s="9" t="s">
        <v>28</v>
      </c>
      <c r="G15" s="70"/>
      <c r="H15" s="16"/>
      <c r="I15" s="70"/>
      <c r="J15" s="70"/>
      <c r="K15" s="69">
        <v>0</v>
      </c>
      <c r="L15" s="17"/>
    </row>
    <row r="16" spans="1:12" x14ac:dyDescent="0.35">
      <c r="A16" s="8"/>
      <c r="B16" s="9"/>
      <c r="C16" s="10" t="s">
        <v>29</v>
      </c>
      <c r="D16" s="13"/>
      <c r="E16" s="10"/>
      <c r="F16" s="9" t="s">
        <v>30</v>
      </c>
      <c r="G16" s="70"/>
      <c r="H16" s="16"/>
      <c r="I16" s="70"/>
      <c r="J16" s="70"/>
      <c r="K16" s="69">
        <v>0</v>
      </c>
      <c r="L16" s="17"/>
    </row>
    <row r="17" spans="1:12" x14ac:dyDescent="0.35">
      <c r="A17" s="8"/>
      <c r="B17" s="9"/>
      <c r="C17" s="10" t="s">
        <v>31</v>
      </c>
      <c r="D17" s="13"/>
      <c r="E17" s="10"/>
      <c r="F17" s="9" t="s">
        <v>32</v>
      </c>
      <c r="G17" s="70"/>
      <c r="H17" s="16"/>
      <c r="I17" s="70"/>
      <c r="J17" s="70"/>
      <c r="K17" s="69">
        <v>0</v>
      </c>
      <c r="L17" s="17"/>
    </row>
    <row r="18" spans="1:12" x14ac:dyDescent="0.35">
      <c r="A18" s="8"/>
      <c r="B18" s="9"/>
      <c r="C18" s="10" t="s">
        <v>33</v>
      </c>
      <c r="D18" s="13"/>
      <c r="E18" s="10"/>
      <c r="F18" s="9" t="s">
        <v>34</v>
      </c>
      <c r="G18" s="70">
        <v>250260.37</v>
      </c>
      <c r="H18" s="16" t="s">
        <v>59</v>
      </c>
      <c r="I18" s="70">
        <v>237747.36</v>
      </c>
      <c r="J18" s="70">
        <v>12513.01</v>
      </c>
      <c r="K18" s="69">
        <v>250260.37</v>
      </c>
      <c r="L18" s="17"/>
    </row>
    <row r="19" spans="1:12" x14ac:dyDescent="0.35">
      <c r="A19" s="8"/>
      <c r="B19" s="9"/>
      <c r="C19" s="10" t="s">
        <v>35</v>
      </c>
      <c r="D19" s="13"/>
      <c r="E19" s="10"/>
      <c r="F19" s="9" t="s">
        <v>36</v>
      </c>
      <c r="G19" s="71"/>
      <c r="H19" s="16"/>
      <c r="I19" s="71"/>
      <c r="J19" s="71"/>
      <c r="K19" s="69">
        <v>0</v>
      </c>
      <c r="L19" s="17"/>
    </row>
    <row r="20" spans="1:12" x14ac:dyDescent="0.35">
      <c r="A20" s="8"/>
      <c r="B20" s="9"/>
      <c r="C20" s="10" t="s">
        <v>37</v>
      </c>
      <c r="D20" s="13"/>
      <c r="E20" s="10"/>
      <c r="F20" s="9" t="s">
        <v>38</v>
      </c>
      <c r="G20" s="70">
        <v>65566.820000000007</v>
      </c>
      <c r="H20" s="16" t="s">
        <v>15</v>
      </c>
      <c r="I20" s="70">
        <v>65566.820000000007</v>
      </c>
      <c r="J20" s="70"/>
      <c r="K20" s="69">
        <v>65566.820000000007</v>
      </c>
      <c r="L20" s="17"/>
    </row>
    <row r="21" spans="1:12" x14ac:dyDescent="0.35">
      <c r="A21" s="8"/>
      <c r="B21" s="9"/>
      <c r="C21" s="10" t="s">
        <v>39</v>
      </c>
      <c r="D21" s="13"/>
      <c r="E21" s="10"/>
      <c r="F21" s="9" t="s">
        <v>40</v>
      </c>
      <c r="G21" s="70">
        <v>8099.85</v>
      </c>
      <c r="H21" s="16" t="s">
        <v>15</v>
      </c>
      <c r="I21" s="70">
        <v>8099.85</v>
      </c>
      <c r="J21" s="70"/>
      <c r="K21" s="69">
        <v>8099.85</v>
      </c>
      <c r="L21" s="17"/>
    </row>
    <row r="22" spans="1:12" x14ac:dyDescent="0.35">
      <c r="A22" s="8"/>
      <c r="B22" s="9"/>
      <c r="C22" s="10" t="s">
        <v>41</v>
      </c>
      <c r="D22" s="13"/>
      <c r="E22" s="10"/>
      <c r="F22" s="9" t="s">
        <v>42</v>
      </c>
      <c r="G22" s="70"/>
      <c r="H22" s="16"/>
      <c r="I22" s="70"/>
      <c r="J22" s="70"/>
      <c r="K22" s="69">
        <v>0</v>
      </c>
      <c r="L22" s="17"/>
    </row>
    <row r="23" spans="1:12" x14ac:dyDescent="0.35">
      <c r="A23" s="8"/>
      <c r="B23" s="9"/>
      <c r="C23" s="10" t="s">
        <v>43</v>
      </c>
      <c r="D23" s="13"/>
      <c r="E23" s="10"/>
      <c r="F23" s="9" t="s">
        <v>44</v>
      </c>
      <c r="G23" s="70">
        <v>0</v>
      </c>
      <c r="H23" s="16"/>
      <c r="I23" s="70"/>
      <c r="J23" s="70"/>
      <c r="K23" s="69">
        <v>0</v>
      </c>
      <c r="L23" s="17"/>
    </row>
    <row r="24" spans="1:12" x14ac:dyDescent="0.35">
      <c r="A24" s="9"/>
      <c r="B24" s="9"/>
      <c r="C24" s="19" t="s">
        <v>45</v>
      </c>
      <c r="D24" s="13"/>
      <c r="E24" s="19"/>
      <c r="F24" s="9" t="s">
        <v>46</v>
      </c>
      <c r="G24" s="72"/>
      <c r="H24" s="16"/>
      <c r="I24" s="72"/>
      <c r="J24" s="72"/>
      <c r="K24" s="69">
        <v>0</v>
      </c>
      <c r="L24" s="17"/>
    </row>
    <row r="25" spans="1:12" x14ac:dyDescent="0.35">
      <c r="A25" s="8"/>
      <c r="B25" s="9" t="s">
        <v>47</v>
      </c>
      <c r="C25" s="10"/>
      <c r="D25" s="13"/>
      <c r="E25" s="9" t="s">
        <v>48</v>
      </c>
      <c r="F25" s="10"/>
      <c r="G25" s="69">
        <v>380953.19</v>
      </c>
      <c r="H25" s="9"/>
      <c r="I25" s="69">
        <v>122335.39</v>
      </c>
      <c r="J25" s="69">
        <v>258617.80000000002</v>
      </c>
      <c r="K25" s="69"/>
      <c r="L25" s="14"/>
    </row>
    <row r="26" spans="1:12" x14ac:dyDescent="0.35">
      <c r="A26" s="8"/>
      <c r="B26" s="9"/>
      <c r="C26" s="10" t="s">
        <v>49</v>
      </c>
      <c r="D26" s="13"/>
      <c r="E26" s="10"/>
      <c r="F26" s="9" t="s">
        <v>50</v>
      </c>
      <c r="G26" s="70">
        <v>54423.64</v>
      </c>
      <c r="H26" s="16"/>
      <c r="I26" s="70">
        <v>15838.3</v>
      </c>
      <c r="J26" s="70">
        <v>38585.339999999997</v>
      </c>
      <c r="K26" s="69">
        <v>54423.64</v>
      </c>
      <c r="L26" s="17" t="s">
        <v>258</v>
      </c>
    </row>
    <row r="27" spans="1:12" x14ac:dyDescent="0.35">
      <c r="A27" s="8"/>
      <c r="B27" s="9"/>
      <c r="C27" s="10" t="s">
        <v>51</v>
      </c>
      <c r="D27" s="13"/>
      <c r="E27" s="10"/>
      <c r="F27" s="9" t="s">
        <v>52</v>
      </c>
      <c r="G27" s="70"/>
      <c r="H27" s="16"/>
      <c r="I27" s="70"/>
      <c r="J27" s="70"/>
      <c r="K27" s="69">
        <v>0</v>
      </c>
      <c r="L27" s="17"/>
    </row>
    <row r="28" spans="1:12" x14ac:dyDescent="0.35">
      <c r="A28" s="8"/>
      <c r="B28" s="9"/>
      <c r="C28" s="10" t="s">
        <v>53</v>
      </c>
      <c r="D28" s="13"/>
      <c r="E28" s="10"/>
      <c r="F28" s="9" t="s">
        <v>54</v>
      </c>
      <c r="G28" s="70">
        <v>89432.44</v>
      </c>
      <c r="H28" s="16" t="s">
        <v>59</v>
      </c>
      <c r="I28" s="70">
        <v>67074.33</v>
      </c>
      <c r="J28" s="70">
        <v>22358.11</v>
      </c>
      <c r="K28" s="69">
        <v>89432.44</v>
      </c>
      <c r="L28" s="17" t="s">
        <v>227</v>
      </c>
    </row>
    <row r="29" spans="1:12" x14ac:dyDescent="0.35">
      <c r="A29" s="8"/>
      <c r="B29" s="9"/>
      <c r="C29" s="10" t="s">
        <v>55</v>
      </c>
      <c r="D29" s="13"/>
      <c r="E29" s="10"/>
      <c r="F29" s="9" t="s">
        <v>56</v>
      </c>
      <c r="G29" s="70"/>
      <c r="H29" s="16"/>
      <c r="I29" s="70"/>
      <c r="J29" s="70"/>
      <c r="K29" s="69">
        <v>0</v>
      </c>
      <c r="L29" s="17"/>
    </row>
    <row r="30" spans="1:12" x14ac:dyDescent="0.35">
      <c r="A30" s="8"/>
      <c r="B30" s="9"/>
      <c r="C30" s="10" t="s">
        <v>57</v>
      </c>
      <c r="D30" s="13"/>
      <c r="E30" s="10"/>
      <c r="F30" s="9" t="s">
        <v>58</v>
      </c>
      <c r="G30" s="70">
        <v>95171.39</v>
      </c>
      <c r="H30" s="16" t="s">
        <v>59</v>
      </c>
      <c r="I30" s="70">
        <v>23792.84</v>
      </c>
      <c r="J30" s="70">
        <v>71378.55</v>
      </c>
      <c r="K30" s="69">
        <v>95171.39</v>
      </c>
      <c r="L30" s="17" t="s">
        <v>228</v>
      </c>
    </row>
    <row r="31" spans="1:12" x14ac:dyDescent="0.35">
      <c r="A31" s="8"/>
      <c r="B31" s="9"/>
      <c r="C31" s="10" t="s">
        <v>60</v>
      </c>
      <c r="D31" s="13"/>
      <c r="E31" s="10"/>
      <c r="F31" s="9" t="s">
        <v>61</v>
      </c>
      <c r="G31" s="70">
        <v>7547.8</v>
      </c>
      <c r="H31" s="16" t="s">
        <v>15</v>
      </c>
      <c r="I31" s="70">
        <v>7547.8</v>
      </c>
      <c r="J31" s="70"/>
      <c r="K31" s="69">
        <v>7547.8</v>
      </c>
      <c r="L31" s="17" t="s">
        <v>276</v>
      </c>
    </row>
    <row r="32" spans="1:12" x14ac:dyDescent="0.35">
      <c r="A32" s="8"/>
      <c r="B32" s="9"/>
      <c r="C32" s="10" t="s">
        <v>62</v>
      </c>
      <c r="D32" s="13"/>
      <c r="E32" s="10"/>
      <c r="F32" s="9" t="s">
        <v>63</v>
      </c>
      <c r="G32" s="70">
        <v>113515.97</v>
      </c>
      <c r="H32" s="16" t="s">
        <v>24</v>
      </c>
      <c r="I32" s="70">
        <v>8082.12</v>
      </c>
      <c r="J32" s="70">
        <v>105433.85</v>
      </c>
      <c r="K32" s="69">
        <v>113515.97</v>
      </c>
      <c r="L32" s="17" t="s">
        <v>221</v>
      </c>
    </row>
    <row r="33" spans="1:12" x14ac:dyDescent="0.35">
      <c r="A33" s="9"/>
      <c r="B33" s="9"/>
      <c r="C33" s="10" t="s">
        <v>64</v>
      </c>
      <c r="D33" s="9"/>
      <c r="E33" s="10"/>
      <c r="F33" s="9" t="s">
        <v>65</v>
      </c>
      <c r="G33" s="70">
        <v>20861.95</v>
      </c>
      <c r="H33" s="16" t="s">
        <v>24</v>
      </c>
      <c r="I33" s="70"/>
      <c r="J33" s="70">
        <v>20861.95</v>
      </c>
      <c r="K33" s="69">
        <v>20861.95</v>
      </c>
      <c r="L33" s="17"/>
    </row>
    <row r="34" spans="1:12" x14ac:dyDescent="0.35">
      <c r="A34" s="9"/>
      <c r="B34" s="9"/>
      <c r="C34" s="10" t="s">
        <v>66</v>
      </c>
      <c r="D34" s="9"/>
      <c r="E34" s="9"/>
      <c r="F34" s="9" t="s">
        <v>67</v>
      </c>
      <c r="G34" s="70"/>
      <c r="H34" s="16"/>
      <c r="I34" s="70"/>
      <c r="J34" s="70"/>
      <c r="K34" s="69">
        <v>0</v>
      </c>
      <c r="L34" s="17"/>
    </row>
    <row r="35" spans="1:12" x14ac:dyDescent="0.35">
      <c r="A35" s="9"/>
      <c r="B35" s="9"/>
      <c r="C35" s="10" t="s">
        <v>68</v>
      </c>
      <c r="D35" s="9"/>
      <c r="E35" s="10"/>
      <c r="F35" s="9" t="s">
        <v>69</v>
      </c>
      <c r="G35" s="70"/>
      <c r="H35" s="16"/>
      <c r="I35" s="70"/>
      <c r="J35" s="70"/>
      <c r="K35" s="69">
        <v>0</v>
      </c>
      <c r="L35" s="17"/>
    </row>
    <row r="36" spans="1:12" x14ac:dyDescent="0.35">
      <c r="A36" s="9"/>
      <c r="B36" s="9"/>
      <c r="C36" s="10" t="s">
        <v>70</v>
      </c>
      <c r="D36" s="9"/>
      <c r="E36" s="9"/>
      <c r="F36" s="9" t="s">
        <v>71</v>
      </c>
      <c r="G36" s="70"/>
      <c r="H36" s="16"/>
      <c r="I36" s="70"/>
      <c r="J36" s="70"/>
      <c r="K36" s="69">
        <v>0</v>
      </c>
      <c r="L36" s="17"/>
    </row>
    <row r="37" spans="1:12" x14ac:dyDescent="0.35">
      <c r="A37" s="9"/>
      <c r="B37" s="9"/>
      <c r="C37" s="10" t="s">
        <v>72</v>
      </c>
      <c r="D37" s="9"/>
      <c r="E37" s="21"/>
      <c r="F37" s="9" t="s">
        <v>73</v>
      </c>
      <c r="G37" s="70"/>
      <c r="H37" s="16"/>
      <c r="I37" s="70"/>
      <c r="J37" s="70"/>
      <c r="K37" s="69">
        <v>0</v>
      </c>
      <c r="L37" s="17"/>
    </row>
    <row r="38" spans="1:12" x14ac:dyDescent="0.35">
      <c r="A38" s="9"/>
      <c r="B38" s="9"/>
      <c r="C38" s="10" t="s">
        <v>74</v>
      </c>
      <c r="D38" s="9"/>
      <c r="E38" s="9"/>
      <c r="F38" s="9" t="s">
        <v>75</v>
      </c>
      <c r="G38" s="70"/>
      <c r="H38" s="16"/>
      <c r="I38" s="70"/>
      <c r="J38" s="70"/>
      <c r="K38" s="69">
        <v>0</v>
      </c>
      <c r="L38" s="17"/>
    </row>
    <row r="39" spans="1:12" x14ac:dyDescent="0.35">
      <c r="A39" s="9"/>
      <c r="B39" s="9"/>
      <c r="C39" s="10" t="s">
        <v>76</v>
      </c>
      <c r="D39" s="9"/>
      <c r="E39" s="9"/>
      <c r="F39" s="9" t="s">
        <v>77</v>
      </c>
      <c r="G39" s="70"/>
      <c r="H39" s="16"/>
      <c r="I39" s="70"/>
      <c r="J39" s="70"/>
      <c r="K39" s="69">
        <v>0</v>
      </c>
      <c r="L39" s="17"/>
    </row>
    <row r="40" spans="1:12" x14ac:dyDescent="0.35">
      <c r="A40" s="9"/>
      <c r="B40" s="9"/>
      <c r="C40" s="10" t="s">
        <v>78</v>
      </c>
      <c r="D40" s="9"/>
      <c r="E40" s="9"/>
      <c r="F40" s="9" t="s">
        <v>79</v>
      </c>
      <c r="G40" s="70"/>
      <c r="H40" s="16"/>
      <c r="I40" s="70"/>
      <c r="J40" s="70"/>
      <c r="K40" s="69">
        <v>0</v>
      </c>
      <c r="L40" s="17"/>
    </row>
    <row r="41" spans="1:12" x14ac:dyDescent="0.35">
      <c r="A41" s="9"/>
      <c r="B41" s="9"/>
      <c r="C41" s="10" t="s">
        <v>80</v>
      </c>
      <c r="D41" s="9"/>
      <c r="E41" s="9"/>
      <c r="F41" s="9" t="s">
        <v>81</v>
      </c>
      <c r="G41" s="70"/>
      <c r="H41" s="16"/>
      <c r="I41" s="70"/>
      <c r="J41" s="70"/>
      <c r="K41" s="69">
        <v>0</v>
      </c>
      <c r="L41" s="17"/>
    </row>
    <row r="42" spans="1:12" x14ac:dyDescent="0.35">
      <c r="A42" s="9"/>
      <c r="B42" s="9" t="s">
        <v>82</v>
      </c>
      <c r="C42" s="10"/>
      <c r="D42" s="9"/>
      <c r="E42" s="9" t="s">
        <v>83</v>
      </c>
      <c r="F42" s="9"/>
      <c r="G42" s="69">
        <v>1918644.34</v>
      </c>
      <c r="H42" s="9"/>
      <c r="I42" s="69">
        <v>1463186.0299999998</v>
      </c>
      <c r="J42" s="69">
        <v>455458.30999999994</v>
      </c>
      <c r="K42" s="69"/>
      <c r="L42" s="14"/>
    </row>
    <row r="43" spans="1:12" x14ac:dyDescent="0.35">
      <c r="A43" s="9"/>
      <c r="B43" s="9"/>
      <c r="C43" s="10" t="s">
        <v>84</v>
      </c>
      <c r="D43" s="9"/>
      <c r="E43" s="9"/>
      <c r="F43" s="9" t="s">
        <v>85</v>
      </c>
      <c r="G43" s="70"/>
      <c r="H43" s="16"/>
      <c r="I43" s="70"/>
      <c r="J43" s="70"/>
      <c r="K43" s="69">
        <v>0</v>
      </c>
      <c r="L43" s="17"/>
    </row>
    <row r="44" spans="1:12" x14ac:dyDescent="0.35">
      <c r="A44" s="9"/>
      <c r="B44" s="9"/>
      <c r="C44" s="10" t="s">
        <v>86</v>
      </c>
      <c r="D44" s="9"/>
      <c r="E44" s="9"/>
      <c r="F44" s="9" t="s">
        <v>87</v>
      </c>
      <c r="G44" s="70">
        <v>1104343.06</v>
      </c>
      <c r="H44" s="16" t="s">
        <v>59</v>
      </c>
      <c r="I44" s="70">
        <v>883474.45</v>
      </c>
      <c r="J44" s="70">
        <v>220868.61</v>
      </c>
      <c r="K44" s="69">
        <v>1104343.06</v>
      </c>
      <c r="L44" s="17"/>
    </row>
    <row r="45" spans="1:12" x14ac:dyDescent="0.35">
      <c r="A45" s="9"/>
      <c r="B45" s="9"/>
      <c r="C45" s="10" t="s">
        <v>88</v>
      </c>
      <c r="D45" s="9"/>
      <c r="E45" s="9"/>
      <c r="F45" s="9" t="s">
        <v>89</v>
      </c>
      <c r="G45" s="70">
        <v>117982.86</v>
      </c>
      <c r="H45" s="16" t="s">
        <v>24</v>
      </c>
      <c r="I45" s="70"/>
      <c r="J45" s="70">
        <v>117982.86</v>
      </c>
      <c r="K45" s="69">
        <v>117982.86</v>
      </c>
      <c r="L45" s="17"/>
    </row>
    <row r="46" spans="1:12" x14ac:dyDescent="0.35">
      <c r="A46" s="9"/>
      <c r="B46" s="9"/>
      <c r="C46" s="10" t="s">
        <v>90</v>
      </c>
      <c r="D46" s="9"/>
      <c r="E46" s="9"/>
      <c r="F46" s="9" t="s">
        <v>91</v>
      </c>
      <c r="G46" s="70"/>
      <c r="H46" s="16"/>
      <c r="I46" s="70"/>
      <c r="J46" s="70"/>
      <c r="K46" s="69">
        <v>0</v>
      </c>
      <c r="L46" s="17"/>
    </row>
    <row r="47" spans="1:12" x14ac:dyDescent="0.35">
      <c r="A47" s="9"/>
      <c r="B47" s="9"/>
      <c r="C47" s="10" t="s">
        <v>92</v>
      </c>
      <c r="D47" s="9"/>
      <c r="E47" s="9"/>
      <c r="F47" s="9" t="s">
        <v>93</v>
      </c>
      <c r="G47" s="70">
        <v>424605.69</v>
      </c>
      <c r="H47" s="16" t="s">
        <v>15</v>
      </c>
      <c r="I47" s="70">
        <v>424605.69</v>
      </c>
      <c r="J47" s="70"/>
      <c r="K47" s="69">
        <v>424605.69</v>
      </c>
      <c r="L47" s="17"/>
    </row>
    <row r="48" spans="1:12" x14ac:dyDescent="0.35">
      <c r="A48" s="9"/>
      <c r="B48" s="9"/>
      <c r="C48" s="10" t="s">
        <v>94</v>
      </c>
      <c r="D48" s="9"/>
      <c r="E48" s="9"/>
      <c r="F48" s="9" t="s">
        <v>95</v>
      </c>
      <c r="G48" s="70"/>
      <c r="H48" s="16"/>
      <c r="I48" s="70"/>
      <c r="J48" s="70"/>
      <c r="K48" s="69">
        <v>0</v>
      </c>
      <c r="L48" s="17"/>
    </row>
    <row r="49" spans="1:12" x14ac:dyDescent="0.35">
      <c r="A49" s="9"/>
      <c r="B49" s="9"/>
      <c r="C49" s="10" t="s">
        <v>96</v>
      </c>
      <c r="D49" s="9"/>
      <c r="E49" s="9"/>
      <c r="F49" s="9" t="s">
        <v>97</v>
      </c>
      <c r="G49" s="70">
        <v>155105.89000000001</v>
      </c>
      <c r="H49" s="16" t="s">
        <v>15</v>
      </c>
      <c r="I49" s="70">
        <v>155105.89000000001</v>
      </c>
      <c r="J49" s="70"/>
      <c r="K49" s="69">
        <v>155105.89000000001</v>
      </c>
      <c r="L49" s="17"/>
    </row>
    <row r="50" spans="1:12" x14ac:dyDescent="0.35">
      <c r="A50" s="9"/>
      <c r="B50" s="9"/>
      <c r="C50" s="10" t="s">
        <v>98</v>
      </c>
      <c r="D50" s="9"/>
      <c r="E50" s="9"/>
      <c r="F50" s="9" t="s">
        <v>99</v>
      </c>
      <c r="G50" s="70"/>
      <c r="H50" s="16"/>
      <c r="I50" s="70"/>
      <c r="J50" s="70"/>
      <c r="K50" s="69">
        <v>0</v>
      </c>
      <c r="L50" s="17"/>
    </row>
    <row r="51" spans="1:12" x14ac:dyDescent="0.35">
      <c r="A51" s="9"/>
      <c r="B51" s="9"/>
      <c r="C51" s="10" t="s">
        <v>100</v>
      </c>
      <c r="D51" s="9"/>
      <c r="E51" s="9"/>
      <c r="F51" s="9" t="s">
        <v>101</v>
      </c>
      <c r="G51" s="70"/>
      <c r="H51" s="16"/>
      <c r="I51" s="70"/>
      <c r="J51" s="70"/>
      <c r="K51" s="69">
        <v>0</v>
      </c>
      <c r="L51" s="17"/>
    </row>
    <row r="52" spans="1:12" x14ac:dyDescent="0.35">
      <c r="A52" s="9"/>
      <c r="B52" s="9"/>
      <c r="C52" s="10" t="s">
        <v>102</v>
      </c>
      <c r="D52" s="9"/>
      <c r="E52" s="9"/>
      <c r="F52" s="9" t="s">
        <v>103</v>
      </c>
      <c r="G52" s="70"/>
      <c r="H52" s="16"/>
      <c r="I52" s="70"/>
      <c r="J52" s="70"/>
      <c r="K52" s="69">
        <v>0</v>
      </c>
      <c r="L52" s="17"/>
    </row>
    <row r="53" spans="1:12" x14ac:dyDescent="0.35">
      <c r="A53" s="9"/>
      <c r="B53" s="9"/>
      <c r="C53" s="10" t="s">
        <v>104</v>
      </c>
      <c r="D53" s="9"/>
      <c r="E53" s="9"/>
      <c r="F53" s="9" t="s">
        <v>105</v>
      </c>
      <c r="G53" s="70"/>
      <c r="H53" s="16"/>
      <c r="I53" s="70"/>
      <c r="J53" s="70"/>
      <c r="K53" s="69">
        <v>0</v>
      </c>
      <c r="L53" s="17"/>
    </row>
    <row r="54" spans="1:12" x14ac:dyDescent="0.35">
      <c r="A54" s="9"/>
      <c r="B54" s="9"/>
      <c r="C54" s="10" t="s">
        <v>106</v>
      </c>
      <c r="D54" s="9"/>
      <c r="E54" s="9"/>
      <c r="F54" s="9" t="s">
        <v>107</v>
      </c>
      <c r="G54" s="70">
        <v>80141.97</v>
      </c>
      <c r="H54" s="16" t="s">
        <v>24</v>
      </c>
      <c r="I54" s="70"/>
      <c r="J54" s="70">
        <v>80141.97</v>
      </c>
      <c r="K54" s="69">
        <v>80141.97</v>
      </c>
      <c r="L54" s="17"/>
    </row>
    <row r="55" spans="1:12" x14ac:dyDescent="0.35">
      <c r="A55" s="9"/>
      <c r="B55" s="9"/>
      <c r="C55" s="10" t="s">
        <v>108</v>
      </c>
      <c r="D55" s="9"/>
      <c r="E55" s="9"/>
      <c r="F55" s="9" t="s">
        <v>109</v>
      </c>
      <c r="G55" s="70"/>
      <c r="H55" s="16"/>
      <c r="I55" s="70"/>
      <c r="J55" s="70"/>
      <c r="K55" s="69">
        <v>0</v>
      </c>
      <c r="L55" s="17"/>
    </row>
    <row r="56" spans="1:12" x14ac:dyDescent="0.35">
      <c r="A56" s="9"/>
      <c r="B56" s="9"/>
      <c r="C56" s="10" t="s">
        <v>110</v>
      </c>
      <c r="D56" s="9"/>
      <c r="E56" s="9"/>
      <c r="F56" s="9" t="s">
        <v>111</v>
      </c>
      <c r="G56" s="70"/>
      <c r="H56" s="16"/>
      <c r="I56" s="70"/>
      <c r="J56" s="70"/>
      <c r="K56" s="69">
        <v>0</v>
      </c>
      <c r="L56" s="17"/>
    </row>
    <row r="57" spans="1:12" x14ac:dyDescent="0.35">
      <c r="A57" s="9"/>
      <c r="B57" s="9"/>
      <c r="C57" s="10" t="s">
        <v>112</v>
      </c>
      <c r="D57" s="9"/>
      <c r="E57" s="9"/>
      <c r="F57" s="9" t="s">
        <v>113</v>
      </c>
      <c r="G57" s="70"/>
      <c r="H57" s="16"/>
      <c r="I57" s="70"/>
      <c r="J57" s="70"/>
      <c r="K57" s="69">
        <v>0</v>
      </c>
      <c r="L57" s="17"/>
    </row>
    <row r="58" spans="1:12" x14ac:dyDescent="0.35">
      <c r="A58" s="9"/>
      <c r="B58" s="9"/>
      <c r="C58" s="10" t="s">
        <v>114</v>
      </c>
      <c r="D58" s="9"/>
      <c r="E58" s="9"/>
      <c r="F58" s="9" t="s">
        <v>115</v>
      </c>
      <c r="G58" s="70"/>
      <c r="H58" s="16"/>
      <c r="I58" s="70"/>
      <c r="J58" s="70"/>
      <c r="K58" s="69">
        <v>0</v>
      </c>
      <c r="L58" s="17"/>
    </row>
    <row r="59" spans="1:12" x14ac:dyDescent="0.35">
      <c r="A59" s="9"/>
      <c r="B59" s="9"/>
      <c r="C59" s="10" t="s">
        <v>116</v>
      </c>
      <c r="D59" s="9"/>
      <c r="E59" s="9"/>
      <c r="F59" s="9" t="s">
        <v>117</v>
      </c>
      <c r="G59" s="70"/>
      <c r="H59" s="16"/>
      <c r="I59" s="70"/>
      <c r="J59" s="70"/>
      <c r="K59" s="69">
        <v>0</v>
      </c>
      <c r="L59" s="17"/>
    </row>
    <row r="60" spans="1:12" x14ac:dyDescent="0.35">
      <c r="A60" s="9"/>
      <c r="B60" s="9"/>
      <c r="C60" s="10" t="s">
        <v>118</v>
      </c>
      <c r="D60" s="9"/>
      <c r="E60" s="9"/>
      <c r="F60" s="9" t="s">
        <v>119</v>
      </c>
      <c r="G60" s="70"/>
      <c r="H60" s="16"/>
      <c r="I60" s="70"/>
      <c r="J60" s="70"/>
      <c r="K60" s="69">
        <v>0</v>
      </c>
      <c r="L60" s="17"/>
    </row>
    <row r="61" spans="1:12" x14ac:dyDescent="0.35">
      <c r="A61" s="9"/>
      <c r="B61" s="9"/>
      <c r="C61" s="10" t="s">
        <v>120</v>
      </c>
      <c r="D61" s="9"/>
      <c r="E61" s="9"/>
      <c r="F61" s="9" t="s">
        <v>121</v>
      </c>
      <c r="G61" s="70"/>
      <c r="H61" s="16"/>
      <c r="I61" s="70"/>
      <c r="J61" s="70"/>
      <c r="K61" s="69">
        <v>0</v>
      </c>
      <c r="L61" s="17"/>
    </row>
    <row r="62" spans="1:12" x14ac:dyDescent="0.35">
      <c r="A62" s="9"/>
      <c r="B62" s="9"/>
      <c r="C62" s="10" t="s">
        <v>122</v>
      </c>
      <c r="D62" s="9"/>
      <c r="E62" s="9"/>
      <c r="F62" s="9" t="s">
        <v>123</v>
      </c>
      <c r="G62" s="70">
        <v>11744.25</v>
      </c>
      <c r="H62" s="16" t="s">
        <v>24</v>
      </c>
      <c r="I62" s="70"/>
      <c r="J62" s="70">
        <v>11744.25</v>
      </c>
      <c r="K62" s="69">
        <v>11744.25</v>
      </c>
      <c r="L62" s="17"/>
    </row>
    <row r="63" spans="1:12" x14ac:dyDescent="0.35">
      <c r="A63" s="9"/>
      <c r="B63" s="9"/>
      <c r="C63" s="10" t="s">
        <v>124</v>
      </c>
      <c r="D63" s="9"/>
      <c r="E63" s="9"/>
      <c r="F63" s="9" t="s">
        <v>125</v>
      </c>
      <c r="G63" s="70">
        <v>24720.62</v>
      </c>
      <c r="H63" s="16" t="s">
        <v>24</v>
      </c>
      <c r="I63" s="70"/>
      <c r="J63" s="70">
        <v>24720.62</v>
      </c>
      <c r="K63" s="69">
        <v>24720.62</v>
      </c>
      <c r="L63" s="17"/>
    </row>
    <row r="64" spans="1:12" hidden="1" x14ac:dyDescent="0.35">
      <c r="A64" s="9"/>
      <c r="B64" s="9" t="s">
        <v>126</v>
      </c>
      <c r="C64" s="10"/>
      <c r="D64" s="9"/>
      <c r="E64" s="9" t="s">
        <v>127</v>
      </c>
      <c r="F64" s="9"/>
      <c r="G64" s="69"/>
      <c r="H64" s="9"/>
      <c r="I64" s="69"/>
      <c r="J64" s="69"/>
      <c r="K64" s="69"/>
      <c r="L64" s="14"/>
    </row>
    <row r="65" spans="1:12" hidden="1" x14ac:dyDescent="0.35">
      <c r="A65" s="9"/>
      <c r="B65" s="9" t="s">
        <v>128</v>
      </c>
      <c r="C65" s="10"/>
      <c r="D65" s="9"/>
      <c r="E65" s="9" t="s">
        <v>127</v>
      </c>
      <c r="F65" s="9"/>
      <c r="G65" s="69"/>
      <c r="H65" s="9"/>
      <c r="I65" s="69"/>
      <c r="J65" s="69"/>
      <c r="K65" s="69"/>
      <c r="L65" s="14"/>
    </row>
    <row r="66" spans="1:12" x14ac:dyDescent="0.35">
      <c r="A66" s="9"/>
      <c r="B66" s="9" t="s">
        <v>129</v>
      </c>
      <c r="C66" s="10"/>
      <c r="D66" s="9"/>
      <c r="E66" s="9" t="s">
        <v>130</v>
      </c>
      <c r="F66" s="9"/>
      <c r="G66" s="69">
        <v>0</v>
      </c>
      <c r="H66" s="9"/>
      <c r="I66" s="69">
        <v>0</v>
      </c>
      <c r="J66" s="69">
        <v>0</v>
      </c>
      <c r="K66" s="69"/>
      <c r="L66" s="14"/>
    </row>
    <row r="67" spans="1:12" x14ac:dyDescent="0.35">
      <c r="A67" s="9"/>
      <c r="B67" s="9"/>
      <c r="C67" s="10" t="s">
        <v>131</v>
      </c>
      <c r="D67" s="9"/>
      <c r="E67" s="9"/>
      <c r="F67" s="9" t="s">
        <v>132</v>
      </c>
      <c r="G67" s="70"/>
      <c r="H67" s="16"/>
      <c r="I67" s="70"/>
      <c r="J67" s="70">
        <v>0</v>
      </c>
      <c r="K67" s="69">
        <v>0</v>
      </c>
      <c r="L67" s="17"/>
    </row>
    <row r="68" spans="1:12" x14ac:dyDescent="0.35">
      <c r="A68" s="9"/>
      <c r="B68" s="9"/>
      <c r="C68" s="10" t="s">
        <v>133</v>
      </c>
      <c r="D68" s="9"/>
      <c r="E68" s="9"/>
      <c r="F68" s="9" t="s">
        <v>134</v>
      </c>
      <c r="G68" s="70"/>
      <c r="H68" s="16"/>
      <c r="I68" s="70"/>
      <c r="J68" s="70"/>
      <c r="K68" s="69">
        <v>0</v>
      </c>
      <c r="L68" s="17"/>
    </row>
    <row r="69" spans="1:12" x14ac:dyDescent="0.35">
      <c r="A69" s="9"/>
      <c r="B69" s="9"/>
      <c r="C69" s="10" t="s">
        <v>135</v>
      </c>
      <c r="D69" s="9"/>
      <c r="E69" s="9"/>
      <c r="F69" s="9" t="s">
        <v>136</v>
      </c>
      <c r="G69" s="70"/>
      <c r="H69" s="16"/>
      <c r="I69" s="70"/>
      <c r="J69" s="70"/>
      <c r="K69" s="69">
        <v>0</v>
      </c>
      <c r="L69" s="17"/>
    </row>
    <row r="70" spans="1:12" x14ac:dyDescent="0.35">
      <c r="A70" s="9"/>
      <c r="B70" s="9" t="s">
        <v>137</v>
      </c>
      <c r="C70" s="10"/>
      <c r="D70" s="9"/>
      <c r="E70" s="9" t="s">
        <v>138</v>
      </c>
      <c r="F70" s="9"/>
      <c r="G70" s="69">
        <v>681765.57</v>
      </c>
      <c r="H70" s="9"/>
      <c r="I70" s="69">
        <v>0</v>
      </c>
      <c r="J70" s="69">
        <v>681765.57</v>
      </c>
      <c r="K70" s="69"/>
      <c r="L70" s="14"/>
    </row>
    <row r="71" spans="1:12" x14ac:dyDescent="0.35">
      <c r="A71" s="9"/>
      <c r="B71" s="9"/>
      <c r="C71" s="10" t="s">
        <v>139</v>
      </c>
      <c r="D71" s="9"/>
      <c r="E71" s="9"/>
      <c r="F71" s="9" t="s">
        <v>140</v>
      </c>
      <c r="G71" s="70"/>
      <c r="H71" s="16"/>
      <c r="I71" s="70"/>
      <c r="J71" s="70"/>
      <c r="K71" s="69">
        <v>0</v>
      </c>
      <c r="L71" s="17"/>
    </row>
    <row r="72" spans="1:12" x14ac:dyDescent="0.35">
      <c r="A72" s="9"/>
      <c r="B72" s="9"/>
      <c r="C72" s="10" t="s">
        <v>141</v>
      </c>
      <c r="D72" s="9"/>
      <c r="E72" s="9"/>
      <c r="F72" s="9" t="s">
        <v>142</v>
      </c>
      <c r="G72" s="70">
        <v>408559.16</v>
      </c>
      <c r="H72" s="16" t="s">
        <v>24</v>
      </c>
      <c r="I72" s="70"/>
      <c r="J72" s="70">
        <v>408559.16</v>
      </c>
      <c r="K72" s="69">
        <v>408559.16</v>
      </c>
      <c r="L72" s="17"/>
    </row>
    <row r="73" spans="1:12" x14ac:dyDescent="0.35">
      <c r="A73" s="9"/>
      <c r="B73" s="9"/>
      <c r="C73" s="10" t="s">
        <v>143</v>
      </c>
      <c r="D73" s="9"/>
      <c r="E73" s="9"/>
      <c r="F73" s="9" t="s">
        <v>144</v>
      </c>
      <c r="G73" s="70">
        <v>273206.40999999997</v>
      </c>
      <c r="H73" s="16" t="s">
        <v>24</v>
      </c>
      <c r="I73" s="70"/>
      <c r="J73" s="70">
        <v>273206.40999999997</v>
      </c>
      <c r="K73" s="69">
        <v>273206.40999999997</v>
      </c>
      <c r="L73" s="17"/>
    </row>
    <row r="74" spans="1:12" hidden="1" x14ac:dyDescent="0.35">
      <c r="A74" s="9"/>
      <c r="B74" s="9" t="s">
        <v>145</v>
      </c>
      <c r="C74" s="10"/>
      <c r="D74" s="9"/>
      <c r="E74" s="9" t="s">
        <v>127</v>
      </c>
      <c r="F74" s="9"/>
      <c r="G74" s="69"/>
      <c r="H74" s="9"/>
      <c r="I74" s="69"/>
      <c r="J74" s="69"/>
      <c r="K74" s="69"/>
      <c r="L74" s="14"/>
    </row>
    <row r="75" spans="1:12" hidden="1" x14ac:dyDescent="0.35">
      <c r="A75" s="9"/>
      <c r="B75" s="9" t="s">
        <v>146</v>
      </c>
      <c r="C75" s="10"/>
      <c r="D75" s="9"/>
      <c r="E75" s="9" t="s">
        <v>127</v>
      </c>
      <c r="F75" s="9"/>
      <c r="G75" s="69"/>
      <c r="H75" s="9"/>
      <c r="I75" s="69"/>
      <c r="J75" s="69"/>
      <c r="K75" s="69"/>
      <c r="L75" s="14"/>
    </row>
    <row r="76" spans="1:12" s="7" customFormat="1" x14ac:dyDescent="0.35">
      <c r="A76" s="4" t="s">
        <v>147</v>
      </c>
      <c r="B76" s="4"/>
      <c r="C76" s="22"/>
      <c r="D76" s="4"/>
      <c r="E76" s="4"/>
      <c r="F76" s="4"/>
      <c r="G76" s="138">
        <v>4612879.16</v>
      </c>
      <c r="H76" s="24"/>
      <c r="I76" s="138">
        <v>2890812.11</v>
      </c>
      <c r="J76" s="138">
        <v>1722067.0499999998</v>
      </c>
      <c r="K76" s="69">
        <v>4612879.16</v>
      </c>
      <c r="L76" s="25"/>
    </row>
    <row r="77" spans="1:12" x14ac:dyDescent="0.35">
      <c r="F77" s="139" t="s">
        <v>200</v>
      </c>
      <c r="G77" s="140">
        <v>4612879.16</v>
      </c>
      <c r="H77" s="13"/>
      <c r="I77" s="66">
        <v>0.62668281776538015</v>
      </c>
      <c r="J77" s="66">
        <v>0.37331718223461979</v>
      </c>
      <c r="K77" s="27"/>
    </row>
    <row r="79" spans="1:12" x14ac:dyDescent="0.35">
      <c r="F79" s="142" t="s">
        <v>201</v>
      </c>
    </row>
    <row r="80" spans="1:12" hidden="1" x14ac:dyDescent="0.35">
      <c r="H80" t="s">
        <v>15</v>
      </c>
    </row>
    <row r="81" spans="3:11" x14ac:dyDescent="0.35">
      <c r="C81"/>
      <c r="H81" t="s">
        <v>24</v>
      </c>
    </row>
    <row r="82" spans="3:11" x14ac:dyDescent="0.35">
      <c r="C82"/>
      <c r="H82" t="s">
        <v>59</v>
      </c>
    </row>
    <row r="83" spans="3:11" x14ac:dyDescent="0.35">
      <c r="C83"/>
      <c r="H83" s="139" t="s">
        <v>202</v>
      </c>
      <c r="I83" s="69">
        <v>21669431.509999998</v>
      </c>
      <c r="J83" s="141">
        <v>0.13340507380943287</v>
      </c>
      <c r="K83" s="142" t="s">
        <v>203</v>
      </c>
    </row>
    <row r="97" customFormat="1" x14ac:dyDescent="0.35"/>
    <row r="98" customFormat="1" x14ac:dyDescent="0.35"/>
    <row r="99" customFormat="1" x14ac:dyDescent="0.35"/>
    <row r="100" customFormat="1" x14ac:dyDescent="0.35"/>
    <row r="101" customFormat="1" x14ac:dyDescent="0.35"/>
    <row r="102" customFormat="1" x14ac:dyDescent="0.35"/>
    <row r="103" customFormat="1" x14ac:dyDescent="0.35"/>
    <row r="104" customFormat="1" x14ac:dyDescent="0.35"/>
    <row r="105" customFormat="1" x14ac:dyDescent="0.35"/>
    <row r="106" customFormat="1" x14ac:dyDescent="0.35"/>
    <row r="107" customFormat="1" x14ac:dyDescent="0.35"/>
    <row r="108" customFormat="1" x14ac:dyDescent="0.35"/>
    <row r="109" customFormat="1" x14ac:dyDescent="0.35"/>
    <row r="110" customFormat="1" x14ac:dyDescent="0.35"/>
    <row r="112" customFormat="1" ht="15" hidden="1" customHeight="1" x14ac:dyDescent="0.35"/>
    <row r="113" customFormat="1" ht="15" hidden="1" customHeight="1" x14ac:dyDescent="0.35"/>
    <row r="114" customFormat="1" ht="15" hidden="1" customHeight="1" x14ac:dyDescent="0.35"/>
    <row r="115" customFormat="1" ht="15" hidden="1" customHeight="1" x14ac:dyDescent="0.35"/>
    <row r="116" customFormat="1" ht="15" hidden="1" customHeight="1" x14ac:dyDescent="0.35"/>
    <row r="117" customFormat="1" ht="15" hidden="1" customHeight="1" x14ac:dyDescent="0.35"/>
    <row r="118" customFormat="1" ht="15" hidden="1" customHeight="1" x14ac:dyDescent="0.35"/>
    <row r="119" customFormat="1" ht="15" hidden="1" customHeight="1" x14ac:dyDescent="0.35"/>
    <row r="120" customFormat="1" ht="15" hidden="1" customHeight="1" x14ac:dyDescent="0.35"/>
    <row r="121" customFormat="1" ht="15" hidden="1" customHeight="1" x14ac:dyDescent="0.35"/>
    <row r="122" customFormat="1" ht="15" hidden="1" customHeight="1" x14ac:dyDescent="0.35"/>
    <row r="123" customFormat="1" ht="15" hidden="1" customHeight="1" x14ac:dyDescent="0.35"/>
    <row r="124" customFormat="1" ht="15" hidden="1" customHeight="1" x14ac:dyDescent="0.35"/>
    <row r="125" customFormat="1" ht="15" hidden="1" customHeight="1" x14ac:dyDescent="0.35"/>
    <row r="126" customFormat="1" ht="15" hidden="1" customHeight="1" x14ac:dyDescent="0.35"/>
    <row r="127" customFormat="1" ht="15" hidden="1" customHeight="1" x14ac:dyDescent="0.35"/>
    <row r="128" customFormat="1" ht="15" hidden="1" customHeight="1" x14ac:dyDescent="0.35"/>
    <row r="129" customFormat="1" ht="15" hidden="1" customHeight="1" x14ac:dyDescent="0.35"/>
    <row r="130" customFormat="1" ht="15" hidden="1" customHeight="1" x14ac:dyDescent="0.35"/>
    <row r="131" customFormat="1" ht="15" hidden="1" customHeight="1" x14ac:dyDescent="0.35"/>
    <row r="132" customFormat="1" ht="15" hidden="1" customHeight="1" x14ac:dyDescent="0.35"/>
    <row r="133" customFormat="1" ht="15" hidden="1" customHeight="1" x14ac:dyDescent="0.35"/>
    <row r="134" customFormat="1" ht="15" hidden="1" customHeight="1" x14ac:dyDescent="0.35"/>
    <row r="135" customFormat="1" ht="15" hidden="1" customHeight="1" x14ac:dyDescent="0.35"/>
    <row r="136" customFormat="1" ht="15" hidden="1" customHeight="1" x14ac:dyDescent="0.35"/>
    <row r="137" customFormat="1" ht="15" hidden="1" customHeight="1" x14ac:dyDescent="0.35"/>
    <row r="138" customFormat="1" ht="15" hidden="1" customHeight="1" x14ac:dyDescent="0.35"/>
    <row r="139" customFormat="1" ht="15" hidden="1" customHeight="1" x14ac:dyDescent="0.35"/>
    <row r="140" customFormat="1" ht="15" hidden="1" customHeight="1" x14ac:dyDescent="0.35"/>
  </sheetData>
  <conditionalFormatting sqref="G76">
    <cfRule type="cellIs" dxfId="267" priority="11" operator="notEqual">
      <formula>$G$77</formula>
    </cfRule>
    <cfRule type="cellIs" dxfId="266" priority="12" operator="equal">
      <formula>$G$77</formula>
    </cfRule>
  </conditionalFormatting>
  <conditionalFormatting sqref="K9:K24">
    <cfRule type="cellIs" dxfId="265" priority="101" operator="notEqual">
      <formula>G9</formula>
    </cfRule>
    <cfRule type="cellIs" dxfId="264" priority="102" operator="equal">
      <formula>G9</formula>
    </cfRule>
  </conditionalFormatting>
  <conditionalFormatting sqref="K26:K41">
    <cfRule type="cellIs" dxfId="263" priority="69" operator="notEqual">
      <formula>G26</formula>
    </cfRule>
    <cfRule type="cellIs" dxfId="262" priority="70" operator="equal">
      <formula>G26</formula>
    </cfRule>
  </conditionalFormatting>
  <conditionalFormatting sqref="K43:K63">
    <cfRule type="cellIs" dxfId="261" priority="27" operator="notEqual">
      <formula>G43</formula>
    </cfRule>
    <cfRule type="cellIs" dxfId="260" priority="28" operator="equal">
      <formula>G43</formula>
    </cfRule>
  </conditionalFormatting>
  <conditionalFormatting sqref="K67:K69">
    <cfRule type="cellIs" dxfId="259" priority="21" operator="notEqual">
      <formula>G67</formula>
    </cfRule>
    <cfRule type="cellIs" dxfId="258" priority="22" operator="equal">
      <formula>G67</formula>
    </cfRule>
  </conditionalFormatting>
  <conditionalFormatting sqref="K71:K73">
    <cfRule type="cellIs" dxfId="257" priority="15" operator="notEqual">
      <formula>G71</formula>
    </cfRule>
    <cfRule type="cellIs" dxfId="256" priority="16" operator="equal">
      <formula>G71</formula>
    </cfRule>
  </conditionalFormatting>
  <conditionalFormatting sqref="K76">
    <cfRule type="cellIs" dxfId="255" priority="13" operator="notEqual">
      <formula>G76</formula>
    </cfRule>
    <cfRule type="cellIs" dxfId="254" priority="14" operator="equal">
      <formula>G76</formula>
    </cfRule>
  </conditionalFormatting>
  <dataValidations count="1">
    <dataValidation type="list" allowBlank="1" showInputMessage="1" showErrorMessage="1" sqref="H9:H75" xr:uid="{00000000-0002-0000-1200-000000000000}">
      <formula1>$H$80:$H$82</formula1>
    </dataValidation>
  </dataValidations>
  <pageMargins left="0.7" right="0.7" top="0.75" bottom="0.75" header="0.3" footer="0.3"/>
  <pageSetup scale="39" orientation="landscape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9" operator="notEqual" id="{473534A0-F5DC-46AE-B0AA-2244EF8E15F7}">
            <xm:f>'D:\Finance\Work\Reports &amp; Surveys\Cost Analysis\Cost Analysis - 2012-2013\Received from Colleges\Florida Gateway\Original\[12 Florida Gateway 2012-13 10-3-13 232PM.xlsx]CA2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10" operator="equal" id="{D81B4316-7F09-4406-9A83-19BAEDFDEE75}">
            <xm:f>'D:\Finance\Work\Reports &amp; Surveys\Cost Analysis\Cost Analysis - 2012-2013\Received from Colleges\Florida Gateway\Original\[12 Florida Gateway 2012-13 10-3-13 232PM.xlsx]CA2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G8</xm:sqref>
        </x14:conditionalFormatting>
        <x14:conditionalFormatting xmlns:xm="http://schemas.microsoft.com/office/excel/2006/main">
          <x14:cfRule type="cellIs" priority="7" operator="notEqual" id="{53E3E975-DCEB-4224-AD30-2FCFD01F4296}">
            <xm:f>'D:\Finance\Work\Reports &amp; Surveys\Cost Analysis\Cost Analysis - 2012-2013\Received from Colleges\Florida Gateway\Original\[12 Florida Gateway 2012-13 10-3-13 232PM.xlsx]CA2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8" operator="equal" id="{CA77DA18-7F6D-4F0E-A20D-8037CCD8DBE3}">
            <xm:f>'D:\Finance\Work\Reports &amp; Surveys\Cost Analysis\Cost Analysis - 2012-2013\Received from Colleges\Florida Gateway\Original\[12 Florida Gateway 2012-13 10-3-13 232PM.xlsx]CA2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G25</xm:sqref>
        </x14:conditionalFormatting>
        <x14:conditionalFormatting xmlns:xm="http://schemas.microsoft.com/office/excel/2006/main">
          <x14:cfRule type="cellIs" priority="5" operator="notEqual" id="{48F99F84-F8A7-46AB-B485-0E80322DBD55}">
            <xm:f>'D:\Finance\Work\Reports &amp; Surveys\Cost Analysis\Cost Analysis - 2012-2013\Received from Colleges\Florida Gateway\Original\[12 Florida Gateway 2012-13 10-3-13 232PM.xlsx]CA2 Detail'!#REF!+'D:\Finance\Work\Reports &amp; Surveys\Cost Analysis\Cost Analysis - 2012-2013\Received from Colleges\Florida Gateway\Original\[12 Florida Gateway 2012-13 10-3-13 232PM.xlsx]CA2 Detail'!#REF!+'D:\Finance\Work\Reports &amp; Surveys\Cost Analysis\Cost Analysis - 2012-2013\Received from Colleges\Florida Gateway\Original\[12 Florida Gateway 2012-13 10-3-13 232PM.xlsx]CA2 Detail'!#REF!+'D:\Finance\Work\Reports &amp; Surveys\Cost Analysis\Cost Analysis - 2012-2013\Received from Colleges\Florida Gateway\Original\[12 Florida Gateway 2012-13 10-3-13 232PM.xlsx]CA2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6" operator="equal" id="{20FF037F-7E36-420B-BBD7-635AC290876A}">
            <xm:f>'D:\Finance\Work\Reports &amp; Surveys\Cost Analysis\Cost Analysis - 2012-2013\Received from Colleges\Florida Gateway\Original\[12 Florida Gateway 2012-13 10-3-13 232PM.xlsx]CA2 Detail'!#REF!+'D:\Finance\Work\Reports &amp; Surveys\Cost Analysis\Cost Analysis - 2012-2013\Received from Colleges\Florida Gateway\Original\[12 Florida Gateway 2012-13 10-3-13 232PM.xlsx]CA2 Detail'!#REF!+'D:\Finance\Work\Reports &amp; Surveys\Cost Analysis\Cost Analysis - 2012-2013\Received from Colleges\Florida Gateway\Original\[12 Florida Gateway 2012-13 10-3-13 232PM.xlsx]CA2 Detail'!#REF!+'D:\Finance\Work\Reports &amp; Surveys\Cost Analysis\Cost Analysis - 2012-2013\Received from Colleges\Florida Gateway\Original\[12 Florida Gateway 2012-13 10-3-13 232PM.xlsx]CA2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G42</xm:sqref>
        </x14:conditionalFormatting>
        <x14:conditionalFormatting xmlns:xm="http://schemas.microsoft.com/office/excel/2006/main">
          <x14:cfRule type="cellIs" priority="3" operator="notEqual" id="{3B25D5AA-B431-4C7B-8919-514D7E5AD566}">
            <xm:f>'D:\Finance\Work\Reports &amp; Surveys\Cost Analysis\Cost Analysis - 2012-2013\Received from Colleges\Florida Gateway\Original\[12 Florida Gateway 2012-13 10-3-13 232PM.xlsx]CA2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4" operator="equal" id="{81B45F5C-7FBC-4506-9323-194416961233}">
            <xm:f>'D:\Finance\Work\Reports &amp; Surveys\Cost Analysis\Cost Analysis - 2012-2013\Received from Colleges\Florida Gateway\Original\[12 Florida Gateway 2012-13 10-3-13 232PM.xlsx]CA2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G66</xm:sqref>
        </x14:conditionalFormatting>
        <x14:conditionalFormatting xmlns:xm="http://schemas.microsoft.com/office/excel/2006/main">
          <x14:cfRule type="cellIs" priority="1" operator="notEqual" id="{B98F94F6-4259-4923-A912-703C92C6D9BA}">
            <xm:f>'D:\Finance\Work\Reports &amp; Surveys\Cost Analysis\Cost Analysis - 2012-2013\Received from Colleges\Florida Gateway\Original\[12 Florida Gateway 2012-13 10-3-13 232PM.xlsx]CA2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2" operator="equal" id="{49FC1CA0-A890-40FA-BB6B-743DC68E3262}">
            <xm:f>'D:\Finance\Work\Reports &amp; Surveys\Cost Analysis\Cost Analysis - 2012-2013\Received from Colleges\Florida Gateway\Original\[12 Florida Gateway 2012-13 10-3-13 232PM.xlsx]CA2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G70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00B0F0"/>
    <pageSetUpPr fitToPage="1"/>
  </sheetPr>
  <dimension ref="A1:L140"/>
  <sheetViews>
    <sheetView workbookViewId="0"/>
  </sheetViews>
  <sheetFormatPr defaultRowHeight="14.5" x14ac:dyDescent="0.35"/>
  <cols>
    <col min="1" max="2" width="2.81640625" customWidth="1"/>
    <col min="3" max="3" width="10.453125" style="123" bestFit="1" customWidth="1"/>
    <col min="4" max="5" width="2.81640625" customWidth="1"/>
    <col min="6" max="6" width="80.7265625" bestFit="1" customWidth="1"/>
    <col min="7" max="7" width="27.81640625" customWidth="1"/>
    <col min="8" max="8" width="15.26953125" bestFit="1" customWidth="1"/>
    <col min="9" max="9" width="27.26953125" customWidth="1"/>
    <col min="10" max="10" width="26.81640625" customWidth="1"/>
    <col min="11" max="11" width="25.81640625" customWidth="1"/>
    <col min="12" max="12" width="82.54296875" customWidth="1"/>
  </cols>
  <sheetData>
    <row r="1" spans="1:12" x14ac:dyDescent="0.35">
      <c r="A1" s="7"/>
      <c r="B1" s="7"/>
      <c r="C1" s="7"/>
      <c r="D1" s="7"/>
      <c r="E1" s="7"/>
      <c r="F1" s="7"/>
      <c r="G1" s="7"/>
      <c r="H1" s="7"/>
      <c r="I1" s="7" t="s">
        <v>0</v>
      </c>
      <c r="J1" s="7"/>
      <c r="K1" s="7"/>
      <c r="L1" s="7"/>
    </row>
    <row r="2" spans="1:12" x14ac:dyDescent="0.35">
      <c r="A2" s="7"/>
      <c r="B2" s="7"/>
      <c r="C2" s="7"/>
      <c r="D2" s="7"/>
      <c r="E2" s="7"/>
      <c r="F2" s="7"/>
      <c r="G2" s="7"/>
      <c r="H2" s="7"/>
      <c r="I2" s="132" t="s">
        <v>197</v>
      </c>
      <c r="J2" s="7"/>
      <c r="K2" s="7"/>
      <c r="L2" s="7"/>
    </row>
    <row r="3" spans="1:12" x14ac:dyDescent="0.35">
      <c r="A3" s="136" t="s">
        <v>198</v>
      </c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</row>
    <row r="4" spans="1:12" ht="19.5" customHeight="1" x14ac:dyDescent="0.35">
      <c r="A4" s="137" t="str">
        <f>'[11]Data Entry - CA2'!A2</f>
        <v>Lake-Sumter State College</v>
      </c>
      <c r="C4"/>
    </row>
    <row r="5" spans="1:12" x14ac:dyDescent="0.35">
      <c r="C5"/>
    </row>
    <row r="6" spans="1:12" s="7" customFormat="1" x14ac:dyDescent="0.35">
      <c r="A6" s="3" t="s">
        <v>2</v>
      </c>
      <c r="B6" s="4"/>
      <c r="C6" s="4"/>
      <c r="D6" s="3" t="s">
        <v>3</v>
      </c>
      <c r="E6" s="4"/>
      <c r="F6" s="4"/>
      <c r="G6" s="118" t="s">
        <v>274</v>
      </c>
      <c r="H6" s="6" t="s">
        <v>4</v>
      </c>
      <c r="I6" s="6" t="s">
        <v>5</v>
      </c>
      <c r="J6" s="6" t="s">
        <v>6</v>
      </c>
      <c r="K6" s="6" t="s">
        <v>7</v>
      </c>
      <c r="L6" s="6" t="s">
        <v>199</v>
      </c>
    </row>
    <row r="7" spans="1:12" x14ac:dyDescent="0.35">
      <c r="A7" s="8" t="s">
        <v>9</v>
      </c>
      <c r="B7" s="9"/>
      <c r="C7" s="119"/>
      <c r="D7" s="11" t="s">
        <v>10</v>
      </c>
      <c r="E7" s="119"/>
      <c r="F7" s="119"/>
      <c r="G7" s="69"/>
      <c r="H7" s="9"/>
      <c r="I7" s="69"/>
      <c r="J7" s="69"/>
      <c r="K7" s="69"/>
      <c r="L7" s="11"/>
    </row>
    <row r="8" spans="1:12" x14ac:dyDescent="0.35">
      <c r="A8" s="8"/>
      <c r="B8" s="9" t="s">
        <v>11</v>
      </c>
      <c r="C8" s="119"/>
      <c r="D8" s="13"/>
      <c r="E8" s="9" t="s">
        <v>12</v>
      </c>
      <c r="F8" s="119"/>
      <c r="G8" s="69">
        <f>SUM(G9:G24)</f>
        <v>2234926.6999999997</v>
      </c>
      <c r="H8" s="9"/>
      <c r="I8" s="69">
        <f>SUM(I9:I24)</f>
        <v>1075666.02</v>
      </c>
      <c r="J8" s="69">
        <f>SUM(J9:J24)</f>
        <v>1159260.68</v>
      </c>
      <c r="K8" s="69"/>
      <c r="L8" s="14"/>
    </row>
    <row r="9" spans="1:12" x14ac:dyDescent="0.35">
      <c r="A9" s="8"/>
      <c r="B9" s="9"/>
      <c r="C9" s="119" t="s">
        <v>13</v>
      </c>
      <c r="D9" s="13"/>
      <c r="E9" s="119"/>
      <c r="F9" s="9" t="s">
        <v>14</v>
      </c>
      <c r="G9" s="70"/>
      <c r="H9" s="16"/>
      <c r="I9" s="70"/>
      <c r="J9" s="70"/>
      <c r="K9" s="69">
        <f t="shared" ref="K9:K63" si="0">I9+J9</f>
        <v>0</v>
      </c>
      <c r="L9" s="17"/>
    </row>
    <row r="10" spans="1:12" x14ac:dyDescent="0.35">
      <c r="A10" s="8"/>
      <c r="B10" s="9"/>
      <c r="C10" s="119" t="s">
        <v>16</v>
      </c>
      <c r="D10" s="13"/>
      <c r="E10" s="119"/>
      <c r="F10" s="9" t="s">
        <v>17</v>
      </c>
      <c r="G10" s="70">
        <v>18066.77</v>
      </c>
      <c r="H10" s="16" t="s">
        <v>15</v>
      </c>
      <c r="I10" s="70">
        <v>18066.77</v>
      </c>
      <c r="J10" s="70"/>
      <c r="K10" s="69">
        <f t="shared" si="0"/>
        <v>18066.77</v>
      </c>
      <c r="L10" s="17"/>
    </row>
    <row r="11" spans="1:12" x14ac:dyDescent="0.35">
      <c r="A11" s="8"/>
      <c r="B11" s="9"/>
      <c r="C11" s="119" t="s">
        <v>18</v>
      </c>
      <c r="D11" s="13"/>
      <c r="E11" s="119"/>
      <c r="F11" s="9" t="s">
        <v>19</v>
      </c>
      <c r="G11" s="70">
        <v>727876.14</v>
      </c>
      <c r="H11" s="16" t="s">
        <v>15</v>
      </c>
      <c r="I11" s="70">
        <v>727876.14</v>
      </c>
      <c r="J11" s="70"/>
      <c r="K11" s="69">
        <f t="shared" si="0"/>
        <v>727876.14</v>
      </c>
      <c r="L11" s="17"/>
    </row>
    <row r="12" spans="1:12" x14ac:dyDescent="0.35">
      <c r="A12" s="8"/>
      <c r="B12" s="9"/>
      <c r="C12" s="119" t="s">
        <v>20</v>
      </c>
      <c r="D12" s="13"/>
      <c r="E12" s="119"/>
      <c r="F12" s="9" t="s">
        <v>21</v>
      </c>
      <c r="G12" s="70"/>
      <c r="H12" s="16"/>
      <c r="I12" s="70"/>
      <c r="J12" s="70"/>
      <c r="K12" s="69">
        <f t="shared" si="0"/>
        <v>0</v>
      </c>
      <c r="L12" s="17"/>
    </row>
    <row r="13" spans="1:12" x14ac:dyDescent="0.35">
      <c r="A13" s="8"/>
      <c r="B13" s="9"/>
      <c r="C13" s="119" t="s">
        <v>22</v>
      </c>
      <c r="D13" s="13"/>
      <c r="E13" s="119"/>
      <c r="F13" s="9" t="s">
        <v>23</v>
      </c>
      <c r="G13" s="70">
        <v>711620.6</v>
      </c>
      <c r="H13" s="16" t="s">
        <v>59</v>
      </c>
      <c r="I13" s="70">
        <v>242041.55</v>
      </c>
      <c r="J13" s="70">
        <v>469579.05</v>
      </c>
      <c r="K13" s="69">
        <f t="shared" si="0"/>
        <v>711620.6</v>
      </c>
      <c r="L13" s="17"/>
    </row>
    <row r="14" spans="1:12" x14ac:dyDescent="0.35">
      <c r="A14" s="8"/>
      <c r="B14" s="9"/>
      <c r="C14" s="119" t="s">
        <v>25</v>
      </c>
      <c r="D14" s="13"/>
      <c r="E14" s="119"/>
      <c r="F14" s="9" t="s">
        <v>26</v>
      </c>
      <c r="G14" s="70">
        <v>135821.64000000001</v>
      </c>
      <c r="H14" s="16" t="s">
        <v>24</v>
      </c>
      <c r="I14" s="70"/>
      <c r="J14" s="70">
        <v>135821.64000000001</v>
      </c>
      <c r="K14" s="69">
        <f t="shared" si="0"/>
        <v>135821.64000000001</v>
      </c>
      <c r="L14" s="17"/>
    </row>
    <row r="15" spans="1:12" x14ac:dyDescent="0.35">
      <c r="A15" s="8"/>
      <c r="B15" s="9"/>
      <c r="C15" s="119" t="s">
        <v>27</v>
      </c>
      <c r="D15" s="13"/>
      <c r="E15" s="119"/>
      <c r="F15" s="9" t="s">
        <v>28</v>
      </c>
      <c r="G15" s="70"/>
      <c r="H15" s="16"/>
      <c r="I15" s="70"/>
      <c r="J15" s="70"/>
      <c r="K15" s="69">
        <f t="shared" si="0"/>
        <v>0</v>
      </c>
      <c r="L15" s="17"/>
    </row>
    <row r="16" spans="1:12" x14ac:dyDescent="0.35">
      <c r="A16" s="8"/>
      <c r="B16" s="9"/>
      <c r="C16" s="119" t="s">
        <v>29</v>
      </c>
      <c r="D16" s="13"/>
      <c r="E16" s="119"/>
      <c r="F16" s="9" t="s">
        <v>30</v>
      </c>
      <c r="G16" s="70"/>
      <c r="H16" s="16"/>
      <c r="I16" s="70"/>
      <c r="J16" s="70"/>
      <c r="K16" s="69">
        <f t="shared" si="0"/>
        <v>0</v>
      </c>
      <c r="L16" s="17"/>
    </row>
    <row r="17" spans="1:12" x14ac:dyDescent="0.35">
      <c r="A17" s="8"/>
      <c r="B17" s="9"/>
      <c r="C17" s="119" t="s">
        <v>31</v>
      </c>
      <c r="D17" s="13"/>
      <c r="E17" s="119"/>
      <c r="F17" s="9" t="s">
        <v>32</v>
      </c>
      <c r="G17" s="70"/>
      <c r="H17" s="16"/>
      <c r="I17" s="70"/>
      <c r="J17" s="70"/>
      <c r="K17" s="69">
        <f t="shared" si="0"/>
        <v>0</v>
      </c>
      <c r="L17" s="17"/>
    </row>
    <row r="18" spans="1:12" x14ac:dyDescent="0.35">
      <c r="A18" s="8"/>
      <c r="B18" s="9"/>
      <c r="C18" s="119" t="s">
        <v>33</v>
      </c>
      <c r="D18" s="13"/>
      <c r="E18" s="119"/>
      <c r="F18" s="9" t="s">
        <v>34</v>
      </c>
      <c r="G18" s="70">
        <v>524171.94</v>
      </c>
      <c r="H18" s="16" t="s">
        <v>24</v>
      </c>
      <c r="I18" s="70"/>
      <c r="J18" s="70">
        <v>524171.94</v>
      </c>
      <c r="K18" s="69">
        <f t="shared" si="0"/>
        <v>524171.94</v>
      </c>
      <c r="L18" s="17"/>
    </row>
    <row r="19" spans="1:12" x14ac:dyDescent="0.35">
      <c r="A19" s="8"/>
      <c r="B19" s="9"/>
      <c r="C19" s="119" t="s">
        <v>35</v>
      </c>
      <c r="D19" s="13"/>
      <c r="E19" s="119"/>
      <c r="F19" s="9" t="s">
        <v>36</v>
      </c>
      <c r="G19" s="71"/>
      <c r="H19" s="16"/>
      <c r="I19" s="71"/>
      <c r="J19" s="71"/>
      <c r="K19" s="69">
        <f t="shared" si="0"/>
        <v>0</v>
      </c>
      <c r="L19" s="17"/>
    </row>
    <row r="20" spans="1:12" x14ac:dyDescent="0.35">
      <c r="A20" s="8"/>
      <c r="B20" s="9"/>
      <c r="C20" s="119" t="s">
        <v>37</v>
      </c>
      <c r="D20" s="13"/>
      <c r="E20" s="119"/>
      <c r="F20" s="9" t="s">
        <v>38</v>
      </c>
      <c r="G20" s="70">
        <v>87681.56</v>
      </c>
      <c r="H20" s="16" t="s">
        <v>15</v>
      </c>
      <c r="I20" s="70">
        <v>87681.56</v>
      </c>
      <c r="J20" s="70"/>
      <c r="K20" s="69">
        <f t="shared" si="0"/>
        <v>87681.56</v>
      </c>
      <c r="L20" s="17"/>
    </row>
    <row r="21" spans="1:12" x14ac:dyDescent="0.35">
      <c r="A21" s="8"/>
      <c r="B21" s="9"/>
      <c r="C21" s="119" t="s">
        <v>39</v>
      </c>
      <c r="D21" s="13"/>
      <c r="E21" s="119"/>
      <c r="F21" s="9" t="s">
        <v>40</v>
      </c>
      <c r="G21" s="70">
        <v>29688.05</v>
      </c>
      <c r="H21" s="16" t="s">
        <v>24</v>
      </c>
      <c r="I21" s="70"/>
      <c r="J21" s="70">
        <v>29688.05</v>
      </c>
      <c r="K21" s="69">
        <f t="shared" si="0"/>
        <v>29688.05</v>
      </c>
      <c r="L21" s="17"/>
    </row>
    <row r="22" spans="1:12" x14ac:dyDescent="0.35">
      <c r="A22" s="8"/>
      <c r="B22" s="9"/>
      <c r="C22" s="119" t="s">
        <v>41</v>
      </c>
      <c r="D22" s="13"/>
      <c r="E22" s="119"/>
      <c r="F22" s="9" t="s">
        <v>42</v>
      </c>
      <c r="G22" s="70"/>
      <c r="H22" s="16"/>
      <c r="I22" s="70"/>
      <c r="J22" s="70"/>
      <c r="K22" s="69">
        <f t="shared" si="0"/>
        <v>0</v>
      </c>
      <c r="L22" s="17"/>
    </row>
    <row r="23" spans="1:12" x14ac:dyDescent="0.35">
      <c r="A23" s="8"/>
      <c r="B23" s="9"/>
      <c r="C23" s="119" t="s">
        <v>43</v>
      </c>
      <c r="D23" s="13"/>
      <c r="E23" s="119"/>
      <c r="F23" s="9" t="s">
        <v>44</v>
      </c>
      <c r="G23" s="70"/>
      <c r="H23" s="16"/>
      <c r="I23" s="70"/>
      <c r="J23" s="70"/>
      <c r="K23" s="69">
        <f t="shared" si="0"/>
        <v>0</v>
      </c>
      <c r="L23" s="17"/>
    </row>
    <row r="24" spans="1:12" x14ac:dyDescent="0.35">
      <c r="A24" s="9"/>
      <c r="B24" s="9"/>
      <c r="C24" s="120" t="s">
        <v>45</v>
      </c>
      <c r="D24" s="13"/>
      <c r="E24" s="120"/>
      <c r="F24" s="9" t="s">
        <v>46</v>
      </c>
      <c r="G24" s="72"/>
      <c r="H24" s="16"/>
      <c r="I24" s="72"/>
      <c r="J24" s="72"/>
      <c r="K24" s="69">
        <f t="shared" si="0"/>
        <v>0</v>
      </c>
      <c r="L24" s="17"/>
    </row>
    <row r="25" spans="1:12" x14ac:dyDescent="0.35">
      <c r="A25" s="8"/>
      <c r="B25" s="9" t="s">
        <v>47</v>
      </c>
      <c r="C25" s="119"/>
      <c r="D25" s="13"/>
      <c r="E25" s="9" t="s">
        <v>48</v>
      </c>
      <c r="F25" s="119"/>
      <c r="G25" s="69">
        <f>SUM(G26:G41)</f>
        <v>923131.25</v>
      </c>
      <c r="H25" s="9"/>
      <c r="I25" s="69">
        <f>SUM(I26:I41)</f>
        <v>779579.02</v>
      </c>
      <c r="J25" s="69">
        <f>SUM(J26:J41)</f>
        <v>143552.23000000001</v>
      </c>
      <c r="K25" s="69"/>
      <c r="L25" s="14"/>
    </row>
    <row r="26" spans="1:12" x14ac:dyDescent="0.35">
      <c r="A26" s="8"/>
      <c r="B26" s="9"/>
      <c r="C26" s="119" t="s">
        <v>49</v>
      </c>
      <c r="D26" s="13"/>
      <c r="E26" s="119"/>
      <c r="F26" s="9" t="s">
        <v>50</v>
      </c>
      <c r="G26" s="70"/>
      <c r="H26" s="16"/>
      <c r="I26" s="70"/>
      <c r="J26" s="70"/>
      <c r="K26" s="69">
        <f t="shared" si="0"/>
        <v>0</v>
      </c>
      <c r="L26" s="17"/>
    </row>
    <row r="27" spans="1:12" x14ac:dyDescent="0.35">
      <c r="A27" s="8"/>
      <c r="B27" s="9"/>
      <c r="C27" s="119" t="s">
        <v>51</v>
      </c>
      <c r="D27" s="13"/>
      <c r="E27" s="119"/>
      <c r="F27" s="9" t="s">
        <v>52</v>
      </c>
      <c r="G27" s="70"/>
      <c r="H27" s="16"/>
      <c r="I27" s="70"/>
      <c r="J27" s="70"/>
      <c r="K27" s="69">
        <f t="shared" si="0"/>
        <v>0</v>
      </c>
      <c r="L27" s="17"/>
    </row>
    <row r="28" spans="1:12" x14ac:dyDescent="0.35">
      <c r="A28" s="8"/>
      <c r="B28" s="9"/>
      <c r="C28" s="119" t="s">
        <v>53</v>
      </c>
      <c r="D28" s="13"/>
      <c r="E28" s="119"/>
      <c r="F28" s="9" t="s">
        <v>54</v>
      </c>
      <c r="G28" s="70"/>
      <c r="H28" s="16"/>
      <c r="I28" s="70"/>
      <c r="J28" s="70"/>
      <c r="K28" s="69">
        <f t="shared" si="0"/>
        <v>0</v>
      </c>
      <c r="L28" s="17"/>
    </row>
    <row r="29" spans="1:12" x14ac:dyDescent="0.35">
      <c r="A29" s="8"/>
      <c r="B29" s="9"/>
      <c r="C29" s="119" t="s">
        <v>55</v>
      </c>
      <c r="D29" s="13"/>
      <c r="E29" s="119"/>
      <c r="F29" s="9" t="s">
        <v>56</v>
      </c>
      <c r="G29" s="70"/>
      <c r="H29" s="16"/>
      <c r="I29" s="70"/>
      <c r="J29" s="70"/>
      <c r="K29" s="69">
        <f t="shared" si="0"/>
        <v>0</v>
      </c>
      <c r="L29" s="17"/>
    </row>
    <row r="30" spans="1:12" x14ac:dyDescent="0.35">
      <c r="A30" s="8"/>
      <c r="B30" s="9"/>
      <c r="C30" s="119" t="s">
        <v>57</v>
      </c>
      <c r="D30" s="13"/>
      <c r="E30" s="119"/>
      <c r="F30" s="9" t="s">
        <v>58</v>
      </c>
      <c r="G30" s="70">
        <v>599469.18000000005</v>
      </c>
      <c r="H30" s="16" t="s">
        <v>59</v>
      </c>
      <c r="I30" s="70">
        <v>599469.18000000005</v>
      </c>
      <c r="J30" s="70"/>
      <c r="K30" s="69">
        <f t="shared" si="0"/>
        <v>599469.18000000005</v>
      </c>
      <c r="L30" s="17"/>
    </row>
    <row r="31" spans="1:12" x14ac:dyDescent="0.35">
      <c r="A31" s="8"/>
      <c r="B31" s="9"/>
      <c r="C31" s="119" t="s">
        <v>60</v>
      </c>
      <c r="D31" s="13"/>
      <c r="E31" s="119"/>
      <c r="F31" s="9" t="s">
        <v>61</v>
      </c>
      <c r="G31" s="70">
        <v>180109.84</v>
      </c>
      <c r="H31" s="16" t="s">
        <v>15</v>
      </c>
      <c r="I31" s="70">
        <v>180109.84</v>
      </c>
      <c r="J31" s="70"/>
      <c r="K31" s="69">
        <f t="shared" si="0"/>
        <v>180109.84</v>
      </c>
      <c r="L31" s="17"/>
    </row>
    <row r="32" spans="1:12" x14ac:dyDescent="0.35">
      <c r="A32" s="8"/>
      <c r="B32" s="9"/>
      <c r="C32" s="119" t="s">
        <v>62</v>
      </c>
      <c r="D32" s="13"/>
      <c r="E32" s="119"/>
      <c r="F32" s="9" t="s">
        <v>63</v>
      </c>
      <c r="G32" s="70"/>
      <c r="H32" s="16"/>
      <c r="I32" s="70"/>
      <c r="J32" s="70"/>
      <c r="K32" s="69">
        <f t="shared" si="0"/>
        <v>0</v>
      </c>
      <c r="L32" s="17"/>
    </row>
    <row r="33" spans="1:12" x14ac:dyDescent="0.35">
      <c r="A33" s="9"/>
      <c r="B33" s="9"/>
      <c r="C33" s="119" t="s">
        <v>64</v>
      </c>
      <c r="D33" s="9"/>
      <c r="E33" s="119"/>
      <c r="F33" s="9" t="s">
        <v>65</v>
      </c>
      <c r="G33" s="70"/>
      <c r="H33" s="16"/>
      <c r="I33" s="70"/>
      <c r="J33" s="70"/>
      <c r="K33" s="69">
        <f t="shared" si="0"/>
        <v>0</v>
      </c>
      <c r="L33" s="17"/>
    </row>
    <row r="34" spans="1:12" x14ac:dyDescent="0.35">
      <c r="A34" s="9"/>
      <c r="B34" s="9"/>
      <c r="C34" s="119" t="s">
        <v>66</v>
      </c>
      <c r="D34" s="9"/>
      <c r="E34" s="9"/>
      <c r="F34" s="9" t="s">
        <v>67</v>
      </c>
      <c r="G34" s="70"/>
      <c r="H34" s="16"/>
      <c r="I34" s="70"/>
      <c r="J34" s="70"/>
      <c r="K34" s="69">
        <f t="shared" si="0"/>
        <v>0</v>
      </c>
      <c r="L34" s="17"/>
    </row>
    <row r="35" spans="1:12" x14ac:dyDescent="0.35">
      <c r="A35" s="9"/>
      <c r="B35" s="9"/>
      <c r="C35" s="119" t="s">
        <v>68</v>
      </c>
      <c r="D35" s="9"/>
      <c r="E35" s="119"/>
      <c r="F35" s="9" t="s">
        <v>69</v>
      </c>
      <c r="G35" s="70"/>
      <c r="H35" s="16"/>
      <c r="I35" s="70"/>
      <c r="J35" s="70"/>
      <c r="K35" s="69">
        <f t="shared" si="0"/>
        <v>0</v>
      </c>
      <c r="L35" s="17"/>
    </row>
    <row r="36" spans="1:12" x14ac:dyDescent="0.35">
      <c r="A36" s="9"/>
      <c r="B36" s="9"/>
      <c r="C36" s="119" t="s">
        <v>70</v>
      </c>
      <c r="D36" s="9"/>
      <c r="E36" s="9"/>
      <c r="F36" s="9" t="s">
        <v>71</v>
      </c>
      <c r="G36" s="70"/>
      <c r="H36" s="16"/>
      <c r="I36" s="70"/>
      <c r="J36" s="70"/>
      <c r="K36" s="69">
        <f t="shared" si="0"/>
        <v>0</v>
      </c>
      <c r="L36" s="17"/>
    </row>
    <row r="37" spans="1:12" x14ac:dyDescent="0.35">
      <c r="A37" s="9"/>
      <c r="B37" s="9"/>
      <c r="C37" s="119" t="s">
        <v>72</v>
      </c>
      <c r="D37" s="9"/>
      <c r="E37" s="121"/>
      <c r="F37" s="9" t="s">
        <v>73</v>
      </c>
      <c r="G37" s="70"/>
      <c r="H37" s="16"/>
      <c r="I37" s="70"/>
      <c r="J37" s="70"/>
      <c r="K37" s="69">
        <f t="shared" si="0"/>
        <v>0</v>
      </c>
      <c r="L37" s="17"/>
    </row>
    <row r="38" spans="1:12" x14ac:dyDescent="0.35">
      <c r="A38" s="9"/>
      <c r="B38" s="9"/>
      <c r="C38" s="119" t="s">
        <v>74</v>
      </c>
      <c r="D38" s="9"/>
      <c r="E38" s="9"/>
      <c r="F38" s="9" t="s">
        <v>75</v>
      </c>
      <c r="G38" s="70"/>
      <c r="H38" s="16"/>
      <c r="I38" s="70"/>
      <c r="J38" s="70"/>
      <c r="K38" s="69">
        <f t="shared" si="0"/>
        <v>0</v>
      </c>
      <c r="L38" s="17"/>
    </row>
    <row r="39" spans="1:12" x14ac:dyDescent="0.35">
      <c r="A39" s="9"/>
      <c r="B39" s="9"/>
      <c r="C39" s="119" t="s">
        <v>76</v>
      </c>
      <c r="D39" s="9"/>
      <c r="E39" s="9"/>
      <c r="F39" s="9" t="s">
        <v>77</v>
      </c>
      <c r="G39" s="70"/>
      <c r="H39" s="16"/>
      <c r="I39" s="70"/>
      <c r="J39" s="70"/>
      <c r="K39" s="69">
        <f t="shared" si="0"/>
        <v>0</v>
      </c>
      <c r="L39" s="17"/>
    </row>
    <row r="40" spans="1:12" x14ac:dyDescent="0.35">
      <c r="A40" s="9"/>
      <c r="B40" s="9"/>
      <c r="C40" s="119" t="s">
        <v>78</v>
      </c>
      <c r="D40" s="9"/>
      <c r="E40" s="9"/>
      <c r="F40" s="9" t="s">
        <v>79</v>
      </c>
      <c r="G40" s="70">
        <v>143552.23000000001</v>
      </c>
      <c r="H40" s="16" t="s">
        <v>24</v>
      </c>
      <c r="I40" s="70"/>
      <c r="J40" s="70">
        <v>143552.23000000001</v>
      </c>
      <c r="K40" s="69">
        <f t="shared" si="0"/>
        <v>143552.23000000001</v>
      </c>
      <c r="L40" s="17"/>
    </row>
    <row r="41" spans="1:12" x14ac:dyDescent="0.35">
      <c r="A41" s="9"/>
      <c r="B41" s="9"/>
      <c r="C41" s="119" t="s">
        <v>80</v>
      </c>
      <c r="D41" s="9"/>
      <c r="E41" s="9"/>
      <c r="F41" s="9" t="s">
        <v>81</v>
      </c>
      <c r="G41" s="70"/>
      <c r="H41" s="16"/>
      <c r="I41" s="70"/>
      <c r="J41" s="70"/>
      <c r="K41" s="69">
        <f t="shared" si="0"/>
        <v>0</v>
      </c>
      <c r="L41" s="17"/>
    </row>
    <row r="42" spans="1:12" x14ac:dyDescent="0.35">
      <c r="A42" s="9"/>
      <c r="B42" s="9" t="s">
        <v>82</v>
      </c>
      <c r="C42" s="119"/>
      <c r="D42" s="9"/>
      <c r="E42" s="9" t="s">
        <v>83</v>
      </c>
      <c r="F42" s="9"/>
      <c r="G42" s="69">
        <f>SUM(G43:G63)</f>
        <v>4139765.8399999994</v>
      </c>
      <c r="H42" s="9"/>
      <c r="I42" s="69">
        <f>SUM(I43:I63)</f>
        <v>697214.34</v>
      </c>
      <c r="J42" s="69">
        <f>SUM(J43:J63)</f>
        <v>3442551.5</v>
      </c>
      <c r="K42" s="69"/>
      <c r="L42" s="14"/>
    </row>
    <row r="43" spans="1:12" x14ac:dyDescent="0.35">
      <c r="A43" s="9"/>
      <c r="B43" s="9"/>
      <c r="C43" s="119" t="s">
        <v>84</v>
      </c>
      <c r="D43" s="9"/>
      <c r="E43" s="9"/>
      <c r="F43" s="9" t="s">
        <v>85</v>
      </c>
      <c r="G43" s="70">
        <v>2363910.44</v>
      </c>
      <c r="H43" s="16" t="s">
        <v>24</v>
      </c>
      <c r="I43" s="70"/>
      <c r="J43" s="70">
        <v>2363910.44</v>
      </c>
      <c r="K43" s="69">
        <f t="shared" si="0"/>
        <v>2363910.44</v>
      </c>
      <c r="L43" s="17"/>
    </row>
    <row r="44" spans="1:12" x14ac:dyDescent="0.35">
      <c r="A44" s="9"/>
      <c r="B44" s="9"/>
      <c r="C44" s="119" t="s">
        <v>86</v>
      </c>
      <c r="D44" s="9"/>
      <c r="E44" s="9"/>
      <c r="F44" s="9" t="s">
        <v>87</v>
      </c>
      <c r="G44" s="70"/>
      <c r="H44" s="16"/>
      <c r="I44" s="70"/>
      <c r="J44" s="70"/>
      <c r="K44" s="69">
        <f t="shared" si="0"/>
        <v>0</v>
      </c>
      <c r="L44" s="17"/>
    </row>
    <row r="45" spans="1:12" x14ac:dyDescent="0.35">
      <c r="A45" s="9"/>
      <c r="B45" s="9"/>
      <c r="C45" s="119" t="s">
        <v>88</v>
      </c>
      <c r="D45" s="9"/>
      <c r="E45" s="9"/>
      <c r="F45" s="9" t="s">
        <v>89</v>
      </c>
      <c r="G45" s="70"/>
      <c r="H45" s="16"/>
      <c r="I45" s="70"/>
      <c r="J45" s="70"/>
      <c r="K45" s="69">
        <f t="shared" si="0"/>
        <v>0</v>
      </c>
      <c r="L45" s="17"/>
    </row>
    <row r="46" spans="1:12" x14ac:dyDescent="0.35">
      <c r="A46" s="9"/>
      <c r="B46" s="9"/>
      <c r="C46" s="119" t="s">
        <v>90</v>
      </c>
      <c r="D46" s="9"/>
      <c r="E46" s="9"/>
      <c r="F46" s="9" t="s">
        <v>91</v>
      </c>
      <c r="G46" s="70"/>
      <c r="H46" s="16"/>
      <c r="I46" s="70"/>
      <c r="J46" s="70"/>
      <c r="K46" s="69">
        <f t="shared" si="0"/>
        <v>0</v>
      </c>
      <c r="L46" s="17"/>
    </row>
    <row r="47" spans="1:12" x14ac:dyDescent="0.35">
      <c r="A47" s="9"/>
      <c r="B47" s="9"/>
      <c r="C47" s="119" t="s">
        <v>92</v>
      </c>
      <c r="D47" s="9"/>
      <c r="E47" s="9"/>
      <c r="F47" s="9" t="s">
        <v>93</v>
      </c>
      <c r="G47" s="70">
        <v>539782.16</v>
      </c>
      <c r="H47" s="16" t="s">
        <v>15</v>
      </c>
      <c r="I47" s="70">
        <v>539782.16</v>
      </c>
      <c r="J47" s="70"/>
      <c r="K47" s="69">
        <f t="shared" si="0"/>
        <v>539782.16</v>
      </c>
      <c r="L47" s="17"/>
    </row>
    <row r="48" spans="1:12" x14ac:dyDescent="0.35">
      <c r="A48" s="9"/>
      <c r="B48" s="9"/>
      <c r="C48" s="119" t="s">
        <v>94</v>
      </c>
      <c r="D48" s="9"/>
      <c r="E48" s="9"/>
      <c r="F48" s="9" t="s">
        <v>95</v>
      </c>
      <c r="G48" s="70"/>
      <c r="H48" s="16"/>
      <c r="I48" s="70"/>
      <c r="J48" s="70"/>
      <c r="K48" s="69">
        <f t="shared" si="0"/>
        <v>0</v>
      </c>
      <c r="L48" s="17"/>
    </row>
    <row r="49" spans="1:12" x14ac:dyDescent="0.35">
      <c r="A49" s="9"/>
      <c r="B49" s="9"/>
      <c r="C49" s="119" t="s">
        <v>96</v>
      </c>
      <c r="D49" s="9"/>
      <c r="E49" s="9"/>
      <c r="F49" s="9" t="s">
        <v>97</v>
      </c>
      <c r="G49" s="70">
        <v>100907.86</v>
      </c>
      <c r="H49" s="16" t="s">
        <v>15</v>
      </c>
      <c r="I49" s="70">
        <v>100907.86</v>
      </c>
      <c r="J49" s="70"/>
      <c r="K49" s="69">
        <f t="shared" si="0"/>
        <v>100907.86</v>
      </c>
      <c r="L49" s="17"/>
    </row>
    <row r="50" spans="1:12" x14ac:dyDescent="0.35">
      <c r="A50" s="9"/>
      <c r="B50" s="9"/>
      <c r="C50" s="119" t="s">
        <v>98</v>
      </c>
      <c r="D50" s="9"/>
      <c r="E50" s="9"/>
      <c r="F50" s="9" t="s">
        <v>99</v>
      </c>
      <c r="G50" s="70"/>
      <c r="H50" s="16"/>
      <c r="I50" s="70"/>
      <c r="J50" s="70"/>
      <c r="K50" s="69">
        <f t="shared" si="0"/>
        <v>0</v>
      </c>
      <c r="L50" s="17"/>
    </row>
    <row r="51" spans="1:12" x14ac:dyDescent="0.35">
      <c r="A51" s="9"/>
      <c r="B51" s="9"/>
      <c r="C51" s="119" t="s">
        <v>100</v>
      </c>
      <c r="D51" s="9"/>
      <c r="E51" s="9"/>
      <c r="F51" s="9" t="s">
        <v>101</v>
      </c>
      <c r="G51" s="70"/>
      <c r="H51" s="16"/>
      <c r="I51" s="70"/>
      <c r="J51" s="70"/>
      <c r="K51" s="69">
        <f t="shared" si="0"/>
        <v>0</v>
      </c>
      <c r="L51" s="17"/>
    </row>
    <row r="52" spans="1:12" x14ac:dyDescent="0.35">
      <c r="A52" s="9"/>
      <c r="B52" s="9"/>
      <c r="C52" s="119" t="s">
        <v>102</v>
      </c>
      <c r="D52" s="9"/>
      <c r="E52" s="9"/>
      <c r="F52" s="9" t="s">
        <v>103</v>
      </c>
      <c r="G52" s="70"/>
      <c r="H52" s="16"/>
      <c r="I52" s="70"/>
      <c r="J52" s="70"/>
      <c r="K52" s="69">
        <f t="shared" si="0"/>
        <v>0</v>
      </c>
      <c r="L52" s="17"/>
    </row>
    <row r="53" spans="1:12" x14ac:dyDescent="0.35">
      <c r="A53" s="9"/>
      <c r="B53" s="9"/>
      <c r="C53" s="119" t="s">
        <v>104</v>
      </c>
      <c r="D53" s="9"/>
      <c r="E53" s="9"/>
      <c r="F53" s="9" t="s">
        <v>105</v>
      </c>
      <c r="G53" s="70"/>
      <c r="H53" s="16"/>
      <c r="I53" s="70"/>
      <c r="J53" s="70"/>
      <c r="K53" s="69">
        <f t="shared" si="0"/>
        <v>0</v>
      </c>
      <c r="L53" s="17"/>
    </row>
    <row r="54" spans="1:12" x14ac:dyDescent="0.35">
      <c r="A54" s="9"/>
      <c r="B54" s="9"/>
      <c r="C54" s="119" t="s">
        <v>106</v>
      </c>
      <c r="D54" s="9"/>
      <c r="E54" s="9"/>
      <c r="F54" s="9" t="s">
        <v>107</v>
      </c>
      <c r="G54" s="70">
        <v>3480.59</v>
      </c>
      <c r="H54" s="16" t="s">
        <v>24</v>
      </c>
      <c r="I54" s="70"/>
      <c r="J54" s="70">
        <v>3480.59</v>
      </c>
      <c r="K54" s="69">
        <f t="shared" si="0"/>
        <v>3480.59</v>
      </c>
      <c r="L54" s="17"/>
    </row>
    <row r="55" spans="1:12" x14ac:dyDescent="0.35">
      <c r="A55" s="9"/>
      <c r="B55" s="9"/>
      <c r="C55" s="119" t="s">
        <v>108</v>
      </c>
      <c r="D55" s="9"/>
      <c r="E55" s="9"/>
      <c r="F55" s="9" t="s">
        <v>109</v>
      </c>
      <c r="G55" s="70">
        <v>174325.76000000001</v>
      </c>
      <c r="H55" s="16" t="s">
        <v>24</v>
      </c>
      <c r="I55" s="70"/>
      <c r="J55" s="70">
        <v>174325.76000000001</v>
      </c>
      <c r="K55" s="69">
        <f t="shared" si="0"/>
        <v>174325.76000000001</v>
      </c>
      <c r="L55" s="17"/>
    </row>
    <row r="56" spans="1:12" x14ac:dyDescent="0.35">
      <c r="A56" s="9"/>
      <c r="B56" s="9"/>
      <c r="C56" s="119" t="s">
        <v>110</v>
      </c>
      <c r="D56" s="9"/>
      <c r="E56" s="9"/>
      <c r="F56" s="9" t="s">
        <v>111</v>
      </c>
      <c r="G56" s="70">
        <v>63523.82</v>
      </c>
      <c r="H56" s="16" t="s">
        <v>24</v>
      </c>
      <c r="I56" s="70"/>
      <c r="J56" s="70">
        <v>63523.82</v>
      </c>
      <c r="K56" s="69">
        <f t="shared" si="0"/>
        <v>63523.82</v>
      </c>
      <c r="L56" s="17"/>
    </row>
    <row r="57" spans="1:12" x14ac:dyDescent="0.35">
      <c r="A57" s="9"/>
      <c r="B57" s="9"/>
      <c r="C57" s="119" t="s">
        <v>112</v>
      </c>
      <c r="D57" s="9"/>
      <c r="E57" s="9"/>
      <c r="F57" s="9" t="s">
        <v>113</v>
      </c>
      <c r="G57" s="70">
        <v>14325.81</v>
      </c>
      <c r="H57" s="16" t="s">
        <v>24</v>
      </c>
      <c r="I57" s="70"/>
      <c r="J57" s="70">
        <v>14325.81</v>
      </c>
      <c r="K57" s="69">
        <f t="shared" si="0"/>
        <v>14325.81</v>
      </c>
      <c r="L57" s="17"/>
    </row>
    <row r="58" spans="1:12" x14ac:dyDescent="0.35">
      <c r="A58" s="9"/>
      <c r="B58" s="9"/>
      <c r="C58" s="119" t="s">
        <v>114</v>
      </c>
      <c r="D58" s="9"/>
      <c r="E58" s="9"/>
      <c r="F58" s="9" t="s">
        <v>115</v>
      </c>
      <c r="G58" s="70"/>
      <c r="H58" s="16"/>
      <c r="I58" s="70"/>
      <c r="J58" s="70"/>
      <c r="K58" s="69">
        <f t="shared" si="0"/>
        <v>0</v>
      </c>
      <c r="L58" s="17"/>
    </row>
    <row r="59" spans="1:12" x14ac:dyDescent="0.35">
      <c r="A59" s="9"/>
      <c r="B59" s="9"/>
      <c r="C59" s="119" t="s">
        <v>116</v>
      </c>
      <c r="D59" s="9"/>
      <c r="E59" s="9"/>
      <c r="F59" s="9" t="s">
        <v>117</v>
      </c>
      <c r="G59" s="70">
        <v>231932.9</v>
      </c>
      <c r="H59" s="16" t="s">
        <v>24</v>
      </c>
      <c r="I59" s="70"/>
      <c r="J59" s="70">
        <v>231932.9</v>
      </c>
      <c r="K59" s="69">
        <f t="shared" si="0"/>
        <v>231932.9</v>
      </c>
      <c r="L59" s="17"/>
    </row>
    <row r="60" spans="1:12" x14ac:dyDescent="0.35">
      <c r="A60" s="9"/>
      <c r="B60" s="9"/>
      <c r="C60" s="119" t="s">
        <v>118</v>
      </c>
      <c r="D60" s="9"/>
      <c r="E60" s="9"/>
      <c r="F60" s="9" t="s">
        <v>119</v>
      </c>
      <c r="G60" s="70">
        <v>26657.56</v>
      </c>
      <c r="H60" s="16" t="s">
        <v>24</v>
      </c>
      <c r="I60" s="70"/>
      <c r="J60" s="70">
        <v>26657.56</v>
      </c>
      <c r="K60" s="69">
        <f t="shared" si="0"/>
        <v>26657.56</v>
      </c>
      <c r="L60" s="17"/>
    </row>
    <row r="61" spans="1:12" x14ac:dyDescent="0.35">
      <c r="A61" s="9"/>
      <c r="B61" s="9"/>
      <c r="C61" s="119" t="s">
        <v>120</v>
      </c>
      <c r="D61" s="9"/>
      <c r="E61" s="9"/>
      <c r="F61" s="9" t="s">
        <v>121</v>
      </c>
      <c r="G61" s="70">
        <v>56524.32</v>
      </c>
      <c r="H61" s="16" t="s">
        <v>15</v>
      </c>
      <c r="I61" s="70">
        <v>56524.32</v>
      </c>
      <c r="J61" s="70"/>
      <c r="K61" s="69">
        <f t="shared" si="0"/>
        <v>56524.32</v>
      </c>
      <c r="L61" s="17"/>
    </row>
    <row r="62" spans="1:12" x14ac:dyDescent="0.35">
      <c r="A62" s="9"/>
      <c r="B62" s="9"/>
      <c r="C62" s="119" t="s">
        <v>122</v>
      </c>
      <c r="D62" s="9"/>
      <c r="E62" s="9"/>
      <c r="F62" s="9" t="s">
        <v>123</v>
      </c>
      <c r="G62" s="70">
        <v>540578.64</v>
      </c>
      <c r="H62" s="16" t="s">
        <v>24</v>
      </c>
      <c r="I62" s="70"/>
      <c r="J62" s="70">
        <v>540578.64</v>
      </c>
      <c r="K62" s="69">
        <f t="shared" si="0"/>
        <v>540578.64</v>
      </c>
      <c r="L62" s="17"/>
    </row>
    <row r="63" spans="1:12" x14ac:dyDescent="0.35">
      <c r="A63" s="9"/>
      <c r="B63" s="9"/>
      <c r="C63" s="119" t="s">
        <v>124</v>
      </c>
      <c r="D63" s="9"/>
      <c r="E63" s="9"/>
      <c r="F63" s="9" t="s">
        <v>125</v>
      </c>
      <c r="G63" s="70">
        <v>23815.98</v>
      </c>
      <c r="H63" s="16" t="s">
        <v>24</v>
      </c>
      <c r="I63" s="70"/>
      <c r="J63" s="70">
        <v>23815.98</v>
      </c>
      <c r="K63" s="69">
        <f t="shared" si="0"/>
        <v>23815.98</v>
      </c>
      <c r="L63" s="17"/>
    </row>
    <row r="64" spans="1:12" hidden="1" x14ac:dyDescent="0.35">
      <c r="A64" s="9"/>
      <c r="B64" s="9" t="s">
        <v>126</v>
      </c>
      <c r="C64" s="119"/>
      <c r="D64" s="9"/>
      <c r="E64" s="9" t="s">
        <v>127</v>
      </c>
      <c r="F64" s="9"/>
      <c r="G64" s="69"/>
      <c r="H64" s="9"/>
      <c r="I64" s="69"/>
      <c r="J64" s="69"/>
      <c r="K64" s="69"/>
      <c r="L64" s="14"/>
    </row>
    <row r="65" spans="1:12" hidden="1" x14ac:dyDescent="0.35">
      <c r="A65" s="9"/>
      <c r="B65" s="9" t="s">
        <v>128</v>
      </c>
      <c r="C65" s="119"/>
      <c r="D65" s="9"/>
      <c r="E65" s="9" t="s">
        <v>127</v>
      </c>
      <c r="F65" s="9"/>
      <c r="G65" s="69"/>
      <c r="H65" s="9"/>
      <c r="I65" s="69"/>
      <c r="J65" s="69"/>
      <c r="K65" s="69"/>
      <c r="L65" s="14"/>
    </row>
    <row r="66" spans="1:12" x14ac:dyDescent="0.35">
      <c r="A66" s="9"/>
      <c r="B66" s="9" t="s">
        <v>129</v>
      </c>
      <c r="C66" s="119"/>
      <c r="D66" s="9"/>
      <c r="E66" s="9" t="s">
        <v>130</v>
      </c>
      <c r="F66" s="9"/>
      <c r="G66" s="69">
        <f>SUM(G67:G69)</f>
        <v>0</v>
      </c>
      <c r="H66" s="9"/>
      <c r="I66" s="69">
        <f>SUM(I67:I69)</f>
        <v>0</v>
      </c>
      <c r="J66" s="69">
        <f>SUM(J67:J69)</f>
        <v>0</v>
      </c>
      <c r="K66" s="69"/>
      <c r="L66" s="14"/>
    </row>
    <row r="67" spans="1:12" x14ac:dyDescent="0.35">
      <c r="A67" s="9"/>
      <c r="B67" s="9"/>
      <c r="C67" s="119" t="s">
        <v>131</v>
      </c>
      <c r="D67" s="9"/>
      <c r="E67" s="9"/>
      <c r="F67" s="9" t="s">
        <v>132</v>
      </c>
      <c r="G67" s="70"/>
      <c r="H67" s="16"/>
      <c r="I67" s="70"/>
      <c r="J67" s="70">
        <v>0</v>
      </c>
      <c r="K67" s="69">
        <f t="shared" ref="K67:K69" si="1">I67+J67</f>
        <v>0</v>
      </c>
      <c r="L67" s="17"/>
    </row>
    <row r="68" spans="1:12" x14ac:dyDescent="0.35">
      <c r="A68" s="9"/>
      <c r="B68" s="9"/>
      <c r="C68" s="119" t="s">
        <v>133</v>
      </c>
      <c r="D68" s="9"/>
      <c r="E68" s="9"/>
      <c r="F68" s="9" t="s">
        <v>134</v>
      </c>
      <c r="G68" s="70"/>
      <c r="H68" s="16"/>
      <c r="I68" s="70"/>
      <c r="J68" s="70"/>
      <c r="K68" s="69">
        <f t="shared" si="1"/>
        <v>0</v>
      </c>
      <c r="L68" s="17"/>
    </row>
    <row r="69" spans="1:12" x14ac:dyDescent="0.35">
      <c r="A69" s="9"/>
      <c r="B69" s="9"/>
      <c r="C69" s="119" t="s">
        <v>135</v>
      </c>
      <c r="D69" s="9"/>
      <c r="E69" s="9"/>
      <c r="F69" s="9" t="s">
        <v>136</v>
      </c>
      <c r="G69" s="70"/>
      <c r="H69" s="16"/>
      <c r="I69" s="70"/>
      <c r="J69" s="70"/>
      <c r="K69" s="69">
        <f t="shared" si="1"/>
        <v>0</v>
      </c>
      <c r="L69" s="17"/>
    </row>
    <row r="70" spans="1:12" x14ac:dyDescent="0.35">
      <c r="A70" s="9"/>
      <c r="B70" s="9" t="s">
        <v>137</v>
      </c>
      <c r="C70" s="119"/>
      <c r="D70" s="9"/>
      <c r="E70" s="9" t="s">
        <v>138</v>
      </c>
      <c r="F70" s="9"/>
      <c r="G70" s="69">
        <f>SUM(G71:G73)</f>
        <v>999733.83</v>
      </c>
      <c r="H70" s="9"/>
      <c r="I70" s="69">
        <f>SUM(I71:I73)</f>
        <v>516402.7</v>
      </c>
      <c r="J70" s="69">
        <f>SUM(J71:J73)</f>
        <v>483331.13</v>
      </c>
      <c r="K70" s="69"/>
      <c r="L70" s="14"/>
    </row>
    <row r="71" spans="1:12" x14ac:dyDescent="0.35">
      <c r="A71" s="9"/>
      <c r="B71" s="9"/>
      <c r="C71" s="119" t="s">
        <v>139</v>
      </c>
      <c r="D71" s="9"/>
      <c r="E71" s="9"/>
      <c r="F71" s="9" t="s">
        <v>140</v>
      </c>
      <c r="G71" s="70"/>
      <c r="H71" s="16"/>
      <c r="I71" s="70"/>
      <c r="J71" s="70"/>
      <c r="K71" s="69">
        <f t="shared" ref="K71:K73" si="2">I71+J71</f>
        <v>0</v>
      </c>
      <c r="L71" s="17"/>
    </row>
    <row r="72" spans="1:12" x14ac:dyDescent="0.35">
      <c r="A72" s="9"/>
      <c r="B72" s="9"/>
      <c r="C72" s="119" t="s">
        <v>141</v>
      </c>
      <c r="D72" s="9"/>
      <c r="E72" s="9"/>
      <c r="F72" s="9" t="s">
        <v>142</v>
      </c>
      <c r="G72" s="70">
        <v>634356.84</v>
      </c>
      <c r="H72" s="16" t="s">
        <v>59</v>
      </c>
      <c r="I72" s="70">
        <v>516402.7</v>
      </c>
      <c r="J72" s="70">
        <v>117954.14</v>
      </c>
      <c r="K72" s="69">
        <f t="shared" si="2"/>
        <v>634356.84</v>
      </c>
      <c r="L72" s="17"/>
    </row>
    <row r="73" spans="1:12" x14ac:dyDescent="0.35">
      <c r="A73" s="9"/>
      <c r="B73" s="9"/>
      <c r="C73" s="119" t="s">
        <v>143</v>
      </c>
      <c r="D73" s="9"/>
      <c r="E73" s="9"/>
      <c r="F73" s="9" t="s">
        <v>144</v>
      </c>
      <c r="G73" s="70">
        <v>365376.99</v>
      </c>
      <c r="H73" s="16" t="s">
        <v>24</v>
      </c>
      <c r="I73" s="70"/>
      <c r="J73" s="70">
        <v>365376.99</v>
      </c>
      <c r="K73" s="69">
        <f t="shared" si="2"/>
        <v>365376.99</v>
      </c>
      <c r="L73" s="17"/>
    </row>
    <row r="74" spans="1:12" hidden="1" x14ac:dyDescent="0.35">
      <c r="A74" s="9"/>
      <c r="B74" s="9" t="s">
        <v>145</v>
      </c>
      <c r="C74" s="119"/>
      <c r="D74" s="9"/>
      <c r="E74" s="9" t="s">
        <v>127</v>
      </c>
      <c r="F74" s="9"/>
      <c r="G74" s="69"/>
      <c r="H74" s="9"/>
      <c r="I74" s="69"/>
      <c r="J74" s="69"/>
      <c r="K74" s="69"/>
      <c r="L74" s="14"/>
    </row>
    <row r="75" spans="1:12" hidden="1" x14ac:dyDescent="0.35">
      <c r="A75" s="9"/>
      <c r="B75" s="9" t="s">
        <v>146</v>
      </c>
      <c r="C75" s="119"/>
      <c r="D75" s="9"/>
      <c r="E75" s="9" t="s">
        <v>127</v>
      </c>
      <c r="F75" s="9"/>
      <c r="G75" s="69"/>
      <c r="H75" s="9"/>
      <c r="I75" s="69"/>
      <c r="J75" s="69"/>
      <c r="K75" s="69"/>
      <c r="L75" s="14"/>
    </row>
    <row r="76" spans="1:12" s="7" customFormat="1" x14ac:dyDescent="0.35">
      <c r="A76" s="4" t="s">
        <v>147</v>
      </c>
      <c r="B76" s="4"/>
      <c r="C76" s="122"/>
      <c r="D76" s="4"/>
      <c r="E76" s="4"/>
      <c r="F76" s="4"/>
      <c r="G76" s="138">
        <f>G8+G25+G42+G66+G70</f>
        <v>8297557.6199999992</v>
      </c>
      <c r="H76" s="88"/>
      <c r="I76" s="138">
        <f>I8+I25+I42+I66+I70</f>
        <v>3068862.08</v>
      </c>
      <c r="J76" s="138">
        <f>J8+J25+J42+J66+J70</f>
        <v>5228695.54</v>
      </c>
      <c r="K76" s="69">
        <f t="shared" ref="K76" si="3">I76+J76</f>
        <v>8297557.6200000001</v>
      </c>
      <c r="L76" s="25"/>
    </row>
    <row r="77" spans="1:12" x14ac:dyDescent="0.35">
      <c r="F77" s="139" t="s">
        <v>200</v>
      </c>
      <c r="G77" s="140">
        <f>'[11]CA2 Detail'!L173</f>
        <v>8297557.620000001</v>
      </c>
      <c r="H77" s="13"/>
      <c r="I77" s="89">
        <f>I76/G76</f>
        <v>0.36985125268705277</v>
      </c>
      <c r="J77" s="89">
        <f>J76/G76</f>
        <v>0.63014874731294734</v>
      </c>
      <c r="K77" s="27"/>
    </row>
    <row r="79" spans="1:12" x14ac:dyDescent="0.35">
      <c r="F79" s="142" t="s">
        <v>201</v>
      </c>
    </row>
    <row r="80" spans="1:12" hidden="1" x14ac:dyDescent="0.35">
      <c r="H80" t="s">
        <v>15</v>
      </c>
    </row>
    <row r="81" spans="3:11" hidden="1" x14ac:dyDescent="0.35">
      <c r="C81"/>
      <c r="H81" t="s">
        <v>24</v>
      </c>
    </row>
    <row r="82" spans="3:11" hidden="1" x14ac:dyDescent="0.35">
      <c r="C82"/>
      <c r="H82" t="s">
        <v>59</v>
      </c>
    </row>
    <row r="83" spans="3:11" x14ac:dyDescent="0.35">
      <c r="C83"/>
      <c r="H83" s="139" t="s">
        <v>202</v>
      </c>
      <c r="I83" s="69">
        <f>'[11]CA2 Detail'!W121-'[11]CA2 Detail'!J203</f>
        <v>30517732.030000001</v>
      </c>
      <c r="J83" s="161">
        <f>I76/I83</f>
        <v>0.10055996549754094</v>
      </c>
      <c r="K83" s="142" t="s">
        <v>203</v>
      </c>
    </row>
    <row r="97" customFormat="1" x14ac:dyDescent="0.35"/>
    <row r="98" customFormat="1" x14ac:dyDescent="0.35"/>
    <row r="99" customFormat="1" x14ac:dyDescent="0.35"/>
    <row r="100" customFormat="1" x14ac:dyDescent="0.35"/>
    <row r="101" customFormat="1" x14ac:dyDescent="0.35"/>
    <row r="102" customFormat="1" x14ac:dyDescent="0.35"/>
    <row r="103" customFormat="1" x14ac:dyDescent="0.35"/>
    <row r="104" customFormat="1" x14ac:dyDescent="0.35"/>
    <row r="105" customFormat="1" x14ac:dyDescent="0.35"/>
    <row r="106" customFormat="1" x14ac:dyDescent="0.35"/>
    <row r="107" customFormat="1" x14ac:dyDescent="0.35"/>
    <row r="108" customFormat="1" x14ac:dyDescent="0.35"/>
    <row r="109" customFormat="1" x14ac:dyDescent="0.35"/>
    <row r="113" ht="15" hidden="1" customHeight="1" x14ac:dyDescent="0.35"/>
    <row r="114" ht="15" hidden="1" customHeight="1" x14ac:dyDescent="0.35"/>
    <row r="115" ht="15" hidden="1" customHeight="1" x14ac:dyDescent="0.35"/>
    <row r="116" ht="15" hidden="1" customHeight="1" x14ac:dyDescent="0.35"/>
    <row r="117" ht="15" hidden="1" customHeight="1" x14ac:dyDescent="0.35"/>
    <row r="118" ht="15" hidden="1" customHeight="1" x14ac:dyDescent="0.35"/>
    <row r="119" ht="15" hidden="1" customHeight="1" x14ac:dyDescent="0.35"/>
    <row r="120" ht="15" hidden="1" customHeight="1" x14ac:dyDescent="0.35"/>
    <row r="121" ht="15" hidden="1" customHeight="1" x14ac:dyDescent="0.35"/>
    <row r="122" ht="15" hidden="1" customHeight="1" x14ac:dyDescent="0.35"/>
    <row r="123" ht="15" hidden="1" customHeight="1" x14ac:dyDescent="0.35"/>
    <row r="124" ht="15" hidden="1" customHeight="1" x14ac:dyDescent="0.35"/>
    <row r="125" ht="15" hidden="1" customHeight="1" x14ac:dyDescent="0.35"/>
    <row r="126" ht="15" hidden="1" customHeight="1" x14ac:dyDescent="0.35"/>
    <row r="127" ht="15" hidden="1" customHeight="1" x14ac:dyDescent="0.35"/>
    <row r="128" ht="15" hidden="1" customHeight="1" x14ac:dyDescent="0.35"/>
    <row r="129" ht="15" hidden="1" customHeight="1" x14ac:dyDescent="0.35"/>
    <row r="130" ht="15" hidden="1" customHeight="1" x14ac:dyDescent="0.35"/>
    <row r="131" ht="15" hidden="1" customHeight="1" x14ac:dyDescent="0.35"/>
    <row r="132" ht="15" hidden="1" customHeight="1" x14ac:dyDescent="0.35"/>
    <row r="133" ht="15" hidden="1" customHeight="1" x14ac:dyDescent="0.35"/>
    <row r="134" ht="15" hidden="1" customHeight="1" x14ac:dyDescent="0.35"/>
    <row r="135" ht="15" hidden="1" customHeight="1" x14ac:dyDescent="0.35"/>
    <row r="136" ht="15" hidden="1" customHeight="1" x14ac:dyDescent="0.35"/>
    <row r="137" ht="15" hidden="1" customHeight="1" x14ac:dyDescent="0.35"/>
    <row r="138" ht="15" hidden="1" customHeight="1" x14ac:dyDescent="0.35"/>
    <row r="139" ht="15" hidden="1" customHeight="1" x14ac:dyDescent="0.35"/>
    <row r="140" ht="15" hidden="1" customHeight="1" x14ac:dyDescent="0.35"/>
  </sheetData>
  <conditionalFormatting sqref="G76">
    <cfRule type="cellIs" dxfId="243" priority="1" operator="notEqual">
      <formula>$G$77</formula>
    </cfRule>
    <cfRule type="cellIs" dxfId="242" priority="2" operator="equal">
      <formula>$G$77</formula>
    </cfRule>
  </conditionalFormatting>
  <conditionalFormatting sqref="K9:K24">
    <cfRule type="cellIs" dxfId="241" priority="13" operator="notEqual">
      <formula>G9</formula>
    </cfRule>
    <cfRule type="cellIs" dxfId="240" priority="14" operator="equal">
      <formula>G9</formula>
    </cfRule>
  </conditionalFormatting>
  <conditionalFormatting sqref="K26:K41">
    <cfRule type="cellIs" dxfId="239" priority="11" operator="notEqual">
      <formula>G26</formula>
    </cfRule>
    <cfRule type="cellIs" dxfId="238" priority="12" operator="equal">
      <formula>G26</formula>
    </cfRule>
  </conditionalFormatting>
  <conditionalFormatting sqref="K43:K63">
    <cfRule type="cellIs" dxfId="237" priority="9" operator="notEqual">
      <formula>G43</formula>
    </cfRule>
    <cfRule type="cellIs" dxfId="236" priority="10" operator="equal">
      <formula>G43</formula>
    </cfRule>
  </conditionalFormatting>
  <conditionalFormatting sqref="K67:K69">
    <cfRule type="cellIs" dxfId="235" priority="7" operator="notEqual">
      <formula>G67</formula>
    </cfRule>
    <cfRule type="cellIs" dxfId="234" priority="8" operator="equal">
      <formula>G67</formula>
    </cfRule>
  </conditionalFormatting>
  <conditionalFormatting sqref="K71:K73">
    <cfRule type="cellIs" dxfId="233" priority="5" operator="notEqual">
      <formula>G71</formula>
    </cfRule>
    <cfRule type="cellIs" dxfId="232" priority="6" operator="equal">
      <formula>G71</formula>
    </cfRule>
  </conditionalFormatting>
  <conditionalFormatting sqref="K76">
    <cfRule type="cellIs" dxfId="231" priority="3" operator="notEqual">
      <formula>G76</formula>
    </cfRule>
    <cfRule type="cellIs" dxfId="230" priority="4" operator="equal">
      <formula>G76</formula>
    </cfRule>
  </conditionalFormatting>
  <dataValidations count="1">
    <dataValidation type="list" allowBlank="1" showInputMessage="1" showErrorMessage="1" sqref="H9:H75" xr:uid="{0E805EA9-5EBF-48C7-9774-4DE16B9E3320}">
      <formula1>$H$80:$H$82</formula1>
    </dataValidation>
  </dataValidations>
  <pageMargins left="0.7" right="0.7" top="0.75" bottom="0.75" header="0.3" footer="0.3"/>
  <pageSetup scale="39" orientation="landscape"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00B0F0"/>
    <pageSetUpPr fitToPage="1"/>
  </sheetPr>
  <dimension ref="A1:L140"/>
  <sheetViews>
    <sheetView workbookViewId="0"/>
  </sheetViews>
  <sheetFormatPr defaultColWidth="9.1796875" defaultRowHeight="14.5" x14ac:dyDescent="0.35"/>
  <cols>
    <col min="1" max="2" width="2.81640625" style="144" customWidth="1"/>
    <col min="3" max="3" width="10.453125" style="165" bestFit="1" customWidth="1"/>
    <col min="4" max="5" width="2.81640625" style="144" customWidth="1"/>
    <col min="6" max="6" width="80.7265625" style="144" bestFit="1" customWidth="1"/>
    <col min="7" max="7" width="27.81640625" style="144" customWidth="1"/>
    <col min="8" max="8" width="15.26953125" style="144" bestFit="1" customWidth="1"/>
    <col min="9" max="9" width="27.26953125" style="144" customWidth="1"/>
    <col min="10" max="10" width="26.81640625" style="144" customWidth="1"/>
    <col min="11" max="11" width="25.81640625" style="144" customWidth="1"/>
    <col min="12" max="12" width="82.54296875" style="144" customWidth="1"/>
    <col min="13" max="16384" width="9.1796875" style="144"/>
  </cols>
  <sheetData>
    <row r="1" spans="1:12" x14ac:dyDescent="0.35">
      <c r="A1" s="198"/>
      <c r="B1" s="198"/>
      <c r="C1" s="198"/>
      <c r="D1" s="198"/>
      <c r="E1" s="198"/>
      <c r="F1" s="198"/>
      <c r="G1" s="198"/>
      <c r="H1" s="198"/>
      <c r="I1" s="198" t="s">
        <v>0</v>
      </c>
      <c r="J1" s="198"/>
      <c r="K1" s="198"/>
      <c r="L1" s="198"/>
    </row>
    <row r="2" spans="1:12" x14ac:dyDescent="0.35">
      <c r="A2" s="198"/>
      <c r="B2" s="198"/>
      <c r="C2" s="198"/>
      <c r="D2" s="198"/>
      <c r="E2" s="198"/>
      <c r="F2" s="198"/>
      <c r="G2" s="198"/>
      <c r="H2" s="198"/>
      <c r="I2" s="199" t="s">
        <v>197</v>
      </c>
      <c r="J2" s="198"/>
      <c r="K2" s="198"/>
      <c r="L2" s="198"/>
    </row>
    <row r="3" spans="1:12" x14ac:dyDescent="0.35">
      <c r="A3" s="200" t="s">
        <v>198</v>
      </c>
      <c r="B3" s="199"/>
      <c r="C3" s="199"/>
      <c r="D3" s="199"/>
      <c r="E3" s="199"/>
      <c r="F3" s="199"/>
      <c r="G3" s="199"/>
      <c r="H3" s="199"/>
      <c r="I3" s="199"/>
      <c r="J3" s="199"/>
      <c r="K3" s="199"/>
      <c r="L3" s="199"/>
    </row>
    <row r="4" spans="1:12" ht="19.5" customHeight="1" x14ac:dyDescent="0.35">
      <c r="A4" s="201" t="s">
        <v>159</v>
      </c>
      <c r="B4" s="202"/>
      <c r="C4" s="202"/>
      <c r="D4" s="202"/>
      <c r="E4" s="202"/>
      <c r="F4" s="202"/>
      <c r="G4" s="202"/>
      <c r="H4" s="202"/>
      <c r="I4" s="202"/>
      <c r="J4" s="202"/>
      <c r="K4" s="202"/>
      <c r="L4" s="202"/>
    </row>
    <row r="5" spans="1:12" x14ac:dyDescent="0.35">
      <c r="A5" s="202"/>
      <c r="B5" s="202"/>
      <c r="C5" s="202"/>
      <c r="D5" s="202"/>
      <c r="E5" s="202"/>
      <c r="F5" s="202"/>
      <c r="G5" s="202"/>
      <c r="H5" s="202"/>
      <c r="I5" s="202"/>
      <c r="J5" s="202"/>
      <c r="K5" s="202"/>
      <c r="L5" s="202"/>
    </row>
    <row r="6" spans="1:12" s="7" customFormat="1" x14ac:dyDescent="0.35">
      <c r="A6" s="194" t="s">
        <v>2</v>
      </c>
      <c r="B6" s="195"/>
      <c r="C6" s="195"/>
      <c r="D6" s="194" t="s">
        <v>3</v>
      </c>
      <c r="E6" s="195"/>
      <c r="F6" s="195"/>
      <c r="G6" s="118" t="s">
        <v>274</v>
      </c>
      <c r="H6" s="196" t="s">
        <v>4</v>
      </c>
      <c r="I6" s="196" t="s">
        <v>5</v>
      </c>
      <c r="J6" s="196" t="s">
        <v>6</v>
      </c>
      <c r="K6" s="196" t="s">
        <v>7</v>
      </c>
      <c r="L6" s="196" t="s">
        <v>199</v>
      </c>
    </row>
    <row r="7" spans="1:12" x14ac:dyDescent="0.35">
      <c r="A7" s="203" t="s">
        <v>9</v>
      </c>
      <c r="B7" s="204"/>
      <c r="C7" s="153"/>
      <c r="D7" s="205" t="s">
        <v>10</v>
      </c>
      <c r="E7" s="153"/>
      <c r="F7" s="153"/>
      <c r="G7" s="155"/>
      <c r="H7" s="204"/>
      <c r="I7" s="155"/>
      <c r="J7" s="155"/>
      <c r="K7" s="155"/>
      <c r="L7" s="205"/>
    </row>
    <row r="8" spans="1:12" x14ac:dyDescent="0.35">
      <c r="A8" s="203"/>
      <c r="B8" s="204" t="s">
        <v>11</v>
      </c>
      <c r="C8" s="153"/>
      <c r="D8" s="206"/>
      <c r="E8" s="204" t="s">
        <v>12</v>
      </c>
      <c r="F8" s="153"/>
      <c r="G8" s="155">
        <v>2891334.55</v>
      </c>
      <c r="H8" s="204"/>
      <c r="I8" s="155">
        <v>1145779.9669999999</v>
      </c>
      <c r="J8" s="155">
        <v>1745554.5829999999</v>
      </c>
      <c r="K8" s="155"/>
      <c r="L8" s="207"/>
    </row>
    <row r="9" spans="1:12" x14ac:dyDescent="0.35">
      <c r="A9" s="203"/>
      <c r="B9" s="204"/>
      <c r="C9" s="153" t="s">
        <v>13</v>
      </c>
      <c r="D9" s="206"/>
      <c r="E9" s="153"/>
      <c r="F9" s="204" t="s">
        <v>14</v>
      </c>
      <c r="G9" s="86">
        <v>0</v>
      </c>
      <c r="H9" s="208"/>
      <c r="I9" s="86">
        <v>0</v>
      </c>
      <c r="J9" s="86">
        <v>0</v>
      </c>
      <c r="K9" s="155">
        <v>0</v>
      </c>
      <c r="L9" s="209"/>
    </row>
    <row r="10" spans="1:12" x14ac:dyDescent="0.35">
      <c r="A10" s="203"/>
      <c r="B10" s="204"/>
      <c r="C10" s="153" t="s">
        <v>16</v>
      </c>
      <c r="D10" s="206"/>
      <c r="E10" s="153"/>
      <c r="F10" s="204" t="s">
        <v>17</v>
      </c>
      <c r="G10" s="86">
        <v>4463.18</v>
      </c>
      <c r="H10" s="208" t="s">
        <v>15</v>
      </c>
      <c r="I10" s="86">
        <v>4463.18</v>
      </c>
      <c r="J10" s="86">
        <v>0</v>
      </c>
      <c r="K10" s="155">
        <v>4463.18</v>
      </c>
      <c r="L10" s="209"/>
    </row>
    <row r="11" spans="1:12" x14ac:dyDescent="0.35">
      <c r="A11" s="203"/>
      <c r="B11" s="204"/>
      <c r="C11" s="153" t="s">
        <v>18</v>
      </c>
      <c r="D11" s="206"/>
      <c r="E11" s="153"/>
      <c r="F11" s="204" t="s">
        <v>19</v>
      </c>
      <c r="G11" s="86">
        <v>530960.87</v>
      </c>
      <c r="H11" s="208" t="s">
        <v>59</v>
      </c>
      <c r="I11" s="86">
        <v>265480.44</v>
      </c>
      <c r="J11" s="86">
        <v>265480.43</v>
      </c>
      <c r="K11" s="155">
        <v>530960.87</v>
      </c>
      <c r="L11" s="209"/>
    </row>
    <row r="12" spans="1:12" x14ac:dyDescent="0.35">
      <c r="A12" s="203"/>
      <c r="B12" s="204"/>
      <c r="C12" s="153" t="s">
        <v>20</v>
      </c>
      <c r="D12" s="206"/>
      <c r="E12" s="153"/>
      <c r="F12" s="204" t="s">
        <v>21</v>
      </c>
      <c r="G12" s="86">
        <v>0</v>
      </c>
      <c r="H12" s="208"/>
      <c r="I12" s="86">
        <v>0</v>
      </c>
      <c r="J12" s="86">
        <v>0</v>
      </c>
      <c r="K12" s="155">
        <v>0</v>
      </c>
      <c r="L12" s="209"/>
    </row>
    <row r="13" spans="1:12" x14ac:dyDescent="0.35">
      <c r="A13" s="203"/>
      <c r="B13" s="204"/>
      <c r="C13" s="153" t="s">
        <v>22</v>
      </c>
      <c r="D13" s="206"/>
      <c r="E13" s="153"/>
      <c r="F13" s="204" t="s">
        <v>23</v>
      </c>
      <c r="G13" s="86">
        <v>917311.4</v>
      </c>
      <c r="H13" s="208" t="s">
        <v>59</v>
      </c>
      <c r="I13" s="86">
        <v>373635.1</v>
      </c>
      <c r="J13" s="86">
        <v>543676.30000000005</v>
      </c>
      <c r="K13" s="155">
        <v>917311.4</v>
      </c>
      <c r="L13" s="209"/>
    </row>
    <row r="14" spans="1:12" x14ac:dyDescent="0.35">
      <c r="A14" s="203"/>
      <c r="B14" s="204"/>
      <c r="C14" s="153" t="s">
        <v>25</v>
      </c>
      <c r="D14" s="206"/>
      <c r="E14" s="153"/>
      <c r="F14" s="204" t="s">
        <v>26</v>
      </c>
      <c r="G14" s="86">
        <v>462939</v>
      </c>
      <c r="H14" s="208" t="s">
        <v>59</v>
      </c>
      <c r="I14" s="86">
        <v>46293.9</v>
      </c>
      <c r="J14" s="86">
        <v>416645.1</v>
      </c>
      <c r="K14" s="155">
        <v>462939</v>
      </c>
      <c r="L14" s="209"/>
    </row>
    <row r="15" spans="1:12" x14ac:dyDescent="0.35">
      <c r="A15" s="203"/>
      <c r="B15" s="204"/>
      <c r="C15" s="153" t="s">
        <v>27</v>
      </c>
      <c r="D15" s="206"/>
      <c r="E15" s="153"/>
      <c r="F15" s="204" t="s">
        <v>28</v>
      </c>
      <c r="G15" s="86">
        <v>4383.92</v>
      </c>
      <c r="H15" s="208" t="s">
        <v>59</v>
      </c>
      <c r="I15" s="86">
        <v>2191.96</v>
      </c>
      <c r="J15" s="86">
        <v>2191.96</v>
      </c>
      <c r="K15" s="155">
        <v>4383.92</v>
      </c>
      <c r="L15" s="209"/>
    </row>
    <row r="16" spans="1:12" x14ac:dyDescent="0.35">
      <c r="A16" s="203"/>
      <c r="B16" s="204"/>
      <c r="C16" s="153" t="s">
        <v>29</v>
      </c>
      <c r="D16" s="206"/>
      <c r="E16" s="153"/>
      <c r="F16" s="204" t="s">
        <v>30</v>
      </c>
      <c r="G16" s="86">
        <v>0</v>
      </c>
      <c r="H16" s="208"/>
      <c r="I16" s="86">
        <v>0</v>
      </c>
      <c r="J16" s="86">
        <v>0</v>
      </c>
      <c r="K16" s="155">
        <v>0</v>
      </c>
      <c r="L16" s="209"/>
    </row>
    <row r="17" spans="1:12" x14ac:dyDescent="0.35">
      <c r="A17" s="203"/>
      <c r="B17" s="204"/>
      <c r="C17" s="153" t="s">
        <v>31</v>
      </c>
      <c r="D17" s="206"/>
      <c r="E17" s="153"/>
      <c r="F17" s="204" t="s">
        <v>32</v>
      </c>
      <c r="G17" s="86">
        <v>250243.84</v>
      </c>
      <c r="H17" s="208" t="s">
        <v>59</v>
      </c>
      <c r="I17" s="86">
        <v>176834.63</v>
      </c>
      <c r="J17" s="86">
        <v>73409.210000000006</v>
      </c>
      <c r="K17" s="155">
        <v>250243.84000000003</v>
      </c>
      <c r="L17" s="209"/>
    </row>
    <row r="18" spans="1:12" x14ac:dyDescent="0.35">
      <c r="A18" s="203"/>
      <c r="B18" s="204"/>
      <c r="C18" s="153" t="s">
        <v>33</v>
      </c>
      <c r="D18" s="206"/>
      <c r="E18" s="153"/>
      <c r="F18" s="204" t="s">
        <v>34</v>
      </c>
      <c r="G18" s="86">
        <v>224313.8</v>
      </c>
      <c r="H18" s="208" t="s">
        <v>59</v>
      </c>
      <c r="I18" s="86">
        <v>112156.9</v>
      </c>
      <c r="J18" s="86">
        <v>112156.9</v>
      </c>
      <c r="K18" s="155">
        <v>224313.8</v>
      </c>
      <c r="L18" s="209"/>
    </row>
    <row r="19" spans="1:12" x14ac:dyDescent="0.35">
      <c r="A19" s="203"/>
      <c r="B19" s="204"/>
      <c r="C19" s="153" t="s">
        <v>35</v>
      </c>
      <c r="D19" s="206"/>
      <c r="E19" s="153"/>
      <c r="F19" s="204" t="s">
        <v>36</v>
      </c>
      <c r="G19" s="91">
        <v>0</v>
      </c>
      <c r="H19" s="208"/>
      <c r="I19" s="91">
        <v>0</v>
      </c>
      <c r="J19" s="91">
        <v>0</v>
      </c>
      <c r="K19" s="155">
        <v>0</v>
      </c>
      <c r="L19" s="209"/>
    </row>
    <row r="20" spans="1:12" x14ac:dyDescent="0.35">
      <c r="A20" s="203"/>
      <c r="B20" s="204"/>
      <c r="C20" s="153" t="s">
        <v>37</v>
      </c>
      <c r="D20" s="206"/>
      <c r="E20" s="153"/>
      <c r="F20" s="204" t="s">
        <v>38</v>
      </c>
      <c r="G20" s="86">
        <v>326209.84999999998</v>
      </c>
      <c r="H20" s="208" t="s">
        <v>59</v>
      </c>
      <c r="I20" s="86">
        <v>163104.92499999999</v>
      </c>
      <c r="J20" s="86">
        <v>163104.92499999999</v>
      </c>
      <c r="K20" s="155">
        <v>326209.84999999998</v>
      </c>
      <c r="L20" s="209"/>
    </row>
    <row r="21" spans="1:12" x14ac:dyDescent="0.35">
      <c r="A21" s="203"/>
      <c r="B21" s="204"/>
      <c r="C21" s="153" t="s">
        <v>39</v>
      </c>
      <c r="D21" s="206"/>
      <c r="E21" s="153"/>
      <c r="F21" s="204" t="s">
        <v>40</v>
      </c>
      <c r="G21" s="86">
        <v>164249.91</v>
      </c>
      <c r="H21" s="208" t="s">
        <v>24</v>
      </c>
      <c r="I21" s="86"/>
      <c r="J21" s="86">
        <v>164249.91</v>
      </c>
      <c r="K21" s="155">
        <v>164249.91</v>
      </c>
      <c r="L21" s="209"/>
    </row>
    <row r="22" spans="1:12" x14ac:dyDescent="0.35">
      <c r="A22" s="203"/>
      <c r="B22" s="204"/>
      <c r="C22" s="153" t="s">
        <v>41</v>
      </c>
      <c r="D22" s="206"/>
      <c r="E22" s="153"/>
      <c r="F22" s="204" t="s">
        <v>42</v>
      </c>
      <c r="G22" s="86">
        <v>3946.02</v>
      </c>
      <c r="H22" s="208" t="s">
        <v>24</v>
      </c>
      <c r="I22" s="86"/>
      <c r="J22" s="86">
        <v>3946.02</v>
      </c>
      <c r="K22" s="155">
        <v>3946.02</v>
      </c>
      <c r="L22" s="209"/>
    </row>
    <row r="23" spans="1:12" x14ac:dyDescent="0.35">
      <c r="A23" s="203"/>
      <c r="B23" s="204"/>
      <c r="C23" s="153" t="s">
        <v>43</v>
      </c>
      <c r="D23" s="206"/>
      <c r="E23" s="153"/>
      <c r="F23" s="204" t="s">
        <v>44</v>
      </c>
      <c r="G23" s="86">
        <v>2312.7600000000002</v>
      </c>
      <c r="H23" s="208" t="s">
        <v>59</v>
      </c>
      <c r="I23" s="86">
        <v>1618.932</v>
      </c>
      <c r="J23" s="86">
        <v>693.8280000000002</v>
      </c>
      <c r="K23" s="155">
        <v>2312.7600000000002</v>
      </c>
      <c r="L23" s="209"/>
    </row>
    <row r="24" spans="1:12" x14ac:dyDescent="0.35">
      <c r="A24" s="204"/>
      <c r="B24" s="204"/>
      <c r="C24" s="160" t="s">
        <v>45</v>
      </c>
      <c r="D24" s="206"/>
      <c r="E24" s="160"/>
      <c r="F24" s="204" t="s">
        <v>46</v>
      </c>
      <c r="G24" s="92"/>
      <c r="H24" s="208"/>
      <c r="I24" s="92"/>
      <c r="J24" s="92"/>
      <c r="K24" s="155">
        <v>0</v>
      </c>
      <c r="L24" s="209"/>
    </row>
    <row r="25" spans="1:12" x14ac:dyDescent="0.35">
      <c r="A25" s="203"/>
      <c r="B25" s="204" t="s">
        <v>47</v>
      </c>
      <c r="C25" s="153"/>
      <c r="D25" s="206"/>
      <c r="E25" s="204" t="s">
        <v>48</v>
      </c>
      <c r="F25" s="153"/>
      <c r="G25" s="155">
        <v>1191051.69</v>
      </c>
      <c r="H25" s="204"/>
      <c r="I25" s="155">
        <v>828169.20299999986</v>
      </c>
      <c r="J25" s="155">
        <v>362882.48700000002</v>
      </c>
      <c r="K25" s="155"/>
      <c r="L25" s="207"/>
    </row>
    <row r="26" spans="1:12" x14ac:dyDescent="0.35">
      <c r="A26" s="203"/>
      <c r="B26" s="204"/>
      <c r="C26" s="153" t="s">
        <v>49</v>
      </c>
      <c r="D26" s="206"/>
      <c r="E26" s="153"/>
      <c r="F26" s="204" t="s">
        <v>50</v>
      </c>
      <c r="G26" s="86"/>
      <c r="H26" s="208"/>
      <c r="I26" s="86"/>
      <c r="J26" s="86"/>
      <c r="K26" s="155">
        <v>0</v>
      </c>
      <c r="L26" s="209"/>
    </row>
    <row r="27" spans="1:12" x14ac:dyDescent="0.35">
      <c r="A27" s="203"/>
      <c r="B27" s="204"/>
      <c r="C27" s="153" t="s">
        <v>51</v>
      </c>
      <c r="D27" s="206"/>
      <c r="E27" s="153"/>
      <c r="F27" s="204" t="s">
        <v>52</v>
      </c>
      <c r="G27" s="86"/>
      <c r="H27" s="208"/>
      <c r="I27" s="86"/>
      <c r="J27" s="86"/>
      <c r="K27" s="155">
        <v>0</v>
      </c>
      <c r="L27" s="209"/>
    </row>
    <row r="28" spans="1:12" x14ac:dyDescent="0.35">
      <c r="A28" s="203"/>
      <c r="B28" s="204"/>
      <c r="C28" s="153" t="s">
        <v>53</v>
      </c>
      <c r="D28" s="206"/>
      <c r="E28" s="153"/>
      <c r="F28" s="204" t="s">
        <v>54</v>
      </c>
      <c r="G28" s="86">
        <v>866015.2699999999</v>
      </c>
      <c r="H28" s="208" t="s">
        <v>59</v>
      </c>
      <c r="I28" s="86">
        <v>779413.7429999999</v>
      </c>
      <c r="J28" s="86">
        <v>86601.527000000002</v>
      </c>
      <c r="K28" s="155">
        <v>866015.2699999999</v>
      </c>
      <c r="L28" s="209"/>
    </row>
    <row r="29" spans="1:12" x14ac:dyDescent="0.35">
      <c r="A29" s="203"/>
      <c r="B29" s="204"/>
      <c r="C29" s="153" t="s">
        <v>55</v>
      </c>
      <c r="D29" s="206"/>
      <c r="E29" s="153"/>
      <c r="F29" s="204" t="s">
        <v>56</v>
      </c>
      <c r="G29" s="86"/>
      <c r="H29" s="208"/>
      <c r="I29" s="86"/>
      <c r="J29" s="86"/>
      <c r="K29" s="155">
        <v>0</v>
      </c>
      <c r="L29" s="209"/>
    </row>
    <row r="30" spans="1:12" x14ac:dyDescent="0.35">
      <c r="A30" s="203"/>
      <c r="B30" s="204"/>
      <c r="C30" s="153" t="s">
        <v>57</v>
      </c>
      <c r="D30" s="206"/>
      <c r="E30" s="153"/>
      <c r="F30" s="204" t="s">
        <v>58</v>
      </c>
      <c r="G30" s="86"/>
      <c r="H30" s="208"/>
      <c r="I30" s="86"/>
      <c r="J30" s="86"/>
      <c r="K30" s="155">
        <v>0</v>
      </c>
      <c r="L30" s="209"/>
    </row>
    <row r="31" spans="1:12" x14ac:dyDescent="0.35">
      <c r="A31" s="203"/>
      <c r="B31" s="204"/>
      <c r="C31" s="153" t="s">
        <v>60</v>
      </c>
      <c r="D31" s="206"/>
      <c r="E31" s="153"/>
      <c r="F31" s="204" t="s">
        <v>61</v>
      </c>
      <c r="G31" s="86"/>
      <c r="H31" s="208"/>
      <c r="I31" s="86"/>
      <c r="J31" s="86"/>
      <c r="K31" s="155">
        <v>0</v>
      </c>
      <c r="L31" s="209"/>
    </row>
    <row r="32" spans="1:12" x14ac:dyDescent="0.35">
      <c r="A32" s="203"/>
      <c r="B32" s="204"/>
      <c r="C32" s="153" t="s">
        <v>62</v>
      </c>
      <c r="D32" s="206"/>
      <c r="E32" s="153"/>
      <c r="F32" s="204" t="s">
        <v>63</v>
      </c>
      <c r="G32" s="86">
        <v>325036.42</v>
      </c>
      <c r="H32" s="208" t="s">
        <v>59</v>
      </c>
      <c r="I32" s="86">
        <v>48755.46</v>
      </c>
      <c r="J32" s="86">
        <v>276280.96000000002</v>
      </c>
      <c r="K32" s="155">
        <v>325036.42000000004</v>
      </c>
      <c r="L32" s="209"/>
    </row>
    <row r="33" spans="1:12" x14ac:dyDescent="0.35">
      <c r="A33" s="204"/>
      <c r="B33" s="204"/>
      <c r="C33" s="153" t="s">
        <v>64</v>
      </c>
      <c r="D33" s="204"/>
      <c r="E33" s="153"/>
      <c r="F33" s="204" t="s">
        <v>65</v>
      </c>
      <c r="G33" s="86"/>
      <c r="H33" s="208"/>
      <c r="I33" s="86"/>
      <c r="J33" s="86"/>
      <c r="K33" s="155">
        <v>0</v>
      </c>
      <c r="L33" s="209"/>
    </row>
    <row r="34" spans="1:12" x14ac:dyDescent="0.35">
      <c r="A34" s="204"/>
      <c r="B34" s="204"/>
      <c r="C34" s="153" t="s">
        <v>66</v>
      </c>
      <c r="D34" s="204"/>
      <c r="E34" s="204"/>
      <c r="F34" s="204" t="s">
        <v>67</v>
      </c>
      <c r="G34" s="86"/>
      <c r="H34" s="208"/>
      <c r="I34" s="86"/>
      <c r="J34" s="86"/>
      <c r="K34" s="155">
        <v>0</v>
      </c>
      <c r="L34" s="209"/>
    </row>
    <row r="35" spans="1:12" x14ac:dyDescent="0.35">
      <c r="A35" s="204"/>
      <c r="B35" s="204"/>
      <c r="C35" s="153" t="s">
        <v>68</v>
      </c>
      <c r="D35" s="204"/>
      <c r="E35" s="153"/>
      <c r="F35" s="204" t="s">
        <v>69</v>
      </c>
      <c r="G35" s="86"/>
      <c r="H35" s="208"/>
      <c r="I35" s="86"/>
      <c r="J35" s="86"/>
      <c r="K35" s="155">
        <v>0</v>
      </c>
      <c r="L35" s="209"/>
    </row>
    <row r="36" spans="1:12" x14ac:dyDescent="0.35">
      <c r="A36" s="204"/>
      <c r="B36" s="204"/>
      <c r="C36" s="153" t="s">
        <v>70</v>
      </c>
      <c r="D36" s="204"/>
      <c r="E36" s="204"/>
      <c r="F36" s="204" t="s">
        <v>71</v>
      </c>
      <c r="G36" s="86"/>
      <c r="H36" s="208"/>
      <c r="I36" s="86"/>
      <c r="J36" s="86"/>
      <c r="K36" s="155">
        <v>0</v>
      </c>
      <c r="L36" s="209"/>
    </row>
    <row r="37" spans="1:12" x14ac:dyDescent="0.35">
      <c r="A37" s="204"/>
      <c r="B37" s="204"/>
      <c r="C37" s="153" t="s">
        <v>72</v>
      </c>
      <c r="D37" s="204"/>
      <c r="E37" s="161"/>
      <c r="F37" s="204" t="s">
        <v>73</v>
      </c>
      <c r="G37" s="86"/>
      <c r="H37" s="208"/>
      <c r="I37" s="86"/>
      <c r="J37" s="86"/>
      <c r="K37" s="155">
        <v>0</v>
      </c>
      <c r="L37" s="209"/>
    </row>
    <row r="38" spans="1:12" x14ac:dyDescent="0.35">
      <c r="A38" s="204"/>
      <c r="B38" s="204"/>
      <c r="C38" s="153" t="s">
        <v>74</v>
      </c>
      <c r="D38" s="204"/>
      <c r="E38" s="204"/>
      <c r="F38" s="204" t="s">
        <v>75</v>
      </c>
      <c r="G38" s="86"/>
      <c r="H38" s="208"/>
      <c r="I38" s="86"/>
      <c r="J38" s="86"/>
      <c r="K38" s="155">
        <v>0</v>
      </c>
      <c r="L38" s="209"/>
    </row>
    <row r="39" spans="1:12" x14ac:dyDescent="0.35">
      <c r="A39" s="204"/>
      <c r="B39" s="204"/>
      <c r="C39" s="153" t="s">
        <v>76</v>
      </c>
      <c r="D39" s="204"/>
      <c r="E39" s="204"/>
      <c r="F39" s="204" t="s">
        <v>77</v>
      </c>
      <c r="G39" s="86"/>
      <c r="H39" s="208"/>
      <c r="I39" s="86"/>
      <c r="J39" s="86"/>
      <c r="K39" s="155">
        <v>0</v>
      </c>
      <c r="L39" s="209"/>
    </row>
    <row r="40" spans="1:12" x14ac:dyDescent="0.35">
      <c r="A40" s="204"/>
      <c r="B40" s="204"/>
      <c r="C40" s="153" t="s">
        <v>78</v>
      </c>
      <c r="D40" s="204"/>
      <c r="E40" s="204"/>
      <c r="F40" s="204" t="s">
        <v>79</v>
      </c>
      <c r="G40" s="86"/>
      <c r="H40" s="208"/>
      <c r="I40" s="86"/>
      <c r="J40" s="86"/>
      <c r="K40" s="155">
        <v>0</v>
      </c>
      <c r="L40" s="209"/>
    </row>
    <row r="41" spans="1:12" x14ac:dyDescent="0.35">
      <c r="A41" s="204"/>
      <c r="B41" s="204"/>
      <c r="C41" s="153" t="s">
        <v>80</v>
      </c>
      <c r="D41" s="204"/>
      <c r="E41" s="204"/>
      <c r="F41" s="204" t="s">
        <v>81</v>
      </c>
      <c r="G41" s="86"/>
      <c r="H41" s="208"/>
      <c r="I41" s="86"/>
      <c r="J41" s="86"/>
      <c r="K41" s="155">
        <v>0</v>
      </c>
      <c r="L41" s="209"/>
    </row>
    <row r="42" spans="1:12" x14ac:dyDescent="0.35">
      <c r="A42" s="204"/>
      <c r="B42" s="204" t="s">
        <v>82</v>
      </c>
      <c r="C42" s="153"/>
      <c r="D42" s="204"/>
      <c r="E42" s="204" t="s">
        <v>83</v>
      </c>
      <c r="F42" s="204"/>
      <c r="G42" s="155">
        <v>7052847.9600000009</v>
      </c>
      <c r="H42" s="204"/>
      <c r="I42" s="155">
        <v>1023236.0775</v>
      </c>
      <c r="J42" s="155">
        <v>6029611.8824999984</v>
      </c>
      <c r="K42" s="155"/>
      <c r="L42" s="207"/>
    </row>
    <row r="43" spans="1:12" x14ac:dyDescent="0.35">
      <c r="A43" s="204"/>
      <c r="B43" s="204"/>
      <c r="C43" s="153" t="s">
        <v>84</v>
      </c>
      <c r="D43" s="204"/>
      <c r="E43" s="204"/>
      <c r="F43" s="204" t="s">
        <v>85</v>
      </c>
      <c r="G43" s="86"/>
      <c r="H43" s="208"/>
      <c r="I43" s="86"/>
      <c r="J43" s="86"/>
      <c r="K43" s="155">
        <v>0</v>
      </c>
      <c r="L43" s="209"/>
    </row>
    <row r="44" spans="1:12" x14ac:dyDescent="0.35">
      <c r="A44" s="204"/>
      <c r="B44" s="204"/>
      <c r="C44" s="153" t="s">
        <v>86</v>
      </c>
      <c r="D44" s="204"/>
      <c r="E44" s="204"/>
      <c r="F44" s="204" t="s">
        <v>87</v>
      </c>
      <c r="G44" s="86">
        <v>3895618.51</v>
      </c>
      <c r="H44" s="208" t="s">
        <v>59</v>
      </c>
      <c r="I44" s="86">
        <v>194780.93</v>
      </c>
      <c r="J44" s="86">
        <v>3700837.58</v>
      </c>
      <c r="K44" s="155">
        <v>3895618.5100000002</v>
      </c>
      <c r="L44" s="209"/>
    </row>
    <row r="45" spans="1:12" x14ac:dyDescent="0.35">
      <c r="A45" s="204"/>
      <c r="B45" s="204"/>
      <c r="C45" s="153" t="s">
        <v>88</v>
      </c>
      <c r="D45" s="204"/>
      <c r="E45" s="204"/>
      <c r="F45" s="204" t="s">
        <v>89</v>
      </c>
      <c r="G45" s="86">
        <v>9923.1299999999992</v>
      </c>
      <c r="H45" s="208" t="s">
        <v>59</v>
      </c>
      <c r="I45" s="86">
        <v>496.15649999999999</v>
      </c>
      <c r="J45" s="86">
        <v>9426.9735000000001</v>
      </c>
      <c r="K45" s="155">
        <v>9923.1299999999992</v>
      </c>
      <c r="L45" s="209"/>
    </row>
    <row r="46" spans="1:12" x14ac:dyDescent="0.35">
      <c r="A46" s="204"/>
      <c r="B46" s="204"/>
      <c r="C46" s="153" t="s">
        <v>90</v>
      </c>
      <c r="D46" s="204"/>
      <c r="E46" s="204"/>
      <c r="F46" s="204" t="s">
        <v>91</v>
      </c>
      <c r="G46" s="86"/>
      <c r="H46" s="208"/>
      <c r="I46" s="86"/>
      <c r="J46" s="86"/>
      <c r="K46" s="155">
        <v>0</v>
      </c>
      <c r="L46" s="209"/>
    </row>
    <row r="47" spans="1:12" x14ac:dyDescent="0.35">
      <c r="A47" s="204"/>
      <c r="B47" s="204"/>
      <c r="C47" s="153" t="s">
        <v>92</v>
      </c>
      <c r="D47" s="204"/>
      <c r="E47" s="204"/>
      <c r="F47" s="204" t="s">
        <v>93</v>
      </c>
      <c r="G47" s="86">
        <v>939217.66</v>
      </c>
      <c r="H47" s="208" t="s">
        <v>59</v>
      </c>
      <c r="I47" s="86">
        <v>469608.83</v>
      </c>
      <c r="J47" s="86">
        <v>469608.83</v>
      </c>
      <c r="K47" s="155">
        <v>939217.66</v>
      </c>
      <c r="L47" s="209"/>
    </row>
    <row r="48" spans="1:12" x14ac:dyDescent="0.35">
      <c r="A48" s="204"/>
      <c r="B48" s="204"/>
      <c r="C48" s="153" t="s">
        <v>94</v>
      </c>
      <c r="D48" s="204"/>
      <c r="E48" s="204"/>
      <c r="F48" s="204" t="s">
        <v>95</v>
      </c>
      <c r="G48" s="86"/>
      <c r="H48" s="208"/>
      <c r="I48" s="86"/>
      <c r="J48" s="86"/>
      <c r="K48" s="155">
        <v>0</v>
      </c>
      <c r="L48" s="209"/>
    </row>
    <row r="49" spans="1:12" x14ac:dyDescent="0.35">
      <c r="A49" s="204"/>
      <c r="B49" s="204"/>
      <c r="C49" s="153" t="s">
        <v>96</v>
      </c>
      <c r="D49" s="204"/>
      <c r="E49" s="204"/>
      <c r="F49" s="204" t="s">
        <v>97</v>
      </c>
      <c r="G49" s="86">
        <v>158620.49</v>
      </c>
      <c r="H49" s="208" t="s">
        <v>59</v>
      </c>
      <c r="I49" s="86">
        <v>79310.244999999995</v>
      </c>
      <c r="J49" s="86">
        <v>79310.244999999995</v>
      </c>
      <c r="K49" s="155">
        <v>158620.49</v>
      </c>
      <c r="L49" s="209"/>
    </row>
    <row r="50" spans="1:12" x14ac:dyDescent="0.35">
      <c r="A50" s="204"/>
      <c r="B50" s="204"/>
      <c r="C50" s="153" t="s">
        <v>98</v>
      </c>
      <c r="D50" s="204"/>
      <c r="E50" s="204"/>
      <c r="F50" s="204" t="s">
        <v>99</v>
      </c>
      <c r="G50" s="86"/>
      <c r="H50" s="208"/>
      <c r="I50" s="86"/>
      <c r="J50" s="86"/>
      <c r="K50" s="155">
        <v>0</v>
      </c>
      <c r="L50" s="209"/>
    </row>
    <row r="51" spans="1:12" x14ac:dyDescent="0.35">
      <c r="A51" s="204"/>
      <c r="B51" s="204"/>
      <c r="C51" s="153" t="s">
        <v>100</v>
      </c>
      <c r="D51" s="204"/>
      <c r="E51" s="204"/>
      <c r="F51" s="204" t="s">
        <v>101</v>
      </c>
      <c r="G51" s="86"/>
      <c r="H51" s="208"/>
      <c r="I51" s="86"/>
      <c r="J51" s="86"/>
      <c r="K51" s="155">
        <v>0</v>
      </c>
      <c r="L51" s="209"/>
    </row>
    <row r="52" spans="1:12" x14ac:dyDescent="0.35">
      <c r="A52" s="204"/>
      <c r="B52" s="204"/>
      <c r="C52" s="153" t="s">
        <v>102</v>
      </c>
      <c r="D52" s="204"/>
      <c r="E52" s="204"/>
      <c r="F52" s="204" t="s">
        <v>103</v>
      </c>
      <c r="G52" s="86">
        <v>4052.72</v>
      </c>
      <c r="H52" s="208" t="s">
        <v>15</v>
      </c>
      <c r="I52" s="86">
        <v>4052.72</v>
      </c>
      <c r="J52" s="86">
        <v>0</v>
      </c>
      <c r="K52" s="155">
        <v>4052.72</v>
      </c>
      <c r="L52" s="209"/>
    </row>
    <row r="53" spans="1:12" x14ac:dyDescent="0.35">
      <c r="A53" s="204"/>
      <c r="B53" s="204"/>
      <c r="C53" s="153" t="s">
        <v>104</v>
      </c>
      <c r="D53" s="204"/>
      <c r="E53" s="204"/>
      <c r="F53" s="204" t="s">
        <v>105</v>
      </c>
      <c r="G53" s="86">
        <v>125010.23999999999</v>
      </c>
      <c r="H53" s="208" t="s">
        <v>15</v>
      </c>
      <c r="I53" s="86">
        <v>125010.23999999999</v>
      </c>
      <c r="J53" s="86"/>
      <c r="K53" s="155">
        <v>125010.23999999999</v>
      </c>
      <c r="L53" s="209"/>
    </row>
    <row r="54" spans="1:12" x14ac:dyDescent="0.35">
      <c r="A54" s="204"/>
      <c r="B54" s="204"/>
      <c r="C54" s="153" t="s">
        <v>106</v>
      </c>
      <c r="D54" s="204"/>
      <c r="E54" s="204"/>
      <c r="F54" s="204" t="s">
        <v>107</v>
      </c>
      <c r="G54" s="86">
        <v>97441.14</v>
      </c>
      <c r="H54" s="208" t="s">
        <v>59</v>
      </c>
      <c r="I54" s="86">
        <v>4872.0569999999998</v>
      </c>
      <c r="J54" s="86">
        <v>92569.082999999999</v>
      </c>
      <c r="K54" s="155">
        <v>97441.14</v>
      </c>
      <c r="L54" s="209"/>
    </row>
    <row r="55" spans="1:12" x14ac:dyDescent="0.35">
      <c r="A55" s="204"/>
      <c r="B55" s="204"/>
      <c r="C55" s="153" t="s">
        <v>108</v>
      </c>
      <c r="D55" s="204"/>
      <c r="E55" s="204"/>
      <c r="F55" s="204" t="s">
        <v>109</v>
      </c>
      <c r="G55" s="86">
        <v>230781.19</v>
      </c>
      <c r="H55" s="208" t="s">
        <v>59</v>
      </c>
      <c r="I55" s="86">
        <v>11539.059500000001</v>
      </c>
      <c r="J55" s="86">
        <v>219242.1305</v>
      </c>
      <c r="K55" s="155">
        <v>230781.19</v>
      </c>
      <c r="L55" s="209"/>
    </row>
    <row r="56" spans="1:12" x14ac:dyDescent="0.35">
      <c r="A56" s="204"/>
      <c r="B56" s="204"/>
      <c r="C56" s="153" t="s">
        <v>110</v>
      </c>
      <c r="D56" s="204"/>
      <c r="E56" s="204"/>
      <c r="F56" s="204" t="s">
        <v>111</v>
      </c>
      <c r="G56" s="86">
        <v>241841.54</v>
      </c>
      <c r="H56" s="208" t="s">
        <v>59</v>
      </c>
      <c r="I56" s="86">
        <v>12092.08</v>
      </c>
      <c r="J56" s="86">
        <v>229749.46</v>
      </c>
      <c r="K56" s="155">
        <v>241841.53999999998</v>
      </c>
      <c r="L56" s="209"/>
    </row>
    <row r="57" spans="1:12" x14ac:dyDescent="0.35">
      <c r="A57" s="204"/>
      <c r="B57" s="204"/>
      <c r="C57" s="153" t="s">
        <v>112</v>
      </c>
      <c r="D57" s="204"/>
      <c r="E57" s="204"/>
      <c r="F57" s="204" t="s">
        <v>113</v>
      </c>
      <c r="G57" s="86">
        <v>63930.32</v>
      </c>
      <c r="H57" s="208" t="s">
        <v>59</v>
      </c>
      <c r="I57" s="86">
        <v>3196.52</v>
      </c>
      <c r="J57" s="86">
        <v>60733.8</v>
      </c>
      <c r="K57" s="155">
        <v>63930.32</v>
      </c>
      <c r="L57" s="209"/>
    </row>
    <row r="58" spans="1:12" x14ac:dyDescent="0.35">
      <c r="A58" s="204"/>
      <c r="B58" s="204"/>
      <c r="C58" s="153" t="s">
        <v>114</v>
      </c>
      <c r="D58" s="204"/>
      <c r="E58" s="204"/>
      <c r="F58" s="204" t="s">
        <v>115</v>
      </c>
      <c r="G58" s="86"/>
      <c r="H58" s="208"/>
      <c r="I58" s="86"/>
      <c r="J58" s="86"/>
      <c r="K58" s="155">
        <v>0</v>
      </c>
      <c r="L58" s="209"/>
    </row>
    <row r="59" spans="1:12" x14ac:dyDescent="0.35">
      <c r="A59" s="204"/>
      <c r="B59" s="204"/>
      <c r="C59" s="153" t="s">
        <v>116</v>
      </c>
      <c r="D59" s="204"/>
      <c r="E59" s="204"/>
      <c r="F59" s="204" t="s">
        <v>117</v>
      </c>
      <c r="G59" s="86">
        <v>455.49</v>
      </c>
      <c r="H59" s="208" t="s">
        <v>59</v>
      </c>
      <c r="I59" s="86">
        <v>22.774500000000003</v>
      </c>
      <c r="J59" s="86">
        <v>432.71550000000002</v>
      </c>
      <c r="K59" s="155">
        <v>455.49</v>
      </c>
      <c r="L59" s="209"/>
    </row>
    <row r="60" spans="1:12" x14ac:dyDescent="0.35">
      <c r="A60" s="204"/>
      <c r="B60" s="204"/>
      <c r="C60" s="153" t="s">
        <v>118</v>
      </c>
      <c r="D60" s="204"/>
      <c r="E60" s="204"/>
      <c r="F60" s="204" t="s">
        <v>119</v>
      </c>
      <c r="G60" s="86">
        <v>1554.7</v>
      </c>
      <c r="H60" s="208" t="s">
        <v>59</v>
      </c>
      <c r="I60" s="86">
        <v>77.735000000000014</v>
      </c>
      <c r="J60" s="86">
        <v>1476.9650000000001</v>
      </c>
      <c r="K60" s="155">
        <v>1554.7000000000003</v>
      </c>
      <c r="L60" s="209"/>
    </row>
    <row r="61" spans="1:12" x14ac:dyDescent="0.35">
      <c r="A61" s="204"/>
      <c r="B61" s="204"/>
      <c r="C61" s="153" t="s">
        <v>120</v>
      </c>
      <c r="D61" s="204"/>
      <c r="E61" s="204"/>
      <c r="F61" s="204" t="s">
        <v>121</v>
      </c>
      <c r="G61" s="86">
        <v>59247.16</v>
      </c>
      <c r="H61" s="208" t="s">
        <v>15</v>
      </c>
      <c r="I61" s="86">
        <v>59247.16</v>
      </c>
      <c r="J61" s="86"/>
      <c r="K61" s="155">
        <v>59247.16</v>
      </c>
      <c r="L61" s="209"/>
    </row>
    <row r="62" spans="1:12" x14ac:dyDescent="0.35">
      <c r="A62" s="204"/>
      <c r="B62" s="204"/>
      <c r="C62" s="153" t="s">
        <v>122</v>
      </c>
      <c r="D62" s="204"/>
      <c r="E62" s="204"/>
      <c r="F62" s="204" t="s">
        <v>123</v>
      </c>
      <c r="G62" s="86">
        <v>1178591.3400000001</v>
      </c>
      <c r="H62" s="208" t="s">
        <v>59</v>
      </c>
      <c r="I62" s="86">
        <v>58929.57</v>
      </c>
      <c r="J62" s="86">
        <v>1119661.77</v>
      </c>
      <c r="K62" s="155">
        <v>1178591.3400000001</v>
      </c>
      <c r="L62" s="209"/>
    </row>
    <row r="63" spans="1:12" x14ac:dyDescent="0.35">
      <c r="A63" s="204"/>
      <c r="B63" s="204"/>
      <c r="C63" s="153" t="s">
        <v>124</v>
      </c>
      <c r="D63" s="204"/>
      <c r="E63" s="204"/>
      <c r="F63" s="204" t="s">
        <v>125</v>
      </c>
      <c r="G63" s="86">
        <v>46562.329999999994</v>
      </c>
      <c r="H63" s="208"/>
      <c r="I63" s="86"/>
      <c r="J63" s="86">
        <v>46562.329999999994</v>
      </c>
      <c r="K63" s="155">
        <v>46562.329999999994</v>
      </c>
      <c r="L63" s="209"/>
    </row>
    <row r="64" spans="1:12" hidden="1" x14ac:dyDescent="0.35">
      <c r="A64" s="204"/>
      <c r="B64" s="204" t="s">
        <v>126</v>
      </c>
      <c r="C64" s="153"/>
      <c r="D64" s="204"/>
      <c r="E64" s="204" t="s">
        <v>127</v>
      </c>
      <c r="F64" s="204"/>
      <c r="G64" s="155"/>
      <c r="H64" s="204"/>
      <c r="I64" s="155"/>
      <c r="J64" s="155"/>
      <c r="K64" s="155"/>
      <c r="L64" s="207"/>
    </row>
    <row r="65" spans="1:12" hidden="1" x14ac:dyDescent="0.35">
      <c r="A65" s="204"/>
      <c r="B65" s="204" t="s">
        <v>128</v>
      </c>
      <c r="C65" s="153"/>
      <c r="D65" s="204"/>
      <c r="E65" s="204" t="s">
        <v>127</v>
      </c>
      <c r="F65" s="204"/>
      <c r="G65" s="155"/>
      <c r="H65" s="204"/>
      <c r="I65" s="155"/>
      <c r="J65" s="155"/>
      <c r="K65" s="155"/>
      <c r="L65" s="207"/>
    </row>
    <row r="66" spans="1:12" x14ac:dyDescent="0.35">
      <c r="A66" s="204"/>
      <c r="B66" s="204" t="s">
        <v>129</v>
      </c>
      <c r="C66" s="153"/>
      <c r="D66" s="204"/>
      <c r="E66" s="204" t="s">
        <v>130</v>
      </c>
      <c r="F66" s="204"/>
      <c r="G66" s="155">
        <v>0</v>
      </c>
      <c r="H66" s="204"/>
      <c r="I66" s="155">
        <v>0</v>
      </c>
      <c r="J66" s="155">
        <v>0</v>
      </c>
      <c r="K66" s="155"/>
      <c r="L66" s="207"/>
    </row>
    <row r="67" spans="1:12" x14ac:dyDescent="0.35">
      <c r="A67" s="204"/>
      <c r="B67" s="204"/>
      <c r="C67" s="153" t="s">
        <v>131</v>
      </c>
      <c r="D67" s="204"/>
      <c r="E67" s="204"/>
      <c r="F67" s="204" t="s">
        <v>132</v>
      </c>
      <c r="G67" s="86"/>
      <c r="H67" s="208"/>
      <c r="I67" s="86"/>
      <c r="J67" s="86">
        <v>0</v>
      </c>
      <c r="K67" s="155">
        <v>0</v>
      </c>
      <c r="L67" s="209"/>
    </row>
    <row r="68" spans="1:12" x14ac:dyDescent="0.35">
      <c r="A68" s="204"/>
      <c r="B68" s="204"/>
      <c r="C68" s="153" t="s">
        <v>133</v>
      </c>
      <c r="D68" s="204"/>
      <c r="E68" s="204"/>
      <c r="F68" s="204" t="s">
        <v>134</v>
      </c>
      <c r="G68" s="86"/>
      <c r="H68" s="208"/>
      <c r="I68" s="86"/>
      <c r="J68" s="86"/>
      <c r="K68" s="155">
        <v>0</v>
      </c>
      <c r="L68" s="209"/>
    </row>
    <row r="69" spans="1:12" x14ac:dyDescent="0.35">
      <c r="A69" s="204"/>
      <c r="B69" s="204"/>
      <c r="C69" s="153" t="s">
        <v>135</v>
      </c>
      <c r="D69" s="204"/>
      <c r="E69" s="204"/>
      <c r="F69" s="204" t="s">
        <v>136</v>
      </c>
      <c r="G69" s="86"/>
      <c r="H69" s="208"/>
      <c r="I69" s="86"/>
      <c r="J69" s="86"/>
      <c r="K69" s="155">
        <v>0</v>
      </c>
      <c r="L69" s="209"/>
    </row>
    <row r="70" spans="1:12" x14ac:dyDescent="0.35">
      <c r="A70" s="204"/>
      <c r="B70" s="204" t="s">
        <v>137</v>
      </c>
      <c r="C70" s="153"/>
      <c r="D70" s="204"/>
      <c r="E70" s="204" t="s">
        <v>138</v>
      </c>
      <c r="F70" s="204"/>
      <c r="G70" s="155">
        <v>2297948.5299999998</v>
      </c>
      <c r="H70" s="204"/>
      <c r="I70" s="155">
        <v>644766.88</v>
      </c>
      <c r="J70" s="155">
        <v>1653181.65</v>
      </c>
      <c r="K70" s="155"/>
      <c r="L70" s="207"/>
    </row>
    <row r="71" spans="1:12" x14ac:dyDescent="0.35">
      <c r="A71" s="204"/>
      <c r="B71" s="204"/>
      <c r="C71" s="153" t="s">
        <v>139</v>
      </c>
      <c r="D71" s="204"/>
      <c r="E71" s="204"/>
      <c r="F71" s="204" t="s">
        <v>140</v>
      </c>
      <c r="G71" s="86">
        <v>2297948.5299999998</v>
      </c>
      <c r="H71" s="208" t="s">
        <v>59</v>
      </c>
      <c r="I71" s="86">
        <v>644766.88</v>
      </c>
      <c r="J71" s="86">
        <v>1653181.65</v>
      </c>
      <c r="K71" s="155">
        <v>2297948.5299999998</v>
      </c>
      <c r="L71" s="209"/>
    </row>
    <row r="72" spans="1:12" x14ac:dyDescent="0.35">
      <c r="A72" s="204"/>
      <c r="B72" s="204"/>
      <c r="C72" s="153" t="s">
        <v>141</v>
      </c>
      <c r="D72" s="204"/>
      <c r="E72" s="204"/>
      <c r="F72" s="204" t="s">
        <v>142</v>
      </c>
      <c r="G72" s="86"/>
      <c r="H72" s="208"/>
      <c r="I72" s="86"/>
      <c r="J72" s="86"/>
      <c r="K72" s="155">
        <v>0</v>
      </c>
      <c r="L72" s="209"/>
    </row>
    <row r="73" spans="1:12" x14ac:dyDescent="0.35">
      <c r="A73" s="204"/>
      <c r="B73" s="204"/>
      <c r="C73" s="153" t="s">
        <v>143</v>
      </c>
      <c r="D73" s="204"/>
      <c r="E73" s="204"/>
      <c r="F73" s="204" t="s">
        <v>144</v>
      </c>
      <c r="G73" s="86"/>
      <c r="H73" s="208"/>
      <c r="I73" s="86"/>
      <c r="J73" s="86"/>
      <c r="K73" s="155">
        <v>0</v>
      </c>
      <c r="L73" s="209"/>
    </row>
    <row r="74" spans="1:12" hidden="1" x14ac:dyDescent="0.35">
      <c r="A74" s="204"/>
      <c r="B74" s="204" t="s">
        <v>145</v>
      </c>
      <c r="C74" s="153"/>
      <c r="D74" s="204"/>
      <c r="E74" s="204" t="s">
        <v>127</v>
      </c>
      <c r="F74" s="204"/>
      <c r="G74" s="155"/>
      <c r="H74" s="204"/>
      <c r="I74" s="155"/>
      <c r="J74" s="155"/>
      <c r="K74" s="155"/>
      <c r="L74" s="207"/>
    </row>
    <row r="75" spans="1:12" hidden="1" x14ac:dyDescent="0.35">
      <c r="A75" s="204"/>
      <c r="B75" s="204" t="s">
        <v>146</v>
      </c>
      <c r="C75" s="153"/>
      <c r="D75" s="204"/>
      <c r="E75" s="204" t="s">
        <v>127</v>
      </c>
      <c r="F75" s="204"/>
      <c r="G75" s="155"/>
      <c r="H75" s="204"/>
      <c r="I75" s="155"/>
      <c r="J75" s="155"/>
      <c r="K75" s="155"/>
      <c r="L75" s="207"/>
    </row>
    <row r="76" spans="1:12" s="7" customFormat="1" x14ac:dyDescent="0.35">
      <c r="A76" s="195" t="s">
        <v>147</v>
      </c>
      <c r="B76" s="195"/>
      <c r="C76" s="122"/>
      <c r="D76" s="195"/>
      <c r="E76" s="195"/>
      <c r="F76" s="195"/>
      <c r="G76" s="138">
        <v>13433182.73</v>
      </c>
      <c r="H76" s="88"/>
      <c r="I76" s="138">
        <v>3641952.1274999999</v>
      </c>
      <c r="J76" s="138">
        <v>9791230.6024999991</v>
      </c>
      <c r="K76" s="155">
        <v>13433182.729999999</v>
      </c>
      <c r="L76" s="197"/>
    </row>
    <row r="77" spans="1:12" x14ac:dyDescent="0.35">
      <c r="A77" s="202"/>
      <c r="B77" s="202"/>
      <c r="C77" s="202"/>
      <c r="D77" s="202"/>
      <c r="E77" s="202"/>
      <c r="F77" s="210" t="s">
        <v>200</v>
      </c>
      <c r="G77" s="140">
        <v>13433182.73</v>
      </c>
      <c r="H77" s="206"/>
      <c r="I77" s="163">
        <v>0.27111610112817991</v>
      </c>
      <c r="J77" s="163">
        <v>0.72888389887182004</v>
      </c>
      <c r="K77" s="211"/>
      <c r="L77" s="202"/>
    </row>
    <row r="79" spans="1:12" x14ac:dyDescent="0.35">
      <c r="A79" s="202"/>
      <c r="B79" s="202"/>
      <c r="C79" s="202"/>
      <c r="D79" s="202"/>
      <c r="E79" s="202"/>
      <c r="F79" s="202" t="s">
        <v>201</v>
      </c>
      <c r="G79" s="202"/>
      <c r="H79" s="202"/>
      <c r="I79" s="202"/>
      <c r="J79" s="202"/>
      <c r="K79" s="202"/>
      <c r="L79" s="202"/>
    </row>
    <row r="80" spans="1:12" hidden="1" x14ac:dyDescent="0.35">
      <c r="A80" s="202"/>
      <c r="B80" s="202"/>
      <c r="C80" s="202"/>
      <c r="D80" s="202"/>
      <c r="E80" s="202"/>
      <c r="F80" s="202"/>
      <c r="G80" s="202"/>
      <c r="H80" s="202" t="s">
        <v>15</v>
      </c>
      <c r="I80" s="202"/>
      <c r="J80" s="202"/>
      <c r="K80" s="202"/>
      <c r="L80" s="202"/>
    </row>
    <row r="81" spans="3:11" x14ac:dyDescent="0.35">
      <c r="C81" s="202"/>
      <c r="D81" s="202"/>
      <c r="E81" s="202"/>
      <c r="F81" s="202"/>
      <c r="G81" s="202"/>
      <c r="H81" s="202" t="s">
        <v>24</v>
      </c>
      <c r="I81" s="202"/>
      <c r="J81" s="202"/>
      <c r="K81" s="202"/>
    </row>
    <row r="82" spans="3:11" x14ac:dyDescent="0.35">
      <c r="C82" s="202"/>
      <c r="D82" s="202"/>
      <c r="E82" s="202"/>
      <c r="F82" s="202"/>
      <c r="G82" s="202"/>
      <c r="H82" s="202" t="s">
        <v>59</v>
      </c>
      <c r="I82" s="202"/>
      <c r="J82" s="202"/>
      <c r="K82" s="202"/>
    </row>
    <row r="83" spans="3:11" x14ac:dyDescent="0.35">
      <c r="C83" s="202"/>
      <c r="D83" s="202"/>
      <c r="E83" s="202"/>
      <c r="F83" s="202"/>
      <c r="G83" s="202"/>
      <c r="H83" s="210" t="s">
        <v>202</v>
      </c>
      <c r="I83" s="155">
        <v>46490276.770753399</v>
      </c>
      <c r="J83" s="161">
        <v>7.8337931724061449E-2</v>
      </c>
      <c r="K83" s="202" t="s">
        <v>203</v>
      </c>
    </row>
    <row r="97" s="144" customFormat="1" x14ac:dyDescent="0.35"/>
    <row r="98" s="144" customFormat="1" x14ac:dyDescent="0.35"/>
    <row r="99" s="144" customFormat="1" x14ac:dyDescent="0.35"/>
    <row r="100" s="144" customFormat="1" x14ac:dyDescent="0.35"/>
    <row r="101" s="144" customFormat="1" x14ac:dyDescent="0.35"/>
    <row r="102" s="144" customFormat="1" x14ac:dyDescent="0.35"/>
    <row r="103" s="144" customFormat="1" x14ac:dyDescent="0.35"/>
    <row r="104" s="144" customFormat="1" x14ac:dyDescent="0.35"/>
    <row r="105" s="144" customFormat="1" x14ac:dyDescent="0.35"/>
    <row r="106" s="144" customFormat="1" x14ac:dyDescent="0.35"/>
    <row r="107" s="144" customFormat="1" x14ac:dyDescent="0.35"/>
    <row r="108" s="144" customFormat="1" x14ac:dyDescent="0.35"/>
    <row r="109" s="144" customFormat="1" x14ac:dyDescent="0.35"/>
    <row r="110" s="144" customFormat="1" x14ac:dyDescent="0.35"/>
    <row r="112" s="144" customFormat="1" ht="15" hidden="1" customHeight="1" x14ac:dyDescent="0.35"/>
    <row r="113" s="144" customFormat="1" ht="15" hidden="1" customHeight="1" x14ac:dyDescent="0.35"/>
    <row r="114" s="144" customFormat="1" ht="15" hidden="1" customHeight="1" x14ac:dyDescent="0.35"/>
    <row r="115" s="144" customFormat="1" ht="15" hidden="1" customHeight="1" x14ac:dyDescent="0.35"/>
    <row r="116" s="144" customFormat="1" ht="15" hidden="1" customHeight="1" x14ac:dyDescent="0.35"/>
    <row r="117" s="144" customFormat="1" ht="15" hidden="1" customHeight="1" x14ac:dyDescent="0.35"/>
    <row r="118" s="144" customFormat="1" ht="15" hidden="1" customHeight="1" x14ac:dyDescent="0.35"/>
    <row r="119" s="144" customFormat="1" ht="15" hidden="1" customHeight="1" x14ac:dyDescent="0.35"/>
    <row r="120" s="144" customFormat="1" ht="15" hidden="1" customHeight="1" x14ac:dyDescent="0.35"/>
    <row r="121" s="144" customFormat="1" ht="15" hidden="1" customHeight="1" x14ac:dyDescent="0.35"/>
    <row r="122" s="144" customFormat="1" ht="15" hidden="1" customHeight="1" x14ac:dyDescent="0.35"/>
    <row r="123" s="144" customFormat="1" ht="15" hidden="1" customHeight="1" x14ac:dyDescent="0.35"/>
    <row r="124" s="144" customFormat="1" ht="15" hidden="1" customHeight="1" x14ac:dyDescent="0.35"/>
    <row r="125" s="144" customFormat="1" ht="15" hidden="1" customHeight="1" x14ac:dyDescent="0.35"/>
    <row r="126" s="144" customFormat="1" ht="15" hidden="1" customHeight="1" x14ac:dyDescent="0.35"/>
    <row r="127" s="144" customFormat="1" ht="15" hidden="1" customHeight="1" x14ac:dyDescent="0.35"/>
    <row r="128" s="144" customFormat="1" ht="15" hidden="1" customHeight="1" x14ac:dyDescent="0.35"/>
    <row r="129" s="144" customFormat="1" ht="15" hidden="1" customHeight="1" x14ac:dyDescent="0.35"/>
    <row r="130" s="144" customFormat="1" ht="15" hidden="1" customHeight="1" x14ac:dyDescent="0.35"/>
    <row r="131" s="144" customFormat="1" ht="15" hidden="1" customHeight="1" x14ac:dyDescent="0.35"/>
    <row r="132" s="144" customFormat="1" ht="15" hidden="1" customHeight="1" x14ac:dyDescent="0.35"/>
    <row r="133" s="144" customFormat="1" ht="15" hidden="1" customHeight="1" x14ac:dyDescent="0.35"/>
    <row r="134" s="144" customFormat="1" ht="15" hidden="1" customHeight="1" x14ac:dyDescent="0.35"/>
    <row r="135" s="144" customFormat="1" ht="15" hidden="1" customHeight="1" x14ac:dyDescent="0.35"/>
    <row r="136" s="144" customFormat="1" ht="15" hidden="1" customHeight="1" x14ac:dyDescent="0.35"/>
    <row r="137" s="144" customFormat="1" ht="15" hidden="1" customHeight="1" x14ac:dyDescent="0.35"/>
    <row r="138" s="144" customFormat="1" ht="15" hidden="1" customHeight="1" x14ac:dyDescent="0.35"/>
    <row r="139" s="144" customFormat="1" ht="15" hidden="1" customHeight="1" x14ac:dyDescent="0.35"/>
    <row r="140" s="144" customFormat="1" ht="15" hidden="1" customHeight="1" x14ac:dyDescent="0.35"/>
  </sheetData>
  <conditionalFormatting sqref="G76">
    <cfRule type="cellIs" dxfId="229" priority="11" operator="notEqual">
      <formula>$G$77</formula>
    </cfRule>
    <cfRule type="cellIs" dxfId="228" priority="12" operator="equal">
      <formula>$G$77</formula>
    </cfRule>
  </conditionalFormatting>
  <conditionalFormatting sqref="K9:K24">
    <cfRule type="cellIs" dxfId="227" priority="101" operator="notEqual">
      <formula>G9</formula>
    </cfRule>
    <cfRule type="cellIs" dxfId="226" priority="102" operator="equal">
      <formula>G9</formula>
    </cfRule>
  </conditionalFormatting>
  <conditionalFormatting sqref="K26:K41">
    <cfRule type="cellIs" dxfId="225" priority="69" operator="notEqual">
      <formula>G26</formula>
    </cfRule>
    <cfRule type="cellIs" dxfId="224" priority="70" operator="equal">
      <formula>G26</formula>
    </cfRule>
  </conditionalFormatting>
  <conditionalFormatting sqref="K43:K63">
    <cfRule type="cellIs" dxfId="223" priority="27" operator="notEqual">
      <formula>G43</formula>
    </cfRule>
    <cfRule type="cellIs" dxfId="222" priority="28" operator="equal">
      <formula>G43</formula>
    </cfRule>
  </conditionalFormatting>
  <conditionalFormatting sqref="K67:K69">
    <cfRule type="cellIs" dxfId="221" priority="21" operator="notEqual">
      <formula>G67</formula>
    </cfRule>
    <cfRule type="cellIs" dxfId="220" priority="22" operator="equal">
      <formula>G67</formula>
    </cfRule>
  </conditionalFormatting>
  <conditionalFormatting sqref="K71:K73">
    <cfRule type="cellIs" dxfId="219" priority="15" operator="notEqual">
      <formula>G71</formula>
    </cfRule>
    <cfRule type="cellIs" dxfId="218" priority="16" operator="equal">
      <formula>G71</formula>
    </cfRule>
  </conditionalFormatting>
  <conditionalFormatting sqref="K76">
    <cfRule type="cellIs" dxfId="217" priority="13" operator="notEqual">
      <formula>G76</formula>
    </cfRule>
    <cfRule type="cellIs" dxfId="216" priority="14" operator="equal">
      <formula>G76</formula>
    </cfRule>
  </conditionalFormatting>
  <dataValidations count="1">
    <dataValidation type="list" allowBlank="1" showInputMessage="1" showErrorMessage="1" sqref="H9:H75" xr:uid="{00000000-0002-0000-1400-000000000000}">
      <formula1>$H$80:$H$82</formula1>
    </dataValidation>
  </dataValidations>
  <pageMargins left="0.7" right="0.7" top="0.75" bottom="0.75" header="0.3" footer="0.3"/>
  <pageSetup scale="39" orientation="landscape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9" operator="notEqual" id="{056C6C24-5B58-4AC4-BEA3-267CDC9437CC}">
            <xm:f>'\Finance\Work\Reports &amp; Surveys\Cost Analysis\Cost Analysis - 2013-2014\Received from Colleges\SCF-Manatee\[14 SCF Manatee Sarasota 2013-14 CA2 (rev) 10-30-14.xlsx]CA2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10" operator="equal" id="{86EB7ED4-2EE6-4817-A52F-F2FB37D3796A}">
            <xm:f>'\Finance\Work\Reports &amp; Surveys\Cost Analysis\Cost Analysis - 2013-2014\Received from Colleges\SCF-Manatee\[14 SCF Manatee Sarasota 2013-14 CA2 (rev) 10-30-14.xlsx]CA2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G8</xm:sqref>
        </x14:conditionalFormatting>
        <x14:conditionalFormatting xmlns:xm="http://schemas.microsoft.com/office/excel/2006/main">
          <x14:cfRule type="cellIs" priority="7" operator="notEqual" id="{D3523A6C-A7E3-4678-9C44-1D9883240AAA}">
            <xm:f>'\Finance\Work\Reports &amp; Surveys\Cost Analysis\Cost Analysis - 2013-2014\Received from Colleges\SCF-Manatee\[14 SCF Manatee Sarasota 2013-14 CA2 (rev) 10-30-14.xlsx]CA2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8" operator="equal" id="{F5BD8F09-DBC3-4393-ADB6-D20C48D3738E}">
            <xm:f>'\Finance\Work\Reports &amp; Surveys\Cost Analysis\Cost Analysis - 2013-2014\Received from Colleges\SCF-Manatee\[14 SCF Manatee Sarasota 2013-14 CA2 (rev) 10-30-14.xlsx]CA2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G25</xm:sqref>
        </x14:conditionalFormatting>
        <x14:conditionalFormatting xmlns:xm="http://schemas.microsoft.com/office/excel/2006/main">
          <x14:cfRule type="cellIs" priority="5" operator="notEqual" id="{0C1E015D-0621-4F4C-8431-CE84D2BC68AF}">
            <xm:f>'\Finance\Work\Reports &amp; Surveys\Cost Analysis\Cost Analysis - 2013-2014\Received from Colleges\SCF-Manatee\[14 SCF Manatee Sarasota 2013-14 CA2 (rev) 10-30-14.xlsx]CA2 Detail'!#REF!+'\Finance\Work\Reports &amp; Surveys\Cost Analysis\Cost Analysis - 2013-2014\Received from Colleges\SCF-Manatee\[14 SCF Manatee Sarasota 2013-14 CA2 (rev) 10-30-14.xlsx]CA2 Detail'!#REF!+'\Finance\Work\Reports &amp; Surveys\Cost Analysis\Cost Analysis - 2013-2014\Received from Colleges\SCF-Manatee\[14 SCF Manatee Sarasota 2013-14 CA2 (rev) 10-30-14.xlsx]CA2 Detail'!#REF!+'\Finance\Work\Reports &amp; Surveys\Cost Analysis\Cost Analysis - 2013-2014\Received from Colleges\SCF-Manatee\[14 SCF Manatee Sarasota 2013-14 CA2 (rev) 10-30-14.xlsx]CA2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6" operator="equal" id="{35B1D3C9-940B-408D-B4C7-DF18E4C9EFD4}">
            <xm:f>'\Finance\Work\Reports &amp; Surveys\Cost Analysis\Cost Analysis - 2013-2014\Received from Colleges\SCF-Manatee\[14 SCF Manatee Sarasota 2013-14 CA2 (rev) 10-30-14.xlsx]CA2 Detail'!#REF!+'\Finance\Work\Reports &amp; Surveys\Cost Analysis\Cost Analysis - 2013-2014\Received from Colleges\SCF-Manatee\[14 SCF Manatee Sarasota 2013-14 CA2 (rev) 10-30-14.xlsx]CA2 Detail'!#REF!+'\Finance\Work\Reports &amp; Surveys\Cost Analysis\Cost Analysis - 2013-2014\Received from Colleges\SCF-Manatee\[14 SCF Manatee Sarasota 2013-14 CA2 (rev) 10-30-14.xlsx]CA2 Detail'!#REF!+'\Finance\Work\Reports &amp; Surveys\Cost Analysis\Cost Analysis - 2013-2014\Received from Colleges\SCF-Manatee\[14 SCF Manatee Sarasota 2013-14 CA2 (rev) 10-30-14.xlsx]CA2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G42</xm:sqref>
        </x14:conditionalFormatting>
        <x14:conditionalFormatting xmlns:xm="http://schemas.microsoft.com/office/excel/2006/main">
          <x14:cfRule type="cellIs" priority="3" operator="notEqual" id="{ADA5E776-CF13-4A43-92A2-5488752A9B75}">
            <xm:f>'\Finance\Work\Reports &amp; Surveys\Cost Analysis\Cost Analysis - 2013-2014\Received from Colleges\SCF-Manatee\[14 SCF Manatee Sarasota 2013-14 CA2 (rev) 10-30-14.xlsx]CA2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4" operator="equal" id="{697A5255-4952-4607-A05C-B01BB9961B34}">
            <xm:f>'\Finance\Work\Reports &amp; Surveys\Cost Analysis\Cost Analysis - 2013-2014\Received from Colleges\SCF-Manatee\[14 SCF Manatee Sarasota 2013-14 CA2 (rev) 10-30-14.xlsx]CA2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G66</xm:sqref>
        </x14:conditionalFormatting>
        <x14:conditionalFormatting xmlns:xm="http://schemas.microsoft.com/office/excel/2006/main">
          <x14:cfRule type="cellIs" priority="1" operator="notEqual" id="{52DD31AB-BFE5-4BAA-8F99-6D22F409C31C}">
            <xm:f>'\Finance\Work\Reports &amp; Surveys\Cost Analysis\Cost Analysis - 2013-2014\Received from Colleges\SCF-Manatee\[14 SCF Manatee Sarasota 2013-14 CA2 (rev) 10-30-14.xlsx]CA2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2" operator="equal" id="{7F13823C-738E-4851-81A6-BE6B3BC487C1}">
            <xm:f>'\Finance\Work\Reports &amp; Surveys\Cost Analysis\Cost Analysis - 2013-2014\Received from Colleges\SCF-Manatee\[14 SCF Manatee Sarasota 2013-14 CA2 (rev) 10-30-14.xlsx]CA2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G70</xm:sqref>
        </x14:conditionalFormatting>
      </x14:conditionalFormatting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rgb="FF00B0F0"/>
    <pageSetUpPr fitToPage="1"/>
  </sheetPr>
  <dimension ref="A1:L140"/>
  <sheetViews>
    <sheetView workbookViewId="0"/>
  </sheetViews>
  <sheetFormatPr defaultRowHeight="14.5" x14ac:dyDescent="0.35"/>
  <cols>
    <col min="1" max="2" width="2.81640625" customWidth="1"/>
    <col min="3" max="3" width="10.453125" style="123" bestFit="1" customWidth="1"/>
    <col min="4" max="5" width="2.81640625" customWidth="1"/>
    <col min="6" max="6" width="80.7265625" bestFit="1" customWidth="1"/>
    <col min="7" max="7" width="27.81640625" customWidth="1"/>
    <col min="8" max="8" width="15.26953125" bestFit="1" customWidth="1"/>
    <col min="9" max="9" width="27.26953125" customWidth="1"/>
    <col min="10" max="10" width="26.81640625" customWidth="1"/>
    <col min="11" max="11" width="25.81640625" customWidth="1"/>
    <col min="12" max="12" width="82.54296875" customWidth="1"/>
  </cols>
  <sheetData>
    <row r="1" spans="1:12" x14ac:dyDescent="0.35">
      <c r="A1" s="7"/>
      <c r="B1" s="7"/>
      <c r="C1" s="7"/>
      <c r="D1" s="7"/>
      <c r="E1" s="7"/>
      <c r="F1" s="7"/>
      <c r="G1" s="7"/>
      <c r="H1" s="7"/>
      <c r="I1" s="7" t="s">
        <v>0</v>
      </c>
      <c r="J1" s="7"/>
      <c r="K1" s="7"/>
      <c r="L1" s="7"/>
    </row>
    <row r="2" spans="1:12" x14ac:dyDescent="0.35">
      <c r="A2" s="7"/>
      <c r="B2" s="7"/>
      <c r="C2" s="7"/>
      <c r="D2" s="7"/>
      <c r="E2" s="7"/>
      <c r="F2" s="7"/>
      <c r="G2" s="7"/>
      <c r="H2" s="7"/>
      <c r="I2" s="132" t="s">
        <v>197</v>
      </c>
      <c r="J2" s="7"/>
      <c r="K2" s="7"/>
      <c r="L2" s="7"/>
    </row>
    <row r="3" spans="1:12" x14ac:dyDescent="0.35">
      <c r="A3" s="136" t="s">
        <v>198</v>
      </c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</row>
    <row r="4" spans="1:12" ht="19.5" customHeight="1" x14ac:dyDescent="0.35">
      <c r="A4" s="137" t="str">
        <f>'[13]Data Entry - CA2'!A2</f>
        <v>Miami Dade College</v>
      </c>
      <c r="C4"/>
    </row>
    <row r="5" spans="1:12" x14ac:dyDescent="0.35">
      <c r="C5"/>
    </row>
    <row r="6" spans="1:12" s="7" customFormat="1" x14ac:dyDescent="0.35">
      <c r="A6" s="3" t="s">
        <v>2</v>
      </c>
      <c r="B6" s="4"/>
      <c r="C6" s="4"/>
      <c r="D6" s="3" t="s">
        <v>3</v>
      </c>
      <c r="E6" s="4"/>
      <c r="F6" s="4"/>
      <c r="G6" s="118" t="s">
        <v>274</v>
      </c>
      <c r="H6" s="6" t="s">
        <v>4</v>
      </c>
      <c r="I6" s="6" t="s">
        <v>5</v>
      </c>
      <c r="J6" s="6" t="s">
        <v>6</v>
      </c>
      <c r="K6" s="6" t="s">
        <v>7</v>
      </c>
      <c r="L6" s="6" t="s">
        <v>199</v>
      </c>
    </row>
    <row r="7" spans="1:12" x14ac:dyDescent="0.35">
      <c r="A7" s="8" t="s">
        <v>9</v>
      </c>
      <c r="B7" s="9"/>
      <c r="C7" s="119"/>
      <c r="D7" s="11" t="s">
        <v>10</v>
      </c>
      <c r="E7" s="119"/>
      <c r="F7" s="119"/>
      <c r="G7" s="69"/>
      <c r="H7" s="9"/>
      <c r="I7" s="69"/>
      <c r="J7" s="69"/>
      <c r="K7" s="69"/>
      <c r="L7" s="11"/>
    </row>
    <row r="8" spans="1:12" x14ac:dyDescent="0.35">
      <c r="A8" s="8"/>
      <c r="B8" s="9" t="s">
        <v>11</v>
      </c>
      <c r="C8" s="119"/>
      <c r="D8" s="13"/>
      <c r="E8" s="9" t="s">
        <v>12</v>
      </c>
      <c r="F8" s="119"/>
      <c r="G8" s="69">
        <f>SUM(G9:G24)</f>
        <v>22533839.349999998</v>
      </c>
      <c r="H8" s="9"/>
      <c r="I8" s="69">
        <f>SUM(I9:I24)</f>
        <v>10225279.02</v>
      </c>
      <c r="J8" s="69">
        <f>SUM(J9:J24)</f>
        <v>12308560.329999996</v>
      </c>
      <c r="K8" s="69"/>
      <c r="L8" s="14"/>
    </row>
    <row r="9" spans="1:12" x14ac:dyDescent="0.35">
      <c r="A9" s="8"/>
      <c r="B9" s="9"/>
      <c r="C9" s="119" t="s">
        <v>13</v>
      </c>
      <c r="D9" s="13"/>
      <c r="E9" s="119"/>
      <c r="F9" s="9" t="s">
        <v>14</v>
      </c>
      <c r="G9" s="70">
        <v>1663886.4</v>
      </c>
      <c r="H9" s="16" t="s">
        <v>24</v>
      </c>
      <c r="I9" s="70"/>
      <c r="J9" s="70">
        <v>1663886.4</v>
      </c>
      <c r="K9" s="69">
        <f t="shared" ref="K9:K63" si="0">I9+J9</f>
        <v>1663886.4</v>
      </c>
      <c r="L9" s="17"/>
    </row>
    <row r="10" spans="1:12" x14ac:dyDescent="0.35">
      <c r="A10" s="8"/>
      <c r="B10" s="9"/>
      <c r="C10" s="119" t="s">
        <v>16</v>
      </c>
      <c r="D10" s="13"/>
      <c r="E10" s="119"/>
      <c r="F10" s="9" t="s">
        <v>17</v>
      </c>
      <c r="G10" s="70"/>
      <c r="H10" s="16"/>
      <c r="I10" s="70"/>
      <c r="J10" s="70"/>
      <c r="K10" s="69">
        <f t="shared" si="0"/>
        <v>0</v>
      </c>
      <c r="L10" s="17"/>
    </row>
    <row r="11" spans="1:12" x14ac:dyDescent="0.35">
      <c r="A11" s="8"/>
      <c r="B11" s="9"/>
      <c r="C11" s="119" t="s">
        <v>18</v>
      </c>
      <c r="D11" s="13"/>
      <c r="E11" s="119"/>
      <c r="F11" s="9" t="s">
        <v>19</v>
      </c>
      <c r="G11" s="70">
        <v>1886657.77</v>
      </c>
      <c r="H11" s="16" t="s">
        <v>15</v>
      </c>
      <c r="I11" s="70">
        <v>1886657.77</v>
      </c>
      <c r="J11" s="70"/>
      <c r="K11" s="69">
        <f t="shared" si="0"/>
        <v>1886657.77</v>
      </c>
      <c r="L11" s="17"/>
    </row>
    <row r="12" spans="1:12" x14ac:dyDescent="0.35">
      <c r="A12" s="8"/>
      <c r="B12" s="9"/>
      <c r="C12" s="119" t="s">
        <v>20</v>
      </c>
      <c r="D12" s="13"/>
      <c r="E12" s="119"/>
      <c r="F12" s="9" t="s">
        <v>21</v>
      </c>
      <c r="G12" s="70">
        <v>0</v>
      </c>
      <c r="H12" s="16"/>
      <c r="I12" s="70">
        <v>0</v>
      </c>
      <c r="J12" s="70">
        <v>0</v>
      </c>
      <c r="K12" s="69">
        <f t="shared" si="0"/>
        <v>0</v>
      </c>
      <c r="L12" s="17"/>
    </row>
    <row r="13" spans="1:12" x14ac:dyDescent="0.35">
      <c r="A13" s="8"/>
      <c r="B13" s="9"/>
      <c r="C13" s="119" t="s">
        <v>22</v>
      </c>
      <c r="D13" s="13"/>
      <c r="E13" s="119"/>
      <c r="F13" s="9" t="s">
        <v>23</v>
      </c>
      <c r="G13" s="70">
        <v>5978430.96</v>
      </c>
      <c r="H13" s="16" t="s">
        <v>59</v>
      </c>
      <c r="I13" s="70">
        <v>5380486.4199999999</v>
      </c>
      <c r="J13" s="70">
        <v>597944.54</v>
      </c>
      <c r="K13" s="69">
        <f t="shared" si="0"/>
        <v>5978430.96</v>
      </c>
      <c r="L13" s="17"/>
    </row>
    <row r="14" spans="1:12" x14ac:dyDescent="0.35">
      <c r="A14" s="8"/>
      <c r="B14" s="9"/>
      <c r="C14" s="119" t="s">
        <v>25</v>
      </c>
      <c r="D14" s="13"/>
      <c r="E14" s="119"/>
      <c r="F14" s="9" t="s">
        <v>26</v>
      </c>
      <c r="G14" s="70">
        <v>8794964.5699999984</v>
      </c>
      <c r="H14" s="16" t="s">
        <v>24</v>
      </c>
      <c r="I14" s="70"/>
      <c r="J14" s="70">
        <v>8794964.5699999984</v>
      </c>
      <c r="K14" s="69">
        <f t="shared" si="0"/>
        <v>8794964.5699999984</v>
      </c>
      <c r="L14" s="17"/>
    </row>
    <row r="15" spans="1:12" x14ac:dyDescent="0.35">
      <c r="A15" s="8"/>
      <c r="B15" s="9"/>
      <c r="C15" s="119" t="s">
        <v>27</v>
      </c>
      <c r="D15" s="13"/>
      <c r="E15" s="119"/>
      <c r="F15" s="9" t="s">
        <v>28</v>
      </c>
      <c r="G15" s="70">
        <v>539694.25</v>
      </c>
      <c r="H15" s="16" t="s">
        <v>15</v>
      </c>
      <c r="I15" s="70">
        <v>539694.25</v>
      </c>
      <c r="J15" s="70"/>
      <c r="K15" s="69">
        <f t="shared" si="0"/>
        <v>539694.25</v>
      </c>
      <c r="L15" s="17"/>
    </row>
    <row r="16" spans="1:12" x14ac:dyDescent="0.35">
      <c r="A16" s="8"/>
      <c r="B16" s="9"/>
      <c r="C16" s="119" t="s">
        <v>29</v>
      </c>
      <c r="D16" s="13"/>
      <c r="E16" s="119"/>
      <c r="F16" s="9" t="s">
        <v>30</v>
      </c>
      <c r="G16" s="70">
        <v>0</v>
      </c>
      <c r="H16" s="16"/>
      <c r="I16" s="70">
        <v>0</v>
      </c>
      <c r="J16" s="70">
        <v>0</v>
      </c>
      <c r="K16" s="69">
        <f t="shared" si="0"/>
        <v>0</v>
      </c>
      <c r="L16" s="17"/>
    </row>
    <row r="17" spans="1:12" x14ac:dyDescent="0.35">
      <c r="A17" s="8"/>
      <c r="B17" s="9"/>
      <c r="C17" s="119" t="s">
        <v>31</v>
      </c>
      <c r="D17" s="13"/>
      <c r="E17" s="119"/>
      <c r="F17" s="9" t="s">
        <v>32</v>
      </c>
      <c r="G17" s="70">
        <v>1146803.51</v>
      </c>
      <c r="H17" s="16" t="s">
        <v>15</v>
      </c>
      <c r="I17" s="70">
        <v>1146803.51</v>
      </c>
      <c r="J17" s="70"/>
      <c r="K17" s="69">
        <f t="shared" si="0"/>
        <v>1146803.51</v>
      </c>
      <c r="L17" s="17"/>
    </row>
    <row r="18" spans="1:12" x14ac:dyDescent="0.35">
      <c r="A18" s="8"/>
      <c r="B18" s="9"/>
      <c r="C18" s="119" t="s">
        <v>33</v>
      </c>
      <c r="D18" s="13"/>
      <c r="E18" s="119"/>
      <c r="F18" s="9" t="s">
        <v>34</v>
      </c>
      <c r="G18" s="70">
        <v>1055977.54</v>
      </c>
      <c r="H18" s="16" t="s">
        <v>24</v>
      </c>
      <c r="I18" s="70"/>
      <c r="J18" s="70">
        <v>1055977.54</v>
      </c>
      <c r="K18" s="69">
        <f t="shared" si="0"/>
        <v>1055977.54</v>
      </c>
      <c r="L18" s="17"/>
    </row>
    <row r="19" spans="1:12" x14ac:dyDescent="0.35">
      <c r="A19" s="8"/>
      <c r="B19" s="9"/>
      <c r="C19" s="119" t="s">
        <v>35</v>
      </c>
      <c r="D19" s="13"/>
      <c r="E19" s="119"/>
      <c r="F19" s="9" t="s">
        <v>36</v>
      </c>
      <c r="G19" s="71">
        <v>195787.28</v>
      </c>
      <c r="H19" s="16" t="s">
        <v>24</v>
      </c>
      <c r="I19" s="71"/>
      <c r="J19" s="71">
        <v>195787.28</v>
      </c>
      <c r="K19" s="69">
        <f t="shared" si="0"/>
        <v>195787.28</v>
      </c>
      <c r="L19" s="17"/>
    </row>
    <row r="20" spans="1:12" x14ac:dyDescent="0.35">
      <c r="A20" s="8"/>
      <c r="B20" s="9"/>
      <c r="C20" s="119" t="s">
        <v>37</v>
      </c>
      <c r="D20" s="13"/>
      <c r="E20" s="119"/>
      <c r="F20" s="9" t="s">
        <v>38</v>
      </c>
      <c r="G20" s="70">
        <v>1108686.5</v>
      </c>
      <c r="H20" s="16" t="s">
        <v>15</v>
      </c>
      <c r="I20" s="70">
        <v>1108686.5</v>
      </c>
      <c r="J20" s="70"/>
      <c r="K20" s="69">
        <f t="shared" si="0"/>
        <v>1108686.5</v>
      </c>
      <c r="L20" s="17"/>
    </row>
    <row r="21" spans="1:12" x14ac:dyDescent="0.35">
      <c r="A21" s="8"/>
      <c r="B21" s="9"/>
      <c r="C21" s="119" t="s">
        <v>39</v>
      </c>
      <c r="D21" s="13"/>
      <c r="E21" s="119"/>
      <c r="F21" s="9" t="s">
        <v>40</v>
      </c>
      <c r="G21" s="70">
        <v>162950.57</v>
      </c>
      <c r="H21" s="16" t="s">
        <v>15</v>
      </c>
      <c r="I21" s="70">
        <v>162950.57</v>
      </c>
      <c r="J21" s="70"/>
      <c r="K21" s="69">
        <f t="shared" si="0"/>
        <v>162950.57</v>
      </c>
      <c r="L21" s="17"/>
    </row>
    <row r="22" spans="1:12" x14ac:dyDescent="0.35">
      <c r="A22" s="8"/>
      <c r="B22" s="9"/>
      <c r="C22" s="119" t="s">
        <v>41</v>
      </c>
      <c r="D22" s="13"/>
      <c r="E22" s="119"/>
      <c r="F22" s="9" t="s">
        <v>42</v>
      </c>
      <c r="G22" s="70">
        <v>0</v>
      </c>
      <c r="H22" s="16"/>
      <c r="I22" s="70"/>
      <c r="J22" s="70"/>
      <c r="K22" s="69">
        <f t="shared" si="0"/>
        <v>0</v>
      </c>
      <c r="L22" s="17"/>
    </row>
    <row r="23" spans="1:12" x14ac:dyDescent="0.35">
      <c r="A23" s="8"/>
      <c r="B23" s="9"/>
      <c r="C23" s="119" t="s">
        <v>43</v>
      </c>
      <c r="D23" s="13"/>
      <c r="E23" s="119"/>
      <c r="F23" s="9" t="s">
        <v>44</v>
      </c>
      <c r="G23" s="70">
        <v>0</v>
      </c>
      <c r="H23" s="16"/>
      <c r="I23" s="70"/>
      <c r="J23" s="70"/>
      <c r="K23" s="69">
        <f t="shared" si="0"/>
        <v>0</v>
      </c>
      <c r="L23" s="17"/>
    </row>
    <row r="24" spans="1:12" x14ac:dyDescent="0.35">
      <c r="A24" s="9"/>
      <c r="B24" s="9"/>
      <c r="C24" s="120" t="s">
        <v>45</v>
      </c>
      <c r="D24" s="13"/>
      <c r="E24" s="120"/>
      <c r="F24" s="9" t="s">
        <v>46</v>
      </c>
      <c r="G24" s="72">
        <v>0</v>
      </c>
      <c r="H24" s="16"/>
      <c r="I24" s="72"/>
      <c r="J24" s="72"/>
      <c r="K24" s="69">
        <f t="shared" si="0"/>
        <v>0</v>
      </c>
      <c r="L24" s="17"/>
    </row>
    <row r="25" spans="1:12" x14ac:dyDescent="0.35">
      <c r="A25" s="8"/>
      <c r="B25" s="9" t="s">
        <v>47</v>
      </c>
      <c r="C25" s="119"/>
      <c r="D25" s="13"/>
      <c r="E25" s="9" t="s">
        <v>48</v>
      </c>
      <c r="F25" s="119"/>
      <c r="G25" s="69">
        <f>SUM(G26:G41)</f>
        <v>11052731.220000001</v>
      </c>
      <c r="H25" s="9"/>
      <c r="I25" s="69">
        <f>SUM(I26:I41)</f>
        <v>4657758.09</v>
      </c>
      <c r="J25" s="69">
        <f>SUM(J26:J41)</f>
        <v>6394973.1300000018</v>
      </c>
      <c r="K25" s="69"/>
      <c r="L25" s="14"/>
    </row>
    <row r="26" spans="1:12" x14ac:dyDescent="0.35">
      <c r="A26" s="8"/>
      <c r="B26" s="9"/>
      <c r="C26" s="119" t="s">
        <v>49</v>
      </c>
      <c r="D26" s="13"/>
      <c r="E26" s="119"/>
      <c r="F26" s="9" t="s">
        <v>50</v>
      </c>
      <c r="G26" s="70"/>
      <c r="H26" s="16"/>
      <c r="I26" s="70"/>
      <c r="J26" s="70"/>
      <c r="K26" s="69">
        <f t="shared" si="0"/>
        <v>0</v>
      </c>
      <c r="L26" s="17"/>
    </row>
    <row r="27" spans="1:12" x14ac:dyDescent="0.35">
      <c r="A27" s="8"/>
      <c r="B27" s="9"/>
      <c r="C27" s="119" t="s">
        <v>51</v>
      </c>
      <c r="D27" s="13"/>
      <c r="E27" s="119"/>
      <c r="F27" s="9" t="s">
        <v>52</v>
      </c>
      <c r="G27" s="70"/>
      <c r="H27" s="16"/>
      <c r="I27" s="70"/>
      <c r="J27" s="70"/>
      <c r="K27" s="69">
        <f t="shared" si="0"/>
        <v>0</v>
      </c>
      <c r="L27" s="17"/>
    </row>
    <row r="28" spans="1:12" x14ac:dyDescent="0.35">
      <c r="A28" s="8"/>
      <c r="B28" s="9"/>
      <c r="C28" s="119" t="s">
        <v>53</v>
      </c>
      <c r="D28" s="13"/>
      <c r="E28" s="119"/>
      <c r="F28" s="9" t="s">
        <v>54</v>
      </c>
      <c r="G28" s="70">
        <v>820448.38</v>
      </c>
      <c r="H28" s="16" t="s">
        <v>15</v>
      </c>
      <c r="I28" s="70">
        <v>820448.38</v>
      </c>
      <c r="J28" s="70">
        <v>0</v>
      </c>
      <c r="K28" s="69">
        <f t="shared" si="0"/>
        <v>820448.38</v>
      </c>
      <c r="L28" s="17"/>
    </row>
    <row r="29" spans="1:12" x14ac:dyDescent="0.35">
      <c r="A29" s="8"/>
      <c r="B29" s="9"/>
      <c r="C29" s="119" t="s">
        <v>55</v>
      </c>
      <c r="D29" s="13"/>
      <c r="E29" s="119"/>
      <c r="F29" s="9" t="s">
        <v>56</v>
      </c>
      <c r="G29" s="70">
        <v>5049781.5000000019</v>
      </c>
      <c r="H29" s="16" t="s">
        <v>59</v>
      </c>
      <c r="I29" s="70">
        <v>1431973.8399999999</v>
      </c>
      <c r="J29" s="70">
        <v>3617807.6600000015</v>
      </c>
      <c r="K29" s="69">
        <f t="shared" si="0"/>
        <v>5049781.5000000019</v>
      </c>
      <c r="L29" s="17"/>
    </row>
    <row r="30" spans="1:12" x14ac:dyDescent="0.35">
      <c r="A30" s="8"/>
      <c r="B30" s="9"/>
      <c r="C30" s="119" t="s">
        <v>57</v>
      </c>
      <c r="D30" s="13"/>
      <c r="E30" s="119"/>
      <c r="F30" s="9" t="s">
        <v>58</v>
      </c>
      <c r="G30" s="70">
        <v>269197.39</v>
      </c>
      <c r="H30" s="16" t="s">
        <v>15</v>
      </c>
      <c r="I30" s="70">
        <v>269197.39</v>
      </c>
      <c r="J30" s="70">
        <v>0</v>
      </c>
      <c r="K30" s="69">
        <f t="shared" si="0"/>
        <v>269197.39</v>
      </c>
      <c r="L30" s="17"/>
    </row>
    <row r="31" spans="1:12" x14ac:dyDescent="0.35">
      <c r="A31" s="8"/>
      <c r="B31" s="9"/>
      <c r="C31" s="119" t="s">
        <v>60</v>
      </c>
      <c r="D31" s="13"/>
      <c r="E31" s="119"/>
      <c r="F31" s="9" t="s">
        <v>61</v>
      </c>
      <c r="G31" s="70">
        <v>645392.93999999994</v>
      </c>
      <c r="H31" s="16" t="s">
        <v>15</v>
      </c>
      <c r="I31" s="70">
        <v>645392.93999999994</v>
      </c>
      <c r="J31" s="70">
        <v>0</v>
      </c>
      <c r="K31" s="69">
        <f t="shared" si="0"/>
        <v>645392.93999999994</v>
      </c>
      <c r="L31" s="17"/>
    </row>
    <row r="32" spans="1:12" x14ac:dyDescent="0.35">
      <c r="A32" s="8"/>
      <c r="B32" s="9"/>
      <c r="C32" s="119" t="s">
        <v>62</v>
      </c>
      <c r="D32" s="13"/>
      <c r="E32" s="119"/>
      <c r="F32" s="9" t="s">
        <v>63</v>
      </c>
      <c r="G32" s="70">
        <v>1356899.96</v>
      </c>
      <c r="H32" s="16" t="s">
        <v>24</v>
      </c>
      <c r="I32" s="70">
        <v>0</v>
      </c>
      <c r="J32" s="70">
        <v>1356899.96</v>
      </c>
      <c r="K32" s="69">
        <f t="shared" si="0"/>
        <v>1356899.96</v>
      </c>
      <c r="L32" s="17"/>
    </row>
    <row r="33" spans="1:12" x14ac:dyDescent="0.35">
      <c r="A33" s="9"/>
      <c r="B33" s="9"/>
      <c r="C33" s="119" t="s">
        <v>64</v>
      </c>
      <c r="D33" s="9"/>
      <c r="E33" s="119"/>
      <c r="F33" s="9" t="s">
        <v>65</v>
      </c>
      <c r="G33" s="70"/>
      <c r="H33" s="16"/>
      <c r="I33" s="70"/>
      <c r="J33" s="70"/>
      <c r="K33" s="69">
        <f t="shared" si="0"/>
        <v>0</v>
      </c>
      <c r="L33" s="17"/>
    </row>
    <row r="34" spans="1:12" x14ac:dyDescent="0.35">
      <c r="A34" s="9"/>
      <c r="B34" s="9"/>
      <c r="C34" s="119" t="s">
        <v>66</v>
      </c>
      <c r="D34" s="9"/>
      <c r="E34" s="9"/>
      <c r="F34" s="9" t="s">
        <v>67</v>
      </c>
      <c r="G34" s="70">
        <v>776996.29</v>
      </c>
      <c r="H34" s="16" t="s">
        <v>15</v>
      </c>
      <c r="I34" s="70">
        <v>776996.29</v>
      </c>
      <c r="J34" s="70">
        <v>0</v>
      </c>
      <c r="K34" s="69">
        <f t="shared" si="0"/>
        <v>776996.29</v>
      </c>
      <c r="L34" s="17"/>
    </row>
    <row r="35" spans="1:12" x14ac:dyDescent="0.35">
      <c r="A35" s="9"/>
      <c r="B35" s="9"/>
      <c r="C35" s="119" t="s">
        <v>68</v>
      </c>
      <c r="D35" s="9"/>
      <c r="E35" s="119"/>
      <c r="F35" s="9" t="s">
        <v>69</v>
      </c>
      <c r="G35" s="70">
        <v>1148747.92</v>
      </c>
      <c r="H35" s="16" t="s">
        <v>59</v>
      </c>
      <c r="I35" s="70">
        <v>479115.06</v>
      </c>
      <c r="J35" s="70">
        <v>669632.86</v>
      </c>
      <c r="K35" s="69">
        <f t="shared" si="0"/>
        <v>1148747.92</v>
      </c>
      <c r="L35" s="17"/>
    </row>
    <row r="36" spans="1:12" x14ac:dyDescent="0.35">
      <c r="A36" s="9"/>
      <c r="B36" s="9"/>
      <c r="C36" s="119" t="s">
        <v>70</v>
      </c>
      <c r="D36" s="9"/>
      <c r="E36" s="9"/>
      <c r="F36" s="9" t="s">
        <v>71</v>
      </c>
      <c r="G36" s="70">
        <v>234634.19</v>
      </c>
      <c r="H36" s="16" t="s">
        <v>15</v>
      </c>
      <c r="I36" s="70">
        <v>234634.19</v>
      </c>
      <c r="J36" s="70">
        <v>0</v>
      </c>
      <c r="K36" s="69">
        <f t="shared" si="0"/>
        <v>234634.19</v>
      </c>
      <c r="L36" s="17"/>
    </row>
    <row r="37" spans="1:12" x14ac:dyDescent="0.35">
      <c r="A37" s="9"/>
      <c r="B37" s="9"/>
      <c r="C37" s="119" t="s">
        <v>72</v>
      </c>
      <c r="D37" s="9"/>
      <c r="E37" s="121"/>
      <c r="F37" s="9" t="s">
        <v>73</v>
      </c>
      <c r="G37" s="70"/>
      <c r="H37" s="16"/>
      <c r="I37" s="70"/>
      <c r="J37" s="70"/>
      <c r="K37" s="69">
        <f t="shared" si="0"/>
        <v>0</v>
      </c>
      <c r="L37" s="17"/>
    </row>
    <row r="38" spans="1:12" x14ac:dyDescent="0.35">
      <c r="A38" s="9"/>
      <c r="B38" s="9"/>
      <c r="C38" s="119" t="s">
        <v>74</v>
      </c>
      <c r="D38" s="9"/>
      <c r="E38" s="9"/>
      <c r="F38" s="9" t="s">
        <v>75</v>
      </c>
      <c r="G38" s="70"/>
      <c r="H38" s="16"/>
      <c r="I38" s="70"/>
      <c r="J38" s="70"/>
      <c r="K38" s="69">
        <f t="shared" si="0"/>
        <v>0</v>
      </c>
      <c r="L38" s="17"/>
    </row>
    <row r="39" spans="1:12" x14ac:dyDescent="0.35">
      <c r="A39" s="9"/>
      <c r="B39" s="9"/>
      <c r="C39" s="119" t="s">
        <v>76</v>
      </c>
      <c r="D39" s="9"/>
      <c r="E39" s="9"/>
      <c r="F39" s="9" t="s">
        <v>77</v>
      </c>
      <c r="G39" s="70"/>
      <c r="H39" s="16"/>
      <c r="I39" s="70"/>
      <c r="J39" s="70"/>
      <c r="K39" s="69">
        <f t="shared" si="0"/>
        <v>0</v>
      </c>
      <c r="L39" s="17"/>
    </row>
    <row r="40" spans="1:12" x14ac:dyDescent="0.35">
      <c r="A40" s="9"/>
      <c r="B40" s="9"/>
      <c r="C40" s="119" t="s">
        <v>78</v>
      </c>
      <c r="D40" s="9"/>
      <c r="E40" s="9"/>
      <c r="F40" s="9" t="s">
        <v>79</v>
      </c>
      <c r="G40" s="70"/>
      <c r="H40" s="16"/>
      <c r="I40" s="70"/>
      <c r="J40" s="70"/>
      <c r="K40" s="69">
        <f t="shared" si="0"/>
        <v>0</v>
      </c>
      <c r="L40" s="17"/>
    </row>
    <row r="41" spans="1:12" x14ac:dyDescent="0.35">
      <c r="A41" s="9"/>
      <c r="B41" s="9"/>
      <c r="C41" s="119" t="s">
        <v>80</v>
      </c>
      <c r="D41" s="9"/>
      <c r="E41" s="9"/>
      <c r="F41" s="9" t="s">
        <v>81</v>
      </c>
      <c r="G41" s="70">
        <v>750632.65</v>
      </c>
      <c r="H41" s="16" t="s">
        <v>24</v>
      </c>
      <c r="I41" s="70">
        <v>0</v>
      </c>
      <c r="J41" s="70">
        <v>750632.65</v>
      </c>
      <c r="K41" s="69">
        <f t="shared" si="0"/>
        <v>750632.65</v>
      </c>
      <c r="L41" s="17"/>
    </row>
    <row r="42" spans="1:12" x14ac:dyDescent="0.35">
      <c r="A42" s="9"/>
      <c r="B42" s="9" t="s">
        <v>82</v>
      </c>
      <c r="C42" s="119"/>
      <c r="D42" s="9"/>
      <c r="E42" s="9" t="s">
        <v>83</v>
      </c>
      <c r="F42" s="9"/>
      <c r="G42" s="69">
        <f>SUM(G43:G63)</f>
        <v>41899623.590000004</v>
      </c>
      <c r="H42" s="9"/>
      <c r="I42" s="69">
        <f>SUM(I43:I63)</f>
        <v>5693546.4299999997</v>
      </c>
      <c r="J42" s="69">
        <f>SUM(J43:J63)</f>
        <v>36206077.160000004</v>
      </c>
      <c r="K42" s="69"/>
      <c r="L42" s="14"/>
    </row>
    <row r="43" spans="1:12" x14ac:dyDescent="0.35">
      <c r="A43" s="9"/>
      <c r="B43" s="9"/>
      <c r="C43" s="119" t="s">
        <v>84</v>
      </c>
      <c r="D43" s="9"/>
      <c r="E43" s="9"/>
      <c r="F43" s="9" t="s">
        <v>85</v>
      </c>
      <c r="G43" s="70">
        <v>4271073.3</v>
      </c>
      <c r="H43" s="16" t="s">
        <v>24</v>
      </c>
      <c r="I43" s="70"/>
      <c r="J43" s="70">
        <v>4271073.3</v>
      </c>
      <c r="K43" s="69">
        <f t="shared" si="0"/>
        <v>4271073.3</v>
      </c>
      <c r="L43" s="17"/>
    </row>
    <row r="44" spans="1:12" x14ac:dyDescent="0.35">
      <c r="A44" s="9"/>
      <c r="B44" s="9"/>
      <c r="C44" s="119" t="s">
        <v>86</v>
      </c>
      <c r="D44" s="9"/>
      <c r="E44" s="9"/>
      <c r="F44" s="9" t="s">
        <v>87</v>
      </c>
      <c r="G44" s="70">
        <v>16026119.190000001</v>
      </c>
      <c r="H44" s="16" t="s">
        <v>24</v>
      </c>
      <c r="I44" s="70"/>
      <c r="J44" s="70">
        <v>16026119.190000001</v>
      </c>
      <c r="K44" s="69">
        <f t="shared" si="0"/>
        <v>16026119.190000001</v>
      </c>
      <c r="L44" s="17"/>
    </row>
    <row r="45" spans="1:12" x14ac:dyDescent="0.35">
      <c r="A45" s="9"/>
      <c r="B45" s="9"/>
      <c r="C45" s="119" t="s">
        <v>88</v>
      </c>
      <c r="D45" s="9"/>
      <c r="E45" s="9"/>
      <c r="F45" s="9" t="s">
        <v>89</v>
      </c>
      <c r="G45" s="70">
        <v>3089303.3899999997</v>
      </c>
      <c r="H45" s="16" t="s">
        <v>24</v>
      </c>
      <c r="I45" s="70"/>
      <c r="J45" s="70">
        <v>3089303.3899999997</v>
      </c>
      <c r="K45" s="69">
        <f t="shared" si="0"/>
        <v>3089303.3899999997</v>
      </c>
      <c r="L45" s="17"/>
    </row>
    <row r="46" spans="1:12" x14ac:dyDescent="0.35">
      <c r="A46" s="9"/>
      <c r="B46" s="9"/>
      <c r="C46" s="119" t="s">
        <v>90</v>
      </c>
      <c r="D46" s="9"/>
      <c r="E46" s="9"/>
      <c r="F46" s="9" t="s">
        <v>91</v>
      </c>
      <c r="G46" s="70">
        <v>772558.93</v>
      </c>
      <c r="H46" s="16" t="s">
        <v>24</v>
      </c>
      <c r="I46" s="70"/>
      <c r="J46" s="70">
        <v>772558.93</v>
      </c>
      <c r="K46" s="69">
        <f t="shared" si="0"/>
        <v>772558.93</v>
      </c>
      <c r="L46" s="17"/>
    </row>
    <row r="47" spans="1:12" x14ac:dyDescent="0.35">
      <c r="A47" s="9"/>
      <c r="B47" s="9"/>
      <c r="C47" s="119" t="s">
        <v>92</v>
      </c>
      <c r="D47" s="9"/>
      <c r="E47" s="9"/>
      <c r="F47" s="9" t="s">
        <v>93</v>
      </c>
      <c r="G47" s="70">
        <v>3063670.81</v>
      </c>
      <c r="H47" s="16" t="s">
        <v>15</v>
      </c>
      <c r="I47" s="70">
        <v>3063670.81</v>
      </c>
      <c r="J47" s="70"/>
      <c r="K47" s="69">
        <f t="shared" si="0"/>
        <v>3063670.81</v>
      </c>
      <c r="L47" s="17"/>
    </row>
    <row r="48" spans="1:12" x14ac:dyDescent="0.35">
      <c r="A48" s="9"/>
      <c r="B48" s="9"/>
      <c r="C48" s="119" t="s">
        <v>94</v>
      </c>
      <c r="D48" s="9"/>
      <c r="E48" s="9"/>
      <c r="F48" s="9" t="s">
        <v>95</v>
      </c>
      <c r="G48" s="70">
        <v>877721.34000000008</v>
      </c>
      <c r="H48" s="16" t="s">
        <v>15</v>
      </c>
      <c r="I48" s="70">
        <v>877721.34000000008</v>
      </c>
      <c r="J48" s="70"/>
      <c r="K48" s="69">
        <f t="shared" si="0"/>
        <v>877721.34000000008</v>
      </c>
      <c r="L48" s="17"/>
    </row>
    <row r="49" spans="1:12" x14ac:dyDescent="0.35">
      <c r="A49" s="9"/>
      <c r="B49" s="9"/>
      <c r="C49" s="119" t="s">
        <v>96</v>
      </c>
      <c r="D49" s="9"/>
      <c r="E49" s="9"/>
      <c r="F49" s="9" t="s">
        <v>97</v>
      </c>
      <c r="G49" s="70">
        <v>1223874.3499999999</v>
      </c>
      <c r="H49" s="16" t="s">
        <v>15</v>
      </c>
      <c r="I49" s="70">
        <v>1223874.3499999999</v>
      </c>
      <c r="J49" s="70"/>
      <c r="K49" s="69">
        <f t="shared" si="0"/>
        <v>1223874.3499999999</v>
      </c>
      <c r="L49" s="17"/>
    </row>
    <row r="50" spans="1:12" x14ac:dyDescent="0.35">
      <c r="A50" s="9"/>
      <c r="B50" s="9"/>
      <c r="C50" s="119" t="s">
        <v>98</v>
      </c>
      <c r="D50" s="9"/>
      <c r="E50" s="9"/>
      <c r="F50" s="9" t="s">
        <v>99</v>
      </c>
      <c r="G50" s="70"/>
      <c r="H50" s="16"/>
      <c r="I50" s="70"/>
      <c r="J50" s="70"/>
      <c r="K50" s="69">
        <f t="shared" si="0"/>
        <v>0</v>
      </c>
      <c r="L50" s="17"/>
    </row>
    <row r="51" spans="1:12" x14ac:dyDescent="0.35">
      <c r="A51" s="9"/>
      <c r="B51" s="9"/>
      <c r="C51" s="119" t="s">
        <v>100</v>
      </c>
      <c r="D51" s="9"/>
      <c r="E51" s="9"/>
      <c r="F51" s="9" t="s">
        <v>101</v>
      </c>
      <c r="G51" s="70"/>
      <c r="H51" s="16"/>
      <c r="I51" s="70"/>
      <c r="J51" s="70"/>
      <c r="K51" s="69">
        <f t="shared" si="0"/>
        <v>0</v>
      </c>
      <c r="L51" s="17"/>
    </row>
    <row r="52" spans="1:12" x14ac:dyDescent="0.35">
      <c r="A52" s="9"/>
      <c r="B52" s="9"/>
      <c r="C52" s="119" t="s">
        <v>102</v>
      </c>
      <c r="D52" s="9"/>
      <c r="E52" s="9"/>
      <c r="F52" s="9" t="s">
        <v>103</v>
      </c>
      <c r="G52" s="70"/>
      <c r="H52" s="16"/>
      <c r="I52" s="70"/>
      <c r="J52" s="70"/>
      <c r="K52" s="69">
        <f t="shared" si="0"/>
        <v>0</v>
      </c>
      <c r="L52" s="17"/>
    </row>
    <row r="53" spans="1:12" x14ac:dyDescent="0.35">
      <c r="A53" s="9"/>
      <c r="B53" s="9"/>
      <c r="C53" s="119" t="s">
        <v>104</v>
      </c>
      <c r="D53" s="9"/>
      <c r="E53" s="9"/>
      <c r="F53" s="9" t="s">
        <v>105</v>
      </c>
      <c r="G53" s="70">
        <v>476549.87</v>
      </c>
      <c r="H53" s="16" t="s">
        <v>15</v>
      </c>
      <c r="I53" s="70">
        <v>476549.87</v>
      </c>
      <c r="J53" s="70"/>
      <c r="K53" s="69">
        <f t="shared" si="0"/>
        <v>476549.87</v>
      </c>
      <c r="L53" s="17"/>
    </row>
    <row r="54" spans="1:12" x14ac:dyDescent="0.35">
      <c r="A54" s="9"/>
      <c r="B54" s="9"/>
      <c r="C54" s="119" t="s">
        <v>106</v>
      </c>
      <c r="D54" s="9"/>
      <c r="E54" s="9"/>
      <c r="F54" s="9" t="s">
        <v>107</v>
      </c>
      <c r="G54" s="70">
        <v>489042.77999999997</v>
      </c>
      <c r="H54" s="16" t="s">
        <v>24</v>
      </c>
      <c r="I54" s="70"/>
      <c r="J54" s="70">
        <v>489042.77999999997</v>
      </c>
      <c r="K54" s="69">
        <f t="shared" si="0"/>
        <v>489042.77999999997</v>
      </c>
      <c r="L54" s="17"/>
    </row>
    <row r="55" spans="1:12" x14ac:dyDescent="0.35">
      <c r="A55" s="9"/>
      <c r="B55" s="9"/>
      <c r="C55" s="119" t="s">
        <v>108</v>
      </c>
      <c r="D55" s="9"/>
      <c r="E55" s="9"/>
      <c r="F55" s="9" t="s">
        <v>109</v>
      </c>
      <c r="G55" s="70">
        <v>124056.7</v>
      </c>
      <c r="H55" s="16" t="s">
        <v>24</v>
      </c>
      <c r="I55" s="70"/>
      <c r="J55" s="70">
        <v>124056.7</v>
      </c>
      <c r="K55" s="69">
        <f t="shared" si="0"/>
        <v>124056.7</v>
      </c>
      <c r="L55" s="17"/>
    </row>
    <row r="56" spans="1:12" x14ac:dyDescent="0.35">
      <c r="A56" s="9"/>
      <c r="B56" s="9"/>
      <c r="C56" s="119" t="s">
        <v>110</v>
      </c>
      <c r="D56" s="9"/>
      <c r="E56" s="9"/>
      <c r="F56" s="9" t="s">
        <v>111</v>
      </c>
      <c r="G56" s="70">
        <v>899505.16999999993</v>
      </c>
      <c r="H56" s="16" t="s">
        <v>24</v>
      </c>
      <c r="I56" s="70"/>
      <c r="J56" s="70">
        <v>899505.16999999993</v>
      </c>
      <c r="K56" s="69">
        <f t="shared" si="0"/>
        <v>899505.16999999993</v>
      </c>
      <c r="L56" s="17"/>
    </row>
    <row r="57" spans="1:12" x14ac:dyDescent="0.35">
      <c r="A57" s="9"/>
      <c r="B57" s="9"/>
      <c r="C57" s="119" t="s">
        <v>112</v>
      </c>
      <c r="D57" s="9"/>
      <c r="E57" s="9"/>
      <c r="F57" s="9" t="s">
        <v>113</v>
      </c>
      <c r="G57" s="70">
        <v>311271.87</v>
      </c>
      <c r="H57" s="16" t="s">
        <v>24</v>
      </c>
      <c r="I57" s="70"/>
      <c r="J57" s="70">
        <v>311271.87</v>
      </c>
      <c r="K57" s="69">
        <f t="shared" si="0"/>
        <v>311271.87</v>
      </c>
      <c r="L57" s="17"/>
    </row>
    <row r="58" spans="1:12" x14ac:dyDescent="0.35">
      <c r="A58" s="9"/>
      <c r="B58" s="9"/>
      <c r="C58" s="119" t="s">
        <v>114</v>
      </c>
      <c r="D58" s="9"/>
      <c r="E58" s="9"/>
      <c r="F58" s="9" t="s">
        <v>115</v>
      </c>
      <c r="G58" s="70">
        <v>476484.13</v>
      </c>
      <c r="H58" s="16" t="s">
        <v>24</v>
      </c>
      <c r="I58" s="70"/>
      <c r="J58" s="70">
        <v>476484.13</v>
      </c>
      <c r="K58" s="69">
        <f t="shared" si="0"/>
        <v>476484.13</v>
      </c>
      <c r="L58" s="17"/>
    </row>
    <row r="59" spans="1:12" x14ac:dyDescent="0.35">
      <c r="A59" s="9"/>
      <c r="B59" s="9"/>
      <c r="C59" s="119" t="s">
        <v>116</v>
      </c>
      <c r="D59" s="9"/>
      <c r="E59" s="9"/>
      <c r="F59" s="9" t="s">
        <v>117</v>
      </c>
      <c r="G59" s="70">
        <v>20858</v>
      </c>
      <c r="H59" s="16" t="s">
        <v>24</v>
      </c>
      <c r="I59" s="70"/>
      <c r="J59" s="70">
        <v>20858</v>
      </c>
      <c r="K59" s="69">
        <f t="shared" si="0"/>
        <v>20858</v>
      </c>
      <c r="L59" s="17"/>
    </row>
    <row r="60" spans="1:12" x14ac:dyDescent="0.35">
      <c r="A60" s="9"/>
      <c r="B60" s="9"/>
      <c r="C60" s="119" t="s">
        <v>118</v>
      </c>
      <c r="D60" s="9"/>
      <c r="E60" s="9"/>
      <c r="F60" s="9" t="s">
        <v>119</v>
      </c>
      <c r="G60" s="70">
        <v>51730.06</v>
      </c>
      <c r="H60" s="16" t="s">
        <v>15</v>
      </c>
      <c r="I60" s="70">
        <v>51730.06</v>
      </c>
      <c r="J60" s="70"/>
      <c r="K60" s="69">
        <f t="shared" si="0"/>
        <v>51730.06</v>
      </c>
      <c r="L60" s="17"/>
    </row>
    <row r="61" spans="1:12" x14ac:dyDescent="0.35">
      <c r="A61" s="9"/>
      <c r="B61" s="9"/>
      <c r="C61" s="119" t="s">
        <v>120</v>
      </c>
      <c r="D61" s="9"/>
      <c r="E61" s="9"/>
      <c r="F61" s="9" t="s">
        <v>121</v>
      </c>
      <c r="G61" s="70">
        <v>0</v>
      </c>
      <c r="H61" s="16"/>
      <c r="I61" s="70"/>
      <c r="J61" s="70">
        <v>0</v>
      </c>
      <c r="K61" s="69">
        <f t="shared" si="0"/>
        <v>0</v>
      </c>
      <c r="L61" s="17"/>
    </row>
    <row r="62" spans="1:12" x14ac:dyDescent="0.35">
      <c r="A62" s="9"/>
      <c r="B62" s="9"/>
      <c r="C62" s="119" t="s">
        <v>122</v>
      </c>
      <c r="D62" s="9"/>
      <c r="E62" s="9"/>
      <c r="F62" s="9" t="s">
        <v>123</v>
      </c>
      <c r="G62" s="70">
        <v>9725803.7000000011</v>
      </c>
      <c r="H62" s="16" t="s">
        <v>24</v>
      </c>
      <c r="I62" s="70"/>
      <c r="J62" s="70">
        <v>9725803.7000000011</v>
      </c>
      <c r="K62" s="69">
        <f t="shared" si="0"/>
        <v>9725803.7000000011</v>
      </c>
      <c r="L62" s="17"/>
    </row>
    <row r="63" spans="1:12" x14ac:dyDescent="0.35">
      <c r="A63" s="9"/>
      <c r="B63" s="9"/>
      <c r="C63" s="119" t="s">
        <v>124</v>
      </c>
      <c r="D63" s="9"/>
      <c r="E63" s="9"/>
      <c r="F63" s="9" t="s">
        <v>125</v>
      </c>
      <c r="G63" s="70"/>
      <c r="H63" s="16"/>
      <c r="I63" s="70"/>
      <c r="J63" s="70"/>
      <c r="K63" s="69">
        <f t="shared" si="0"/>
        <v>0</v>
      </c>
      <c r="L63" s="17"/>
    </row>
    <row r="64" spans="1:12" hidden="1" x14ac:dyDescent="0.35">
      <c r="A64" s="9"/>
      <c r="B64" s="9" t="s">
        <v>126</v>
      </c>
      <c r="C64" s="119"/>
      <c r="D64" s="9"/>
      <c r="E64" s="9" t="s">
        <v>127</v>
      </c>
      <c r="F64" s="9"/>
      <c r="G64" s="69"/>
      <c r="H64" s="9"/>
      <c r="I64" s="69"/>
      <c r="J64" s="69"/>
      <c r="K64" s="69"/>
      <c r="L64" s="14"/>
    </row>
    <row r="65" spans="1:12" hidden="1" x14ac:dyDescent="0.35">
      <c r="A65" s="9"/>
      <c r="B65" s="9" t="s">
        <v>128</v>
      </c>
      <c r="C65" s="119"/>
      <c r="D65" s="9"/>
      <c r="E65" s="9" t="s">
        <v>127</v>
      </c>
      <c r="F65" s="9"/>
      <c r="G65" s="69"/>
      <c r="H65" s="9"/>
      <c r="I65" s="69"/>
      <c r="J65" s="69"/>
      <c r="K65" s="69"/>
      <c r="L65" s="14"/>
    </row>
    <row r="66" spans="1:12" x14ac:dyDescent="0.35">
      <c r="A66" s="9"/>
      <c r="B66" s="9" t="s">
        <v>129</v>
      </c>
      <c r="C66" s="119"/>
      <c r="D66" s="9"/>
      <c r="E66" s="9" t="s">
        <v>130</v>
      </c>
      <c r="F66" s="9"/>
      <c r="G66" s="69">
        <f>SUM(G67:G69)</f>
        <v>0</v>
      </c>
      <c r="H66" s="9"/>
      <c r="I66" s="69">
        <f>SUM(I67:I69)</f>
        <v>0</v>
      </c>
      <c r="J66" s="69">
        <f>SUM(J67:J69)</f>
        <v>0</v>
      </c>
      <c r="K66" s="69"/>
      <c r="L66" s="14"/>
    </row>
    <row r="67" spans="1:12" x14ac:dyDescent="0.35">
      <c r="A67" s="9"/>
      <c r="B67" s="9"/>
      <c r="C67" s="119" t="s">
        <v>131</v>
      </c>
      <c r="D67" s="9"/>
      <c r="E67" s="9"/>
      <c r="F67" s="9" t="s">
        <v>132</v>
      </c>
      <c r="G67" s="70"/>
      <c r="H67" s="16"/>
      <c r="I67" s="70"/>
      <c r="J67" s="70">
        <v>0</v>
      </c>
      <c r="K67" s="69">
        <f t="shared" ref="K67:K69" si="1">I67+J67</f>
        <v>0</v>
      </c>
      <c r="L67" s="17"/>
    </row>
    <row r="68" spans="1:12" x14ac:dyDescent="0.35">
      <c r="A68" s="9"/>
      <c r="B68" s="9"/>
      <c r="C68" s="119" t="s">
        <v>133</v>
      </c>
      <c r="D68" s="9"/>
      <c r="E68" s="9"/>
      <c r="F68" s="9" t="s">
        <v>134</v>
      </c>
      <c r="G68" s="70"/>
      <c r="H68" s="16"/>
      <c r="I68" s="70"/>
      <c r="J68" s="70"/>
      <c r="K68" s="69">
        <f t="shared" si="1"/>
        <v>0</v>
      </c>
      <c r="L68" s="17"/>
    </row>
    <row r="69" spans="1:12" x14ac:dyDescent="0.35">
      <c r="A69" s="9"/>
      <c r="B69" s="9"/>
      <c r="C69" s="119" t="s">
        <v>135</v>
      </c>
      <c r="D69" s="9"/>
      <c r="E69" s="9"/>
      <c r="F69" s="9" t="s">
        <v>136</v>
      </c>
      <c r="G69" s="70"/>
      <c r="H69" s="16"/>
      <c r="I69" s="70"/>
      <c r="J69" s="70"/>
      <c r="K69" s="69">
        <f t="shared" si="1"/>
        <v>0</v>
      </c>
      <c r="L69" s="17"/>
    </row>
    <row r="70" spans="1:12" x14ac:dyDescent="0.35">
      <c r="A70" s="9"/>
      <c r="B70" s="9" t="s">
        <v>137</v>
      </c>
      <c r="C70" s="119"/>
      <c r="D70" s="9"/>
      <c r="E70" s="9" t="s">
        <v>138</v>
      </c>
      <c r="F70" s="9"/>
      <c r="G70" s="69">
        <f>SUM(G71:G73)</f>
        <v>6093089.7000000002</v>
      </c>
      <c r="H70" s="9"/>
      <c r="I70" s="69">
        <f>SUM(I71:I73)</f>
        <v>6093089.7000000002</v>
      </c>
      <c r="J70" s="69">
        <f>SUM(J71:J73)</f>
        <v>0</v>
      </c>
      <c r="K70" s="69"/>
      <c r="L70" s="14"/>
    </row>
    <row r="71" spans="1:12" x14ac:dyDescent="0.35">
      <c r="A71" s="9"/>
      <c r="B71" s="9"/>
      <c r="C71" s="119" t="s">
        <v>139</v>
      </c>
      <c r="D71" s="9"/>
      <c r="E71" s="9"/>
      <c r="F71" s="9" t="s">
        <v>140</v>
      </c>
      <c r="G71" s="70"/>
      <c r="H71" s="16"/>
      <c r="I71" s="70"/>
      <c r="J71" s="70"/>
      <c r="K71" s="69">
        <f t="shared" ref="K71:K73" si="2">I71+J71</f>
        <v>0</v>
      </c>
      <c r="L71" s="17"/>
    </row>
    <row r="72" spans="1:12" x14ac:dyDescent="0.35">
      <c r="A72" s="9"/>
      <c r="B72" s="9"/>
      <c r="C72" s="119" t="s">
        <v>141</v>
      </c>
      <c r="D72" s="9"/>
      <c r="E72" s="9"/>
      <c r="F72" s="9" t="s">
        <v>142</v>
      </c>
      <c r="G72" s="70">
        <v>6093089.7000000002</v>
      </c>
      <c r="H72" s="16" t="s">
        <v>15</v>
      </c>
      <c r="I72" s="70">
        <v>6093089.7000000002</v>
      </c>
      <c r="J72" s="70"/>
      <c r="K72" s="69">
        <f t="shared" si="2"/>
        <v>6093089.7000000002</v>
      </c>
      <c r="L72" s="17"/>
    </row>
    <row r="73" spans="1:12" x14ac:dyDescent="0.35">
      <c r="A73" s="9"/>
      <c r="B73" s="9"/>
      <c r="C73" s="119" t="s">
        <v>143</v>
      </c>
      <c r="D73" s="9"/>
      <c r="E73" s="9"/>
      <c r="F73" s="9" t="s">
        <v>144</v>
      </c>
      <c r="G73" s="70"/>
      <c r="H73" s="16"/>
      <c r="I73" s="70"/>
      <c r="J73" s="70"/>
      <c r="K73" s="69">
        <f t="shared" si="2"/>
        <v>0</v>
      </c>
      <c r="L73" s="17"/>
    </row>
    <row r="74" spans="1:12" hidden="1" x14ac:dyDescent="0.35">
      <c r="A74" s="9"/>
      <c r="B74" s="9" t="s">
        <v>145</v>
      </c>
      <c r="C74" s="119"/>
      <c r="D74" s="9"/>
      <c r="E74" s="9" t="s">
        <v>127</v>
      </c>
      <c r="F74" s="9"/>
      <c r="G74" s="69"/>
      <c r="H74" s="9"/>
      <c r="I74" s="69"/>
      <c r="J74" s="69"/>
      <c r="K74" s="69"/>
      <c r="L74" s="14"/>
    </row>
    <row r="75" spans="1:12" hidden="1" x14ac:dyDescent="0.35">
      <c r="A75" s="9"/>
      <c r="B75" s="9" t="s">
        <v>146</v>
      </c>
      <c r="C75" s="119"/>
      <c r="D75" s="9"/>
      <c r="E75" s="9" t="s">
        <v>127</v>
      </c>
      <c r="F75" s="9"/>
      <c r="G75" s="69"/>
      <c r="H75" s="9"/>
      <c r="I75" s="69"/>
      <c r="J75" s="69"/>
      <c r="K75" s="69"/>
      <c r="L75" s="14"/>
    </row>
    <row r="76" spans="1:12" s="7" customFormat="1" x14ac:dyDescent="0.35">
      <c r="A76" s="4" t="s">
        <v>147</v>
      </c>
      <c r="B76" s="4"/>
      <c r="C76" s="122"/>
      <c r="D76" s="4"/>
      <c r="E76" s="4"/>
      <c r="F76" s="4"/>
      <c r="G76" s="138">
        <f>G8+G25+G42+G66+G70</f>
        <v>81579283.859999999</v>
      </c>
      <c r="H76" s="88"/>
      <c r="I76" s="138">
        <f>I8+I25+I42+I66+I70</f>
        <v>26669673.239999998</v>
      </c>
      <c r="J76" s="138">
        <f>J8+J25+J42+J66+J70</f>
        <v>54909610.620000005</v>
      </c>
      <c r="K76" s="69">
        <f t="shared" ref="K76" si="3">I76+J76</f>
        <v>81579283.859999999</v>
      </c>
      <c r="L76" s="25"/>
    </row>
    <row r="77" spans="1:12" x14ac:dyDescent="0.35">
      <c r="F77" s="139" t="s">
        <v>200</v>
      </c>
      <c r="G77" s="140">
        <f>'[13]CA2 Detail'!L173</f>
        <v>81579283.859999999</v>
      </c>
      <c r="H77" s="13"/>
      <c r="I77" s="89">
        <f>I76/G76</f>
        <v>0.32691722675291451</v>
      </c>
      <c r="J77" s="89">
        <f>J76/G76</f>
        <v>0.67308277324708554</v>
      </c>
      <c r="K77" s="27"/>
    </row>
    <row r="79" spans="1:12" x14ac:dyDescent="0.35">
      <c r="F79" s="142" t="s">
        <v>201</v>
      </c>
    </row>
    <row r="80" spans="1:12" hidden="1" x14ac:dyDescent="0.35">
      <c r="H80" t="s">
        <v>15</v>
      </c>
    </row>
    <row r="81" spans="3:11" hidden="1" x14ac:dyDescent="0.35">
      <c r="C81"/>
      <c r="H81" t="s">
        <v>24</v>
      </c>
    </row>
    <row r="82" spans="3:11" hidden="1" x14ac:dyDescent="0.35">
      <c r="C82"/>
      <c r="H82" t="s">
        <v>59</v>
      </c>
    </row>
    <row r="83" spans="3:11" x14ac:dyDescent="0.35">
      <c r="C83"/>
      <c r="H83" s="139" t="s">
        <v>202</v>
      </c>
      <c r="I83" s="69">
        <f>'[13]CA2 Detail'!W121-'[13]CA2 Detail'!J203</f>
        <v>353254062.45600003</v>
      </c>
      <c r="J83" s="161">
        <f>I76/I83</f>
        <v>7.5497145183777953E-2</v>
      </c>
      <c r="K83" s="142" t="s">
        <v>203</v>
      </c>
    </row>
    <row r="97" spans="3:3" x14ac:dyDescent="0.35">
      <c r="C97"/>
    </row>
    <row r="98" spans="3:3" x14ac:dyDescent="0.35">
      <c r="C98"/>
    </row>
    <row r="99" spans="3:3" x14ac:dyDescent="0.35">
      <c r="C99"/>
    </row>
    <row r="100" spans="3:3" x14ac:dyDescent="0.35">
      <c r="C100"/>
    </row>
    <row r="101" spans="3:3" x14ac:dyDescent="0.35">
      <c r="C101"/>
    </row>
    <row r="102" spans="3:3" x14ac:dyDescent="0.35">
      <c r="C102"/>
    </row>
    <row r="103" spans="3:3" x14ac:dyDescent="0.35">
      <c r="C103"/>
    </row>
    <row r="104" spans="3:3" x14ac:dyDescent="0.35">
      <c r="C104"/>
    </row>
    <row r="105" spans="3:3" x14ac:dyDescent="0.35">
      <c r="C105"/>
    </row>
    <row r="106" spans="3:3" x14ac:dyDescent="0.35">
      <c r="C106"/>
    </row>
    <row r="107" spans="3:3" x14ac:dyDescent="0.35">
      <c r="C107"/>
    </row>
    <row r="108" spans="3:3" x14ac:dyDescent="0.35">
      <c r="C108"/>
    </row>
    <row r="109" spans="3:3" x14ac:dyDescent="0.35">
      <c r="C109"/>
    </row>
    <row r="112" spans="3:3" ht="15" hidden="1" customHeight="1" x14ac:dyDescent="0.35"/>
    <row r="113" ht="15" hidden="1" customHeight="1" x14ac:dyDescent="0.35"/>
    <row r="114" ht="15" hidden="1" customHeight="1" x14ac:dyDescent="0.35"/>
    <row r="115" ht="15" hidden="1" customHeight="1" x14ac:dyDescent="0.35"/>
    <row r="116" ht="15" hidden="1" customHeight="1" x14ac:dyDescent="0.35"/>
    <row r="117" ht="15" hidden="1" customHeight="1" x14ac:dyDescent="0.35"/>
    <row r="118" ht="15" hidden="1" customHeight="1" x14ac:dyDescent="0.35"/>
    <row r="119" ht="15" hidden="1" customHeight="1" x14ac:dyDescent="0.35"/>
    <row r="120" ht="15" hidden="1" customHeight="1" x14ac:dyDescent="0.35"/>
    <row r="121" ht="15" hidden="1" customHeight="1" x14ac:dyDescent="0.35"/>
    <row r="122" ht="15" hidden="1" customHeight="1" x14ac:dyDescent="0.35"/>
    <row r="123" ht="15" hidden="1" customHeight="1" x14ac:dyDescent="0.35"/>
    <row r="124" ht="15" hidden="1" customHeight="1" x14ac:dyDescent="0.35"/>
    <row r="125" ht="15" hidden="1" customHeight="1" x14ac:dyDescent="0.35"/>
    <row r="126" ht="15" hidden="1" customHeight="1" x14ac:dyDescent="0.35"/>
    <row r="127" ht="15" hidden="1" customHeight="1" x14ac:dyDescent="0.35"/>
    <row r="128" ht="15" hidden="1" customHeight="1" x14ac:dyDescent="0.35"/>
    <row r="129" ht="15" hidden="1" customHeight="1" x14ac:dyDescent="0.35"/>
    <row r="130" ht="15" hidden="1" customHeight="1" x14ac:dyDescent="0.35"/>
    <row r="131" ht="15" hidden="1" customHeight="1" x14ac:dyDescent="0.35"/>
    <row r="132" ht="15" hidden="1" customHeight="1" x14ac:dyDescent="0.35"/>
    <row r="133" ht="15" hidden="1" customHeight="1" x14ac:dyDescent="0.35"/>
    <row r="134" ht="15" hidden="1" customHeight="1" x14ac:dyDescent="0.35"/>
    <row r="135" ht="15" hidden="1" customHeight="1" x14ac:dyDescent="0.35"/>
    <row r="136" ht="15" hidden="1" customHeight="1" x14ac:dyDescent="0.35"/>
    <row r="137" ht="15" hidden="1" customHeight="1" x14ac:dyDescent="0.35"/>
    <row r="138" ht="15" hidden="1" customHeight="1" x14ac:dyDescent="0.35"/>
    <row r="139" ht="15" hidden="1" customHeight="1" x14ac:dyDescent="0.35"/>
    <row r="140" ht="15" hidden="1" customHeight="1" x14ac:dyDescent="0.35"/>
  </sheetData>
  <conditionalFormatting sqref="G76">
    <cfRule type="cellIs" dxfId="205" priority="1" operator="notEqual">
      <formula>$G$77</formula>
    </cfRule>
    <cfRule type="cellIs" dxfId="204" priority="2" operator="equal">
      <formula>$G$77</formula>
    </cfRule>
  </conditionalFormatting>
  <conditionalFormatting sqref="K9:K24">
    <cfRule type="cellIs" dxfId="203" priority="13" operator="notEqual">
      <formula>G9</formula>
    </cfRule>
    <cfRule type="cellIs" dxfId="202" priority="14" operator="equal">
      <formula>G9</formula>
    </cfRule>
  </conditionalFormatting>
  <conditionalFormatting sqref="K26:K41">
    <cfRule type="cellIs" dxfId="201" priority="11" operator="notEqual">
      <formula>G26</formula>
    </cfRule>
    <cfRule type="cellIs" dxfId="200" priority="12" operator="equal">
      <formula>G26</formula>
    </cfRule>
  </conditionalFormatting>
  <conditionalFormatting sqref="K43:K63">
    <cfRule type="cellIs" dxfId="199" priority="9" operator="notEqual">
      <formula>G43</formula>
    </cfRule>
    <cfRule type="cellIs" dxfId="198" priority="10" operator="equal">
      <formula>G43</formula>
    </cfRule>
  </conditionalFormatting>
  <conditionalFormatting sqref="K67:K69">
    <cfRule type="cellIs" dxfId="197" priority="7" operator="notEqual">
      <formula>G67</formula>
    </cfRule>
    <cfRule type="cellIs" dxfId="196" priority="8" operator="equal">
      <formula>G67</formula>
    </cfRule>
  </conditionalFormatting>
  <conditionalFormatting sqref="K71:K73">
    <cfRule type="cellIs" dxfId="195" priority="5" operator="notEqual">
      <formula>G71</formula>
    </cfRule>
    <cfRule type="cellIs" dxfId="194" priority="6" operator="equal">
      <formula>G71</formula>
    </cfRule>
  </conditionalFormatting>
  <conditionalFormatting sqref="K76">
    <cfRule type="cellIs" dxfId="193" priority="3" operator="notEqual">
      <formula>G76</formula>
    </cfRule>
    <cfRule type="cellIs" dxfId="192" priority="4" operator="equal">
      <formula>G76</formula>
    </cfRule>
  </conditionalFormatting>
  <dataValidations count="1">
    <dataValidation type="list" allowBlank="1" showInputMessage="1" showErrorMessage="1" sqref="H9:H75" xr:uid="{6DC688BC-863D-4029-AD57-1D7D7159683F}">
      <formula1>$H$80:$H$82</formula1>
    </dataValidation>
  </dataValidations>
  <pageMargins left="0.7" right="0.7" top="0.75" bottom="0.75" header="0.3" footer="0.3"/>
  <pageSetup scale="39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Q150"/>
  <sheetViews>
    <sheetView zoomScale="60" zoomScaleNormal="60" workbookViewId="0">
      <pane xSplit="6" ySplit="7" topLeftCell="G8" activePane="bottomRight" state="frozen"/>
      <selection activeCell="B1" sqref="B1"/>
      <selection pane="topRight" activeCell="B1" sqref="B1"/>
      <selection pane="bottomLeft" activeCell="B1" sqref="B1"/>
      <selection pane="bottomRight" activeCell="G7" sqref="G7"/>
    </sheetView>
  </sheetViews>
  <sheetFormatPr defaultColWidth="9.1796875" defaultRowHeight="15.5" x14ac:dyDescent="0.35"/>
  <cols>
    <col min="1" max="1" width="3" style="29" customWidth="1"/>
    <col min="2" max="2" width="2.81640625" style="29" customWidth="1"/>
    <col min="3" max="3" width="4.81640625" style="29" customWidth="1"/>
    <col min="4" max="5" width="2.81640625" style="29" customWidth="1"/>
    <col min="6" max="6" width="70.7265625" style="29" bestFit="1" customWidth="1"/>
    <col min="7" max="35" width="8.7265625" style="29" customWidth="1"/>
    <col min="36" max="36" width="15.7265625" style="29" customWidth="1"/>
    <col min="37" max="43" width="10.7265625" style="29" customWidth="1"/>
    <col min="44" max="44" width="8.7265625" style="29" bestFit="1" customWidth="1"/>
    <col min="45" max="45" width="12.7265625" style="29" bestFit="1" customWidth="1"/>
    <col min="46" max="46" width="21.1796875" style="29" bestFit="1" customWidth="1"/>
    <col min="47" max="47" width="19.81640625" style="29" bestFit="1" customWidth="1"/>
    <col min="48" max="48" width="28.7265625" style="29" bestFit="1" customWidth="1"/>
    <col min="49" max="49" width="32.26953125" style="29" bestFit="1" customWidth="1"/>
    <col min="50" max="50" width="42.81640625" style="29" bestFit="1" customWidth="1"/>
    <col min="51" max="51" width="36.81640625" style="29" bestFit="1" customWidth="1"/>
    <col min="52" max="52" width="22.7265625" style="29" bestFit="1" customWidth="1"/>
    <col min="53" max="53" width="19" style="29" bestFit="1" customWidth="1"/>
    <col min="54" max="54" width="27" style="29" bestFit="1" customWidth="1"/>
    <col min="55" max="55" width="37.1796875" style="29" bestFit="1" customWidth="1"/>
    <col min="56" max="56" width="28" style="29" bestFit="1" customWidth="1"/>
    <col min="57" max="58" width="11.1796875" style="29" bestFit="1" customWidth="1"/>
    <col min="59" max="59" width="5.81640625" style="29" customWidth="1"/>
    <col min="60" max="60" width="17.7265625" style="29" bestFit="1" customWidth="1"/>
    <col min="61" max="61" width="52.81640625" style="29" bestFit="1" customWidth="1"/>
    <col min="62" max="62" width="21.7265625" style="29" bestFit="1" customWidth="1"/>
    <col min="63" max="63" width="3" style="29" customWidth="1"/>
    <col min="64" max="64" width="16.26953125" style="29" bestFit="1" customWidth="1"/>
    <col min="65" max="65" width="41.1796875" style="29" bestFit="1" customWidth="1"/>
    <col min="66" max="66" width="26.7265625" style="29" bestFit="1" customWidth="1"/>
    <col min="67" max="68" width="11.1796875" style="29" bestFit="1" customWidth="1"/>
    <col min="69" max="16384" width="9.1796875" style="29"/>
  </cols>
  <sheetData>
    <row r="1" spans="1:43" x14ac:dyDescent="0.35">
      <c r="E1" s="101" t="s">
        <v>174</v>
      </c>
      <c r="F1" s="44"/>
    </row>
    <row r="2" spans="1:43" x14ac:dyDescent="0.35">
      <c r="E2" s="102" t="s">
        <v>263</v>
      </c>
      <c r="F2" s="100" t="s">
        <v>271</v>
      </c>
    </row>
    <row r="3" spans="1:43" x14ac:dyDescent="0.35">
      <c r="E3" s="44" t="s">
        <v>182</v>
      </c>
      <c r="F3" s="44"/>
    </row>
    <row r="4" spans="1:43" x14ac:dyDescent="0.35">
      <c r="B4" s="40"/>
      <c r="C4" s="40"/>
    </row>
    <row r="5" spans="1:43" x14ac:dyDescent="0.35">
      <c r="B5" s="40"/>
      <c r="C5" s="40"/>
      <c r="AD5" s="29" t="s">
        <v>187</v>
      </c>
    </row>
    <row r="6" spans="1:43" x14ac:dyDescent="0.35">
      <c r="F6" s="44" t="s">
        <v>186</v>
      </c>
      <c r="AK6" s="29" t="s">
        <v>183</v>
      </c>
      <c r="AL6" s="29" t="s">
        <v>183</v>
      </c>
      <c r="AM6" s="29" t="s">
        <v>183</v>
      </c>
      <c r="AN6" s="29" t="s">
        <v>184</v>
      </c>
      <c r="AO6" s="29" t="s">
        <v>185</v>
      </c>
      <c r="AP6" s="29" t="s">
        <v>185</v>
      </c>
      <c r="AQ6" s="29" t="s">
        <v>185</v>
      </c>
    </row>
    <row r="7" spans="1:43" x14ac:dyDescent="0.35">
      <c r="F7" s="30" t="s">
        <v>175</v>
      </c>
      <c r="G7" s="46" t="s">
        <v>196</v>
      </c>
      <c r="H7" s="46" t="s">
        <v>148</v>
      </c>
      <c r="I7" s="46" t="s">
        <v>149</v>
      </c>
      <c r="J7" s="46" t="s">
        <v>150</v>
      </c>
      <c r="K7" s="46" t="s">
        <v>151</v>
      </c>
      <c r="L7" s="46" t="s">
        <v>207</v>
      </c>
      <c r="M7" s="46" t="s">
        <v>152</v>
      </c>
      <c r="N7" s="46" t="s">
        <v>255</v>
      </c>
      <c r="O7" s="46" t="s">
        <v>154</v>
      </c>
      <c r="P7" s="46" t="s">
        <v>155</v>
      </c>
      <c r="Q7" s="46" t="s">
        <v>156</v>
      </c>
      <c r="R7" s="46" t="s">
        <v>157</v>
      </c>
      <c r="S7" s="46" t="s">
        <v>158</v>
      </c>
      <c r="T7" s="46" t="s">
        <v>159</v>
      </c>
      <c r="U7" s="46" t="s">
        <v>160</v>
      </c>
      <c r="V7" s="46" t="s">
        <v>254</v>
      </c>
      <c r="W7" s="46" t="s">
        <v>162</v>
      </c>
      <c r="X7" s="46" t="s">
        <v>163</v>
      </c>
      <c r="Y7" s="46" t="s">
        <v>208</v>
      </c>
      <c r="Z7" s="46" t="s">
        <v>164</v>
      </c>
      <c r="AA7" s="46" t="s">
        <v>165</v>
      </c>
      <c r="AB7" s="46" t="s">
        <v>166</v>
      </c>
      <c r="AC7" s="46" t="s">
        <v>167</v>
      </c>
      <c r="AD7" s="46" t="s">
        <v>168</v>
      </c>
      <c r="AE7" s="46" t="s">
        <v>169</v>
      </c>
      <c r="AF7" s="46" t="s">
        <v>170</v>
      </c>
      <c r="AG7" s="46" t="s">
        <v>171</v>
      </c>
      <c r="AH7" s="46" t="s">
        <v>172</v>
      </c>
      <c r="AI7" s="46" t="s">
        <v>188</v>
      </c>
      <c r="AK7" s="29" t="s">
        <v>15</v>
      </c>
      <c r="AL7" s="29" t="s">
        <v>24</v>
      </c>
      <c r="AM7" s="29" t="s">
        <v>59</v>
      </c>
      <c r="AO7" s="29" t="s">
        <v>15</v>
      </c>
      <c r="AP7" s="29" t="s">
        <v>24</v>
      </c>
      <c r="AQ7" s="29" t="s">
        <v>59</v>
      </c>
    </row>
    <row r="8" spans="1:43" x14ac:dyDescent="0.35">
      <c r="A8" s="8" t="s">
        <v>9</v>
      </c>
      <c r="B8" s="9"/>
      <c r="C8" s="10"/>
      <c r="D8" s="11" t="s">
        <v>10</v>
      </c>
      <c r="E8" s="10"/>
      <c r="F8" s="10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5"/>
      <c r="AI8" s="43"/>
    </row>
    <row r="9" spans="1:43" x14ac:dyDescent="0.35">
      <c r="A9" s="8"/>
      <c r="B9" s="9" t="s">
        <v>11</v>
      </c>
      <c r="C9" s="10"/>
      <c r="D9" s="13"/>
      <c r="E9" s="9" t="s">
        <v>12</v>
      </c>
      <c r="F9" s="10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43"/>
    </row>
    <row r="10" spans="1:43" x14ac:dyDescent="0.35">
      <c r="A10" s="8"/>
      <c r="B10" s="9"/>
      <c r="C10" s="10" t="s">
        <v>13</v>
      </c>
      <c r="D10" s="13"/>
      <c r="E10" s="10"/>
      <c r="F10" s="9" t="s">
        <v>14</v>
      </c>
      <c r="G10" s="45" t="str">
        <f>IF(EASTERN!$H9=0," ",EASTERN!$H9)</f>
        <v xml:space="preserve"> </v>
      </c>
      <c r="H10" s="45" t="str">
        <f>IF(BROWARD!$H9=0," ",BROWARD!$H9)</f>
        <v xml:space="preserve"> </v>
      </c>
      <c r="I10" s="45" t="str">
        <f>IF(CENTRAL!$H9=0," ",CENTRAL!$H9)</f>
        <v xml:space="preserve"> </v>
      </c>
      <c r="J10" s="45" t="str">
        <f>IF(CHIPOLA!$H9=0," ",CHIPOLA!$H9)</f>
        <v xml:space="preserve"> </v>
      </c>
      <c r="K10" s="45" t="str">
        <f>IF(DAYTONA!$H9=0," ",DAYTONA!$H9)</f>
        <v xml:space="preserve"> </v>
      </c>
      <c r="L10" s="45" t="str">
        <f>IF(SOUTHWESTERN!$H9=0," ",SOUTHWESTERN!$H9)</f>
        <v xml:space="preserve"> </v>
      </c>
      <c r="M10" s="45" t="str">
        <f>IF('FSC JAX'!$H9=0," ",'FSC JAX'!$H9)</f>
        <v xml:space="preserve"> </v>
      </c>
      <c r="N10" s="45" t="str">
        <f>IF('FL KEYS'!$H9=0," ",'FL KEYS'!$H9)</f>
        <v xml:space="preserve"> </v>
      </c>
      <c r="O10" s="45" t="str">
        <f>IF('GULF COAST'!$H9=0," ",'GULF COAST'!$H9)</f>
        <v>Partial</v>
      </c>
      <c r="P10" s="45" t="str">
        <f>IF(HILLSBOROUGH!$H9=0," ",HILLSBOROUGH!$H9)</f>
        <v xml:space="preserve"> </v>
      </c>
      <c r="Q10" s="45" t="str">
        <f>IF('INDIAN RIVER'!$H9=0," ",'INDIAN RIVER'!$H9)</f>
        <v xml:space="preserve"> </v>
      </c>
      <c r="R10" s="45" t="str">
        <f>IF(GATEWAY!$H9=0," ",GATEWAY!$H9)</f>
        <v xml:space="preserve"> </v>
      </c>
      <c r="S10" s="45" t="str">
        <f>IF('LAKE SUMTER'!$H9=0," ",'LAKE SUMTER'!$H9)</f>
        <v xml:space="preserve"> </v>
      </c>
      <c r="T10" s="45" t="str">
        <f>IF('SCF MANATEE'!$H9=0," ",'SCF MANATEE'!$H9)</f>
        <v xml:space="preserve"> </v>
      </c>
      <c r="U10" s="45" t="str">
        <f>IF(MIAMI!$H9=0," ",MIAMI!$H9)</f>
        <v>No</v>
      </c>
      <c r="V10" s="45" t="str">
        <f>IF('NORTH FLORIDA'!$H9=0," ",'NORTH FLORIDA'!$H9)</f>
        <v>Yes</v>
      </c>
      <c r="W10" s="45" t="str">
        <f>IF('NORTHWEST FLORIDA'!$H9=0," ",'NORTHWEST FLORIDA'!$H9)</f>
        <v xml:space="preserve"> </v>
      </c>
      <c r="X10" s="45" t="str">
        <f>IF('PALM BEACH'!$H9=0," ",'PALM BEACH'!$H9)</f>
        <v xml:space="preserve"> </v>
      </c>
      <c r="Y10" s="45" t="str">
        <f>IF(PASCO!$H9=0," ",PASCO!$H9)</f>
        <v xml:space="preserve"> </v>
      </c>
      <c r="Z10" s="45" t="str">
        <f>IF(PENSACOLA!$H9=0," ",PENSACOLA!$H9)</f>
        <v xml:space="preserve"> </v>
      </c>
      <c r="AA10" s="45" t="str">
        <f>IF(POLK!$H9=0," ",POLK!$H9)</f>
        <v xml:space="preserve"> </v>
      </c>
      <c r="AB10" s="45" t="str">
        <f>IF('ST JOHNS'!$H9=0," ",'ST JOHNS'!$H9)</f>
        <v xml:space="preserve"> </v>
      </c>
      <c r="AC10" s="45" t="str">
        <f>IF('ST PETE'!$H9=0," ",'ST PETE'!$H9)</f>
        <v xml:space="preserve"> </v>
      </c>
      <c r="AD10" s="45" t="str">
        <f>IF('SANTA FE'!$H9=0," ",'SANTA FE'!$H9)</f>
        <v xml:space="preserve"> </v>
      </c>
      <c r="AE10" s="45" t="str">
        <f>IF(SEMINOLE!$H9=0," ",SEMINOLE!$H9)</f>
        <v xml:space="preserve"> </v>
      </c>
      <c r="AF10" s="45" t="str">
        <f>IF('SOUTH FLORIDA'!$H9=0," ",'SOUTH FLORIDA'!$H9)</f>
        <v xml:space="preserve"> </v>
      </c>
      <c r="AG10" s="45" t="str">
        <f>IF(TALLAHASSEE!$H9=0," ",TALLAHASSEE!$H9)</f>
        <v xml:space="preserve"> </v>
      </c>
      <c r="AH10" s="45" t="str">
        <f>IF(VALENCIA!$H9=0," ",VALENCIA!$H9)</f>
        <v xml:space="preserve"> </v>
      </c>
      <c r="AI10" s="43" t="s">
        <v>15</v>
      </c>
      <c r="AK10" s="29">
        <f>COUNTIF(G10:AH10,"Yes")</f>
        <v>1</v>
      </c>
      <c r="AL10" s="29">
        <f>COUNTIF(G10:AH10,"No")</f>
        <v>1</v>
      </c>
      <c r="AM10" s="29">
        <f>COUNTIF(G10:AH10,"Partial")</f>
        <v>1</v>
      </c>
      <c r="AN10" s="29">
        <f>SUM(AK10:AM10)</f>
        <v>3</v>
      </c>
      <c r="AO10" s="49">
        <f>IFERROR(AK10/$AN10,0)</f>
        <v>0.33333333333333331</v>
      </c>
      <c r="AP10" s="50">
        <f t="shared" ref="AP10:AQ10" si="0">IFERROR(AL10/$AN10,0)</f>
        <v>0.33333333333333331</v>
      </c>
      <c r="AQ10" s="50">
        <f t="shared" si="0"/>
        <v>0.33333333333333331</v>
      </c>
    </row>
    <row r="11" spans="1:43" x14ac:dyDescent="0.35">
      <c r="A11" s="8"/>
      <c r="B11" s="9"/>
      <c r="C11" s="10" t="s">
        <v>16</v>
      </c>
      <c r="D11" s="13"/>
      <c r="E11" s="10"/>
      <c r="F11" s="9" t="s">
        <v>17</v>
      </c>
      <c r="G11" s="45" t="str">
        <f>IF(EASTERN!H10=0," ",EASTERN!H10)</f>
        <v>Yes</v>
      </c>
      <c r="H11" s="45" t="str">
        <f>IF(BROWARD!$H10=0," ",BROWARD!$H10)</f>
        <v xml:space="preserve"> </v>
      </c>
      <c r="I11" s="45" t="str">
        <f>IF(CENTRAL!$H10=0," ",CENTRAL!$H10)</f>
        <v>yes</v>
      </c>
      <c r="J11" s="45" t="str">
        <f>IF(CHIPOLA!$H10=0," ",CHIPOLA!$H10)</f>
        <v>Yes</v>
      </c>
      <c r="K11" s="45" t="str">
        <f>IF(DAYTONA!$H10=0," ",DAYTONA!$H10)</f>
        <v>Yes</v>
      </c>
      <c r="L11" s="45" t="str">
        <f>IF(SOUTHWESTERN!$H10=0," ",SOUTHWESTERN!$H10)</f>
        <v>Yes</v>
      </c>
      <c r="M11" s="45" t="str">
        <f>IF('FSC JAX'!$H10=0," ",'FSC JAX'!$H10)</f>
        <v>Yes</v>
      </c>
      <c r="N11" s="45" t="str">
        <f>IF('FL KEYS'!$H10=0," ",'FL KEYS'!$H10)</f>
        <v>Yes</v>
      </c>
      <c r="O11" s="45" t="str">
        <f>IF('GULF COAST'!$H10=0," ",'GULF COAST'!$H10)</f>
        <v>Yes</v>
      </c>
      <c r="P11" s="45" t="str">
        <f>IF(HILLSBOROUGH!$H10=0," ",HILLSBOROUGH!$H10)</f>
        <v>Yes</v>
      </c>
      <c r="Q11" s="45" t="str">
        <f>IF('INDIAN RIVER'!$H10=0," ",'INDIAN RIVER'!$H10)</f>
        <v>Yes</v>
      </c>
      <c r="R11" s="45" t="str">
        <f>IF(GATEWAY!$H10=0," ",GATEWAY!$H10)</f>
        <v>Yes</v>
      </c>
      <c r="S11" s="45" t="str">
        <f>IF('LAKE SUMTER'!$H10=0," ",'LAKE SUMTER'!$H10)</f>
        <v>Yes</v>
      </c>
      <c r="T11" s="45" t="str">
        <f>IF('SCF MANATEE'!$H10=0," ",'SCF MANATEE'!$H10)</f>
        <v>Yes</v>
      </c>
      <c r="U11" s="45" t="str">
        <f>IF(MIAMI!$H10=0," ",MIAMI!$H10)</f>
        <v xml:space="preserve"> </v>
      </c>
      <c r="V11" s="45" t="str">
        <f>IF('NORTH FLORIDA'!$H10=0," ",'NORTH FLORIDA'!$H10)</f>
        <v>Yes</v>
      </c>
      <c r="W11" s="45" t="str">
        <f>IF('NORTHWEST FLORIDA'!$H10=0," ",'NORTHWEST FLORIDA'!$H10)</f>
        <v>Yes</v>
      </c>
      <c r="X11" s="45" t="str">
        <f>IF('PALM BEACH'!$H10=0," ",'PALM BEACH'!$H10)</f>
        <v>Yes</v>
      </c>
      <c r="Y11" s="45" t="str">
        <f>IF(PASCO!$H10=0," ",PASCO!$H10)</f>
        <v>Yes</v>
      </c>
      <c r="Z11" s="45" t="str">
        <f>IF(PENSACOLA!$H10=0," ",PENSACOLA!$H10)</f>
        <v>yes</v>
      </c>
      <c r="AA11" s="45" t="str">
        <f>IF(POLK!$H10=0," ",POLK!$H10)</f>
        <v>Yes</v>
      </c>
      <c r="AB11" s="45" t="str">
        <f>IF('ST JOHNS'!$H10=0," ",'ST JOHNS'!$H10)</f>
        <v>Yes</v>
      </c>
      <c r="AC11" s="45" t="str">
        <f>IF('ST PETE'!$H10=0," ",'ST PETE'!$H10)</f>
        <v>Yes</v>
      </c>
      <c r="AD11" s="45" t="str">
        <f>IF('SANTA FE'!$H10=0," ",'SANTA FE'!$H10)</f>
        <v>Yes</v>
      </c>
      <c r="AE11" s="45" t="str">
        <f>IF(SEMINOLE!$H10=0," ",SEMINOLE!$H10)</f>
        <v>Yes</v>
      </c>
      <c r="AF11" s="45" t="str">
        <f>IF('SOUTH FLORIDA'!$H10=0," ",'SOUTH FLORIDA'!$H10)</f>
        <v>Yes</v>
      </c>
      <c r="AG11" s="45" t="str">
        <f>IF(TALLAHASSEE!$H10=0," ",TALLAHASSEE!$H10)</f>
        <v>Yes</v>
      </c>
      <c r="AH11" s="45" t="str">
        <f>IF(VALENCIA!$H10=0," ",VALENCIA!$H10)</f>
        <v>Yes</v>
      </c>
      <c r="AI11" s="43" t="s">
        <v>15</v>
      </c>
      <c r="AK11" s="29">
        <f t="shared" ref="AK11:AK74" si="1">COUNTIF(G11:AH11,"Yes")</f>
        <v>26</v>
      </c>
      <c r="AL11" s="29">
        <f t="shared" ref="AL11:AL74" si="2">COUNTIF(G11:AH11,"No")</f>
        <v>0</v>
      </c>
      <c r="AM11" s="29">
        <f t="shared" ref="AM11:AM74" si="3">COUNTIF(G11:AH11,"Partial")</f>
        <v>0</v>
      </c>
      <c r="AN11" s="29">
        <f t="shared" ref="AN11:AN74" si="4">SUM(AK11:AM11)</f>
        <v>26</v>
      </c>
      <c r="AO11" s="49">
        <f t="shared" ref="AO11:AO74" si="5">IFERROR(AK11/$AN11,0)</f>
        <v>1</v>
      </c>
      <c r="AP11" s="50">
        <f t="shared" ref="AP11:AP74" si="6">IFERROR(AL11/$AN11,0)</f>
        <v>0</v>
      </c>
      <c r="AQ11" s="50">
        <f t="shared" ref="AQ11:AQ74" si="7">IFERROR(AM11/$AN11,0)</f>
        <v>0</v>
      </c>
    </row>
    <row r="12" spans="1:43" x14ac:dyDescent="0.35">
      <c r="A12" s="8"/>
      <c r="B12" s="9"/>
      <c r="C12" s="10" t="s">
        <v>18</v>
      </c>
      <c r="D12" s="13"/>
      <c r="E12" s="10"/>
      <c r="F12" s="9" t="s">
        <v>19</v>
      </c>
      <c r="G12" s="45" t="str">
        <f>IF(EASTERN!H11=0," ",EASTERN!H11)</f>
        <v>Yes</v>
      </c>
      <c r="H12" s="45" t="str">
        <f>IF(BROWARD!$H11=0," ",BROWARD!$H11)</f>
        <v>Partial</v>
      </c>
      <c r="I12" s="45" t="str">
        <f>IF(CENTRAL!$H11=0," ",CENTRAL!$H11)</f>
        <v>Yes</v>
      </c>
      <c r="J12" s="45" t="str">
        <f>IF(CHIPOLA!$H11=0," ",CHIPOLA!$H11)</f>
        <v>Partial</v>
      </c>
      <c r="K12" s="45" t="str">
        <f>IF(DAYTONA!$H11=0," ",DAYTONA!$H11)</f>
        <v>Yes</v>
      </c>
      <c r="L12" s="45" t="str">
        <f>IF(SOUTHWESTERN!$H11=0," ",SOUTHWESTERN!$H11)</f>
        <v>Yes</v>
      </c>
      <c r="M12" s="45" t="str">
        <f>IF('FSC JAX'!$H11=0," ",'FSC JAX'!$H11)</f>
        <v>Yes</v>
      </c>
      <c r="N12" s="45" t="str">
        <f>IF('FL KEYS'!$H11=0," ",'FL KEYS'!$H11)</f>
        <v>Partial</v>
      </c>
      <c r="O12" s="45" t="str">
        <f>IF('GULF COAST'!$H11=0," ",'GULF COAST'!$H11)</f>
        <v>Yes</v>
      </c>
      <c r="P12" s="45" t="str">
        <f>IF(HILLSBOROUGH!$H11=0," ",HILLSBOROUGH!$H11)</f>
        <v>No</v>
      </c>
      <c r="Q12" s="45" t="str">
        <f>IF('INDIAN RIVER'!$H11=0," ",'INDIAN RIVER'!$H11)</f>
        <v>Yes</v>
      </c>
      <c r="R12" s="45" t="str">
        <f>IF(GATEWAY!$H11=0," ",GATEWAY!$H11)</f>
        <v>Yes</v>
      </c>
      <c r="S12" s="45" t="str">
        <f>IF('LAKE SUMTER'!$H11=0," ",'LAKE SUMTER'!$H11)</f>
        <v>Yes</v>
      </c>
      <c r="T12" s="45" t="str">
        <f>IF('SCF MANATEE'!$H11=0," ",'SCF MANATEE'!$H11)</f>
        <v>Partial</v>
      </c>
      <c r="U12" s="45" t="str">
        <f>IF(MIAMI!$H11=0," ",MIAMI!$H11)</f>
        <v>Yes</v>
      </c>
      <c r="V12" s="45" t="str">
        <f>IF('NORTH FLORIDA'!$H11=0," ",'NORTH FLORIDA'!$H11)</f>
        <v>Yes</v>
      </c>
      <c r="W12" s="45" t="str">
        <f>IF('NORTHWEST FLORIDA'!$H11=0," ",'NORTHWEST FLORIDA'!$H11)</f>
        <v>Yes</v>
      </c>
      <c r="X12" s="45" t="str">
        <f>IF('PALM BEACH'!$H11=0," ",'PALM BEACH'!$H11)</f>
        <v>Yes</v>
      </c>
      <c r="Y12" s="45" t="str">
        <f>IF(PASCO!$H11=0," ",PASCO!$H11)</f>
        <v>Yes</v>
      </c>
      <c r="Z12" s="45" t="str">
        <f>IF(PENSACOLA!$H11=0," ",PENSACOLA!$H11)</f>
        <v>yes</v>
      </c>
      <c r="AA12" s="45" t="str">
        <f>IF(POLK!$H11=0," ",POLK!$H11)</f>
        <v>Yes</v>
      </c>
      <c r="AB12" s="45" t="str">
        <f>IF('ST JOHNS'!$H11=0," ",'ST JOHNS'!$H11)</f>
        <v>Yes</v>
      </c>
      <c r="AC12" s="45" t="str">
        <f>IF('ST PETE'!$H11=0," ",'ST PETE'!$H11)</f>
        <v>Partial</v>
      </c>
      <c r="AD12" s="45" t="str">
        <f>IF('SANTA FE'!$H11=0," ",'SANTA FE'!$H11)</f>
        <v>Yes</v>
      </c>
      <c r="AE12" s="45" t="str">
        <f>IF(SEMINOLE!$H11=0," ",SEMINOLE!$H11)</f>
        <v>Yes</v>
      </c>
      <c r="AF12" s="45" t="str">
        <f>IF('SOUTH FLORIDA'!$H11=0," ",'SOUTH FLORIDA'!$H11)</f>
        <v>Yes</v>
      </c>
      <c r="AG12" s="45" t="str">
        <f>IF(TALLAHASSEE!$H11=0," ",TALLAHASSEE!$H11)</f>
        <v>Yes</v>
      </c>
      <c r="AH12" s="45" t="str">
        <f>IF(VALENCIA!$H11=0," ",VALENCIA!$H11)</f>
        <v>Yes</v>
      </c>
      <c r="AI12" s="43" t="s">
        <v>15</v>
      </c>
      <c r="AK12" s="29">
        <f t="shared" si="1"/>
        <v>22</v>
      </c>
      <c r="AL12" s="29">
        <f t="shared" si="2"/>
        <v>1</v>
      </c>
      <c r="AM12" s="29">
        <f t="shared" si="3"/>
        <v>5</v>
      </c>
      <c r="AN12" s="29">
        <f t="shared" si="4"/>
        <v>28</v>
      </c>
      <c r="AO12" s="49">
        <f t="shared" si="5"/>
        <v>0.7857142857142857</v>
      </c>
      <c r="AP12" s="50">
        <f t="shared" si="6"/>
        <v>3.5714285714285712E-2</v>
      </c>
      <c r="AQ12" s="50">
        <f t="shared" si="7"/>
        <v>0.17857142857142858</v>
      </c>
    </row>
    <row r="13" spans="1:43" x14ac:dyDescent="0.35">
      <c r="A13" s="8"/>
      <c r="B13" s="9"/>
      <c r="C13" s="10" t="s">
        <v>20</v>
      </c>
      <c r="D13" s="13"/>
      <c r="E13" s="10"/>
      <c r="F13" s="9" t="s">
        <v>21</v>
      </c>
      <c r="G13" s="45" t="str">
        <f>IF(EASTERN!H12=0," ",EASTERN!H12)</f>
        <v xml:space="preserve"> </v>
      </c>
      <c r="H13" s="45" t="str">
        <f>IF(BROWARD!$H12=0," ",BROWARD!$H12)</f>
        <v>Partial</v>
      </c>
      <c r="I13" s="45" t="str">
        <f>IF(CENTRAL!$H12=0," ",CENTRAL!$H12)</f>
        <v xml:space="preserve"> </v>
      </c>
      <c r="J13" s="45" t="str">
        <f>IF(CHIPOLA!$H12=0," ",CHIPOLA!$H12)</f>
        <v xml:space="preserve"> </v>
      </c>
      <c r="K13" s="45" t="str">
        <f>IF(DAYTONA!$H12=0," ",DAYTONA!$H12)</f>
        <v>Yes</v>
      </c>
      <c r="L13" s="45" t="str">
        <f>IF(SOUTHWESTERN!$H12=0," ",SOUTHWESTERN!$H12)</f>
        <v xml:space="preserve"> </v>
      </c>
      <c r="M13" s="45" t="str">
        <f>IF('FSC JAX'!$H12=0," ",'FSC JAX'!$H12)</f>
        <v xml:space="preserve"> </v>
      </c>
      <c r="N13" s="45" t="str">
        <f>IF('FL KEYS'!$H12=0," ",'FL KEYS'!$H12)</f>
        <v>Yes</v>
      </c>
      <c r="O13" s="45" t="str">
        <f>IF('GULF COAST'!$H12=0," ",'GULF COAST'!$H12)</f>
        <v xml:space="preserve"> </v>
      </c>
      <c r="P13" s="45" t="str">
        <f>IF(HILLSBOROUGH!$H12=0," ",HILLSBOROUGH!$H12)</f>
        <v xml:space="preserve"> </v>
      </c>
      <c r="Q13" s="45" t="str">
        <f>IF('INDIAN RIVER'!$H12=0," ",'INDIAN RIVER'!$H12)</f>
        <v>Yes</v>
      </c>
      <c r="R13" s="45" t="str">
        <f>IF(GATEWAY!$H12=0," ",GATEWAY!$H12)</f>
        <v xml:space="preserve"> </v>
      </c>
      <c r="S13" s="45" t="str">
        <f>IF('LAKE SUMTER'!$H12=0," ",'LAKE SUMTER'!$H12)</f>
        <v xml:space="preserve"> </v>
      </c>
      <c r="T13" s="45" t="str">
        <f>IF('SCF MANATEE'!$H12=0," ",'SCF MANATEE'!$H12)</f>
        <v xml:space="preserve"> </v>
      </c>
      <c r="U13" s="45" t="str">
        <f>IF(MIAMI!$H12=0," ",MIAMI!$H12)</f>
        <v xml:space="preserve"> </v>
      </c>
      <c r="V13" s="45" t="str">
        <f>IF('NORTH FLORIDA'!$H12=0," ",'NORTH FLORIDA'!$H12)</f>
        <v>Yes</v>
      </c>
      <c r="W13" s="45" t="str">
        <f>IF('NORTHWEST FLORIDA'!$H12=0," ",'NORTHWEST FLORIDA'!$H12)</f>
        <v xml:space="preserve"> </v>
      </c>
      <c r="X13" s="45" t="str">
        <f>IF('PALM BEACH'!$H12=0," ",'PALM BEACH'!$H12)</f>
        <v xml:space="preserve"> </v>
      </c>
      <c r="Y13" s="45" t="str">
        <f>IF(PASCO!$H12=0," ",PASCO!$H12)</f>
        <v>No</v>
      </c>
      <c r="Z13" s="45" t="str">
        <f>IF(PENSACOLA!$H12=0," ",PENSACOLA!$H12)</f>
        <v>yes</v>
      </c>
      <c r="AA13" s="45" t="str">
        <f>IF(POLK!$H12=0," ",POLK!$H12)</f>
        <v xml:space="preserve"> </v>
      </c>
      <c r="AB13" s="45" t="str">
        <f>IF('ST JOHNS'!$H12=0," ",'ST JOHNS'!$H12)</f>
        <v xml:space="preserve"> </v>
      </c>
      <c r="AC13" s="45" t="str">
        <f>IF('ST PETE'!$H12=0," ",'ST PETE'!$H12)</f>
        <v xml:space="preserve"> </v>
      </c>
      <c r="AD13" s="45" t="str">
        <f>IF('SANTA FE'!$H12=0," ",'SANTA FE'!$H12)</f>
        <v xml:space="preserve"> </v>
      </c>
      <c r="AE13" s="45" t="str">
        <f>IF(SEMINOLE!$H12=0," ",SEMINOLE!$H12)</f>
        <v>Yes</v>
      </c>
      <c r="AF13" s="45" t="str">
        <f>IF('SOUTH FLORIDA'!$H12=0," ",'SOUTH FLORIDA'!$H12)</f>
        <v xml:space="preserve"> </v>
      </c>
      <c r="AG13" s="45" t="str">
        <f>IF(TALLAHASSEE!$H12=0," ",TALLAHASSEE!$H12)</f>
        <v xml:space="preserve"> </v>
      </c>
      <c r="AH13" s="45" t="str">
        <f>IF(VALENCIA!$H12=0," ",VALENCIA!$H12)</f>
        <v xml:space="preserve"> </v>
      </c>
      <c r="AI13" s="43" t="s">
        <v>15</v>
      </c>
      <c r="AK13" s="29">
        <f t="shared" si="1"/>
        <v>6</v>
      </c>
      <c r="AL13" s="29">
        <f t="shared" si="2"/>
        <v>1</v>
      </c>
      <c r="AM13" s="29">
        <f t="shared" si="3"/>
        <v>1</v>
      </c>
      <c r="AN13" s="29">
        <f t="shared" si="4"/>
        <v>8</v>
      </c>
      <c r="AO13" s="49">
        <f t="shared" si="5"/>
        <v>0.75</v>
      </c>
      <c r="AP13" s="50">
        <f t="shared" si="6"/>
        <v>0.125</v>
      </c>
      <c r="AQ13" s="50">
        <f t="shared" si="7"/>
        <v>0.125</v>
      </c>
    </row>
    <row r="14" spans="1:43" x14ac:dyDescent="0.35">
      <c r="A14" s="8"/>
      <c r="B14" s="9"/>
      <c r="C14" s="10" t="s">
        <v>22</v>
      </c>
      <c r="D14" s="13"/>
      <c r="E14" s="10"/>
      <c r="F14" s="9" t="s">
        <v>23</v>
      </c>
      <c r="G14" s="45" t="str">
        <f>IF(EASTERN!H13=0," ",EASTERN!H13)</f>
        <v xml:space="preserve"> </v>
      </c>
      <c r="H14" s="45" t="str">
        <f>IF(BROWARD!$H13=0," ",BROWARD!$H13)</f>
        <v>Partial</v>
      </c>
      <c r="I14" s="45" t="str">
        <f>IF(CENTRAL!$H13=0," ",CENTRAL!$H13)</f>
        <v>Partial</v>
      </c>
      <c r="J14" s="45" t="str">
        <f>IF(CHIPOLA!$H13=0," ",CHIPOLA!$H13)</f>
        <v xml:space="preserve"> </v>
      </c>
      <c r="K14" s="45" t="str">
        <f>IF(DAYTONA!$H13=0," ",DAYTONA!$H13)</f>
        <v>Yes</v>
      </c>
      <c r="L14" s="45" t="str">
        <f>IF(SOUTHWESTERN!$H13=0," ",SOUTHWESTERN!$H13)</f>
        <v>Yes</v>
      </c>
      <c r="M14" s="45" t="str">
        <f>IF('FSC JAX'!$H13=0," ",'FSC JAX'!$H13)</f>
        <v>Yes</v>
      </c>
      <c r="N14" s="45" t="str">
        <f>IF('FL KEYS'!$H13=0," ",'FL KEYS'!$H13)</f>
        <v xml:space="preserve"> </v>
      </c>
      <c r="O14" s="45" t="str">
        <f>IF('GULF COAST'!$H13=0," ",'GULF COAST'!$H13)</f>
        <v>Yes</v>
      </c>
      <c r="P14" s="45" t="str">
        <f>IF(HILLSBOROUGH!$H13=0," ",HILLSBOROUGH!$H13)</f>
        <v>Yes</v>
      </c>
      <c r="Q14" s="45" t="str">
        <f>IF('INDIAN RIVER'!$H13=0," ",'INDIAN RIVER'!$H13)</f>
        <v>Yes</v>
      </c>
      <c r="R14" s="45" t="str">
        <f>IF(GATEWAY!$H13=0," ",GATEWAY!$H13)</f>
        <v>Partial</v>
      </c>
      <c r="S14" s="45" t="str">
        <f>IF('LAKE SUMTER'!$H13=0," ",'LAKE SUMTER'!$H13)</f>
        <v>Partial</v>
      </c>
      <c r="T14" s="45" t="str">
        <f>IF('SCF MANATEE'!$H13=0," ",'SCF MANATEE'!$H13)</f>
        <v>Partial</v>
      </c>
      <c r="U14" s="45" t="str">
        <f>IF(MIAMI!$H13=0," ",MIAMI!$H13)</f>
        <v>Partial</v>
      </c>
      <c r="V14" s="45" t="str">
        <f>IF('NORTH FLORIDA'!$H13=0," ",'NORTH FLORIDA'!$H13)</f>
        <v xml:space="preserve"> </v>
      </c>
      <c r="W14" s="45" t="str">
        <f>IF('NORTHWEST FLORIDA'!$H13=0," ",'NORTHWEST FLORIDA'!$H13)</f>
        <v>Yes</v>
      </c>
      <c r="X14" s="45" t="str">
        <f>IF('PALM BEACH'!$H13=0," ",'PALM BEACH'!$H13)</f>
        <v>Yes</v>
      </c>
      <c r="Y14" s="45" t="str">
        <f>IF(PASCO!$H13=0," ",PASCO!$H13)</f>
        <v xml:space="preserve"> </v>
      </c>
      <c r="Z14" s="45" t="str">
        <f>IF(PENSACOLA!$H13=0," ",PENSACOLA!$H13)</f>
        <v>yes</v>
      </c>
      <c r="AA14" s="45" t="str">
        <f>IF(POLK!$H13=0," ",POLK!$H13)</f>
        <v xml:space="preserve"> </v>
      </c>
      <c r="AB14" s="45" t="str">
        <f>IF('ST JOHNS'!$H13=0," ",'ST JOHNS'!$H13)</f>
        <v>Yes</v>
      </c>
      <c r="AC14" s="45" t="str">
        <f>IF('ST PETE'!$H13=0," ",'ST PETE'!$H13)</f>
        <v>Partial</v>
      </c>
      <c r="AD14" s="45" t="str">
        <f>IF('SANTA FE'!$H13=0," ",'SANTA FE'!$H13)</f>
        <v>Partial</v>
      </c>
      <c r="AE14" s="45" t="str">
        <f>IF(SEMINOLE!$H13=0," ",SEMINOLE!$H13)</f>
        <v>Yes</v>
      </c>
      <c r="AF14" s="45" t="str">
        <f>IF('SOUTH FLORIDA'!$H13=0," ",'SOUTH FLORIDA'!$H13)</f>
        <v>Yes</v>
      </c>
      <c r="AG14" s="45" t="str">
        <f>IF(TALLAHASSEE!$H13=0," ",TALLAHASSEE!$H13)</f>
        <v xml:space="preserve"> </v>
      </c>
      <c r="AH14" s="45" t="str">
        <f>IF(VALENCIA!$H13=0," ",VALENCIA!$H13)</f>
        <v>Yes</v>
      </c>
      <c r="AI14" s="43" t="s">
        <v>15</v>
      </c>
      <c r="AK14" s="29">
        <f t="shared" si="1"/>
        <v>13</v>
      </c>
      <c r="AL14" s="29">
        <f t="shared" si="2"/>
        <v>0</v>
      </c>
      <c r="AM14" s="29">
        <f t="shared" si="3"/>
        <v>8</v>
      </c>
      <c r="AN14" s="29">
        <f t="shared" si="4"/>
        <v>21</v>
      </c>
      <c r="AO14" s="49">
        <f t="shared" si="5"/>
        <v>0.61904761904761907</v>
      </c>
      <c r="AP14" s="50">
        <f t="shared" si="6"/>
        <v>0</v>
      </c>
      <c r="AQ14" s="50">
        <f t="shared" si="7"/>
        <v>0.38095238095238093</v>
      </c>
    </row>
    <row r="15" spans="1:43" x14ac:dyDescent="0.35">
      <c r="A15" s="8"/>
      <c r="B15" s="9"/>
      <c r="C15" s="10" t="s">
        <v>25</v>
      </c>
      <c r="D15" s="13"/>
      <c r="E15" s="10"/>
      <c r="F15" s="9" t="s">
        <v>26</v>
      </c>
      <c r="G15" s="45" t="str">
        <f>IF(EASTERN!H14=0," ",EASTERN!H14)</f>
        <v>No</v>
      </c>
      <c r="H15" s="45" t="str">
        <f>IF(BROWARD!$H14=0," ",BROWARD!$H14)</f>
        <v>Partial</v>
      </c>
      <c r="I15" s="45" t="str">
        <f>IF(CENTRAL!$H14=0," ",CENTRAL!$H14)</f>
        <v xml:space="preserve"> </v>
      </c>
      <c r="J15" s="45" t="str">
        <f>IF(CHIPOLA!$H14=0," ",CHIPOLA!$H14)</f>
        <v xml:space="preserve"> </v>
      </c>
      <c r="K15" s="45" t="str">
        <f>IF(DAYTONA!$H14=0," ",DAYTONA!$H14)</f>
        <v xml:space="preserve"> </v>
      </c>
      <c r="L15" s="45" t="str">
        <f>IF(SOUTHWESTERN!$H14=0," ",SOUTHWESTERN!$H14)</f>
        <v xml:space="preserve"> </v>
      </c>
      <c r="M15" s="45" t="str">
        <f>IF('FSC JAX'!$H14=0," ",'FSC JAX'!$H14)</f>
        <v>No</v>
      </c>
      <c r="N15" s="45" t="str">
        <f>IF('FL KEYS'!$H14=0," ",'FL KEYS'!$H14)</f>
        <v xml:space="preserve"> </v>
      </c>
      <c r="O15" s="45" t="str">
        <f>IF('GULF COAST'!$H14=0," ",'GULF COAST'!$H14)</f>
        <v xml:space="preserve"> </v>
      </c>
      <c r="P15" s="45" t="str">
        <f>IF(HILLSBOROUGH!$H14=0," ",HILLSBOROUGH!$H14)</f>
        <v>No</v>
      </c>
      <c r="Q15" s="45" t="str">
        <f>IF('INDIAN RIVER'!$H14=0," ",'INDIAN RIVER'!$H14)</f>
        <v xml:space="preserve"> </v>
      </c>
      <c r="R15" s="45" t="str">
        <f>IF(GATEWAY!$H14=0," ",GATEWAY!$H14)</f>
        <v xml:space="preserve"> </v>
      </c>
      <c r="S15" s="45" t="str">
        <f>IF('LAKE SUMTER'!$H14=0," ",'LAKE SUMTER'!$H14)</f>
        <v>No</v>
      </c>
      <c r="T15" s="45" t="str">
        <f>IF('SCF MANATEE'!$H14=0," ",'SCF MANATEE'!$H14)</f>
        <v>Partial</v>
      </c>
      <c r="U15" s="45" t="str">
        <f>IF(MIAMI!$H14=0," ",MIAMI!$H14)</f>
        <v>No</v>
      </c>
      <c r="V15" s="45" t="str">
        <f>IF('NORTH FLORIDA'!$H14=0," ",'NORTH FLORIDA'!$H14)</f>
        <v xml:space="preserve"> </v>
      </c>
      <c r="W15" s="45" t="str">
        <f>IF('NORTHWEST FLORIDA'!$H14=0," ",'NORTHWEST FLORIDA'!$H14)</f>
        <v xml:space="preserve"> </v>
      </c>
      <c r="X15" s="45" t="str">
        <f>IF('PALM BEACH'!$H14=0," ",'PALM BEACH'!$H14)</f>
        <v xml:space="preserve"> </v>
      </c>
      <c r="Y15" s="45" t="str">
        <f>IF(PASCO!$H14=0," ",PASCO!$H14)</f>
        <v>No</v>
      </c>
      <c r="Z15" s="45" t="str">
        <f>IF(PENSACOLA!$H14=0," ",PENSACOLA!$H14)</f>
        <v xml:space="preserve"> </v>
      </c>
      <c r="AA15" s="45" t="str">
        <f>IF(POLK!$H14=0," ",POLK!$H14)</f>
        <v xml:space="preserve"> </v>
      </c>
      <c r="AB15" s="45" t="str">
        <f>IF('ST JOHNS'!$H14=0," ",'ST JOHNS'!$H14)</f>
        <v>No</v>
      </c>
      <c r="AC15" s="45" t="str">
        <f>IF('ST PETE'!$H14=0," ",'ST PETE'!$H14)</f>
        <v>Yes</v>
      </c>
      <c r="AD15" s="45" t="str">
        <f>IF('SANTA FE'!$H14=0," ",'SANTA FE'!$H14)</f>
        <v>No</v>
      </c>
      <c r="AE15" s="45" t="str">
        <f>IF(SEMINOLE!$H14=0," ",SEMINOLE!$H14)</f>
        <v xml:space="preserve"> </v>
      </c>
      <c r="AF15" s="45" t="str">
        <f>IF('SOUTH FLORIDA'!$H14=0," ",'SOUTH FLORIDA'!$H14)</f>
        <v xml:space="preserve"> </v>
      </c>
      <c r="AG15" s="45" t="str">
        <f>IF(TALLAHASSEE!$H14=0," ",TALLAHASSEE!$H14)</f>
        <v xml:space="preserve"> </v>
      </c>
      <c r="AH15" s="45" t="str">
        <f>IF(VALENCIA!$H14=0," ",VALENCIA!$H14)</f>
        <v>No</v>
      </c>
      <c r="AI15" s="43" t="s">
        <v>24</v>
      </c>
      <c r="AK15" s="29">
        <f t="shared" si="1"/>
        <v>1</v>
      </c>
      <c r="AL15" s="29">
        <f t="shared" si="2"/>
        <v>9</v>
      </c>
      <c r="AM15" s="29">
        <f t="shared" si="3"/>
        <v>2</v>
      </c>
      <c r="AN15" s="29">
        <f t="shared" si="4"/>
        <v>12</v>
      </c>
      <c r="AO15" s="50">
        <f t="shared" si="5"/>
        <v>8.3333333333333329E-2</v>
      </c>
      <c r="AP15" s="49">
        <f t="shared" si="6"/>
        <v>0.75</v>
      </c>
      <c r="AQ15" s="50">
        <f t="shared" si="7"/>
        <v>0.16666666666666666</v>
      </c>
    </row>
    <row r="16" spans="1:43" x14ac:dyDescent="0.35">
      <c r="A16" s="8"/>
      <c r="B16" s="9"/>
      <c r="C16" s="10" t="s">
        <v>27</v>
      </c>
      <c r="D16" s="13"/>
      <c r="E16" s="10"/>
      <c r="F16" s="9" t="s">
        <v>28</v>
      </c>
      <c r="G16" s="45" t="str">
        <f>IF(EASTERN!H15=0," ",EASTERN!H15)</f>
        <v xml:space="preserve"> </v>
      </c>
      <c r="H16" s="45" t="str">
        <f>IF(BROWARD!$H15=0," ",BROWARD!$H15)</f>
        <v xml:space="preserve"> </v>
      </c>
      <c r="I16" s="45" t="str">
        <f>IF(CENTRAL!$H15=0," ",CENTRAL!$H15)</f>
        <v xml:space="preserve"> </v>
      </c>
      <c r="J16" s="45" t="str">
        <f>IF(CHIPOLA!$H15=0," ",CHIPOLA!$H15)</f>
        <v xml:space="preserve"> </v>
      </c>
      <c r="K16" s="45" t="str">
        <f>IF(DAYTONA!$H15=0," ",DAYTONA!$H15)</f>
        <v>Yes</v>
      </c>
      <c r="L16" s="45" t="str">
        <f>IF(SOUTHWESTERN!$H15=0," ",SOUTHWESTERN!$H15)</f>
        <v xml:space="preserve"> </v>
      </c>
      <c r="M16" s="45" t="str">
        <f>IF('FSC JAX'!$H15=0," ",'FSC JAX'!$H15)</f>
        <v>Yes</v>
      </c>
      <c r="N16" s="45" t="str">
        <f>IF('FL KEYS'!$H15=0," ",'FL KEYS'!$H15)</f>
        <v xml:space="preserve"> </v>
      </c>
      <c r="O16" s="45" t="str">
        <f>IF('GULF COAST'!$H15=0," ",'GULF COAST'!$H15)</f>
        <v xml:space="preserve"> </v>
      </c>
      <c r="P16" s="45" t="str">
        <f>IF(HILLSBOROUGH!$H15=0," ",HILLSBOROUGH!$H15)</f>
        <v>Yes</v>
      </c>
      <c r="Q16" s="45" t="str">
        <f>IF('INDIAN RIVER'!$H15=0," ",'INDIAN RIVER'!$H15)</f>
        <v xml:space="preserve"> </v>
      </c>
      <c r="R16" s="45" t="str">
        <f>IF(GATEWAY!$H15=0," ",GATEWAY!$H15)</f>
        <v xml:space="preserve"> </v>
      </c>
      <c r="S16" s="45" t="str">
        <f>IF('LAKE SUMTER'!$H15=0," ",'LAKE SUMTER'!$H15)</f>
        <v xml:space="preserve"> </v>
      </c>
      <c r="T16" s="45" t="str">
        <f>IF('SCF MANATEE'!$H15=0," ",'SCF MANATEE'!$H15)</f>
        <v>Partial</v>
      </c>
      <c r="U16" s="45" t="str">
        <f>IF(MIAMI!$H15=0," ",MIAMI!$H15)</f>
        <v>Yes</v>
      </c>
      <c r="V16" s="45" t="str">
        <f>IF('NORTH FLORIDA'!$H15=0," ",'NORTH FLORIDA'!$H15)</f>
        <v xml:space="preserve"> </v>
      </c>
      <c r="W16" s="45" t="str">
        <f>IF('NORTHWEST FLORIDA'!$H15=0," ",'NORTHWEST FLORIDA'!$H15)</f>
        <v>No</v>
      </c>
      <c r="X16" s="45" t="str">
        <f>IF('PALM BEACH'!$H15=0," ",'PALM BEACH'!$H15)</f>
        <v xml:space="preserve"> </v>
      </c>
      <c r="Y16" s="45" t="str">
        <f>IF(PASCO!$H15=0," ",PASCO!$H15)</f>
        <v xml:space="preserve"> </v>
      </c>
      <c r="Z16" s="45" t="str">
        <f>IF(PENSACOLA!$H15=0," ",PENSACOLA!$H15)</f>
        <v xml:space="preserve"> </v>
      </c>
      <c r="AA16" s="45" t="str">
        <f>IF(POLK!$H15=0," ",POLK!$H15)</f>
        <v>Yes</v>
      </c>
      <c r="AB16" s="45" t="str">
        <f>IF('ST JOHNS'!$H15=0," ",'ST JOHNS'!$H15)</f>
        <v xml:space="preserve"> </v>
      </c>
      <c r="AC16" s="45" t="str">
        <f>IF('ST PETE'!$H15=0," ",'ST PETE'!$H15)</f>
        <v xml:space="preserve"> </v>
      </c>
      <c r="AD16" s="45" t="str">
        <f>IF('SANTA FE'!$H15=0," ",'SANTA FE'!$H15)</f>
        <v>No</v>
      </c>
      <c r="AE16" s="45" t="str">
        <f>IF(SEMINOLE!$H15=0," ",SEMINOLE!$H15)</f>
        <v>Yes</v>
      </c>
      <c r="AF16" s="45" t="str">
        <f>IF('SOUTH FLORIDA'!$H15=0," ",'SOUTH FLORIDA'!$H15)</f>
        <v xml:space="preserve"> </v>
      </c>
      <c r="AG16" s="45" t="str">
        <f>IF(TALLAHASSEE!$H15=0," ",TALLAHASSEE!$H15)</f>
        <v>Yes</v>
      </c>
      <c r="AH16" s="45" t="str">
        <f>IF(VALENCIA!$H15=0," ",VALENCIA!$H15)</f>
        <v xml:space="preserve"> </v>
      </c>
      <c r="AI16" s="43" t="s">
        <v>15</v>
      </c>
      <c r="AK16" s="29">
        <f t="shared" si="1"/>
        <v>7</v>
      </c>
      <c r="AL16" s="29">
        <f t="shared" si="2"/>
        <v>2</v>
      </c>
      <c r="AM16" s="29">
        <f t="shared" si="3"/>
        <v>1</v>
      </c>
      <c r="AN16" s="29">
        <f t="shared" si="4"/>
        <v>10</v>
      </c>
      <c r="AO16" s="49">
        <f t="shared" si="5"/>
        <v>0.7</v>
      </c>
      <c r="AP16" s="50">
        <f t="shared" si="6"/>
        <v>0.2</v>
      </c>
      <c r="AQ16" s="50">
        <f t="shared" si="7"/>
        <v>0.1</v>
      </c>
    </row>
    <row r="17" spans="1:43" x14ac:dyDescent="0.35">
      <c r="A17" s="8"/>
      <c r="B17" s="9"/>
      <c r="C17" s="10" t="s">
        <v>29</v>
      </c>
      <c r="D17" s="13"/>
      <c r="E17" s="10"/>
      <c r="F17" s="9" t="s">
        <v>30</v>
      </c>
      <c r="G17" s="45" t="str">
        <f>IF(EASTERN!H16=0," ",EASTERN!H16)</f>
        <v xml:space="preserve"> </v>
      </c>
      <c r="H17" s="45" t="str">
        <f>IF(BROWARD!$H16=0," ",BROWARD!$H16)</f>
        <v xml:space="preserve"> </v>
      </c>
      <c r="I17" s="45" t="str">
        <f>IF(CENTRAL!$H16=0," ",CENTRAL!$H16)</f>
        <v xml:space="preserve"> </v>
      </c>
      <c r="J17" s="45" t="str">
        <f>IF(CHIPOLA!$H16=0," ",CHIPOLA!$H16)</f>
        <v xml:space="preserve"> </v>
      </c>
      <c r="K17" s="45" t="str">
        <f>IF(DAYTONA!$H16=0," ",DAYTONA!$H16)</f>
        <v xml:space="preserve"> </v>
      </c>
      <c r="L17" s="45" t="str">
        <f>IF(SOUTHWESTERN!$H16=0," ",SOUTHWESTERN!$H16)</f>
        <v>No</v>
      </c>
      <c r="M17" s="45" t="str">
        <f>IF('FSC JAX'!$H16=0," ",'FSC JAX'!$H16)</f>
        <v xml:space="preserve"> </v>
      </c>
      <c r="N17" s="45" t="str">
        <f>IF('FL KEYS'!$H16=0," ",'FL KEYS'!$H16)</f>
        <v xml:space="preserve"> </v>
      </c>
      <c r="O17" s="45" t="str">
        <f>IF('GULF COAST'!$H16=0," ",'GULF COAST'!$H16)</f>
        <v xml:space="preserve"> </v>
      </c>
      <c r="P17" s="45" t="str">
        <f>IF(HILLSBOROUGH!$H16=0," ",HILLSBOROUGH!$H16)</f>
        <v xml:space="preserve"> </v>
      </c>
      <c r="Q17" s="45" t="str">
        <f>IF('INDIAN RIVER'!$H16=0," ",'INDIAN RIVER'!$H16)</f>
        <v xml:space="preserve"> </v>
      </c>
      <c r="R17" s="45" t="str">
        <f>IF(GATEWAY!$H16=0," ",GATEWAY!$H16)</f>
        <v xml:space="preserve"> </v>
      </c>
      <c r="S17" s="45" t="str">
        <f>IF('LAKE SUMTER'!$H16=0," ",'LAKE SUMTER'!$H16)</f>
        <v xml:space="preserve"> </v>
      </c>
      <c r="T17" s="45" t="str">
        <f>IF('SCF MANATEE'!$H16=0," ",'SCF MANATEE'!$H16)</f>
        <v xml:space="preserve"> </v>
      </c>
      <c r="U17" s="45" t="str">
        <f>IF(MIAMI!$H16=0," ",MIAMI!$H16)</f>
        <v xml:space="preserve"> </v>
      </c>
      <c r="V17" s="45" t="str">
        <f>IF('NORTH FLORIDA'!$H16=0," ",'NORTH FLORIDA'!$H16)</f>
        <v xml:space="preserve"> </v>
      </c>
      <c r="W17" s="45" t="str">
        <f>IF('NORTHWEST FLORIDA'!$H16=0," ",'NORTHWEST FLORIDA'!$H16)</f>
        <v xml:space="preserve"> </v>
      </c>
      <c r="X17" s="45" t="str">
        <f>IF('PALM BEACH'!$H16=0," ",'PALM BEACH'!$H16)</f>
        <v xml:space="preserve"> </v>
      </c>
      <c r="Y17" s="45" t="str">
        <f>IF(PASCO!$H16=0," ",PASCO!$H16)</f>
        <v xml:space="preserve"> </v>
      </c>
      <c r="Z17" s="45" t="str">
        <f>IF(PENSACOLA!$H16=0," ",PENSACOLA!$H16)</f>
        <v xml:space="preserve"> </v>
      </c>
      <c r="AA17" s="45" t="str">
        <f>IF(POLK!$H16=0," ",POLK!$H16)</f>
        <v xml:space="preserve"> </v>
      </c>
      <c r="AB17" s="45" t="str">
        <f>IF('ST JOHNS'!$H16=0," ",'ST JOHNS'!$H16)</f>
        <v xml:space="preserve"> </v>
      </c>
      <c r="AC17" s="45" t="str">
        <f>IF('ST PETE'!$H16=0," ",'ST PETE'!$H16)</f>
        <v xml:space="preserve"> </v>
      </c>
      <c r="AD17" s="45" t="str">
        <f>IF('SANTA FE'!$H16=0," ",'SANTA FE'!$H16)</f>
        <v xml:space="preserve"> </v>
      </c>
      <c r="AE17" s="45" t="str">
        <f>IF(SEMINOLE!$H16=0," ",SEMINOLE!$H16)</f>
        <v xml:space="preserve"> </v>
      </c>
      <c r="AF17" s="45" t="str">
        <f>IF('SOUTH FLORIDA'!$H16=0," ",'SOUTH FLORIDA'!$H16)</f>
        <v xml:space="preserve"> </v>
      </c>
      <c r="AG17" s="45" t="str">
        <f>IF(TALLAHASSEE!$H16=0," ",TALLAHASSEE!$H16)</f>
        <v xml:space="preserve"> </v>
      </c>
      <c r="AH17" s="45" t="str">
        <f>IF(VALENCIA!$H16=0," ",VALENCIA!$H16)</f>
        <v>Yes</v>
      </c>
      <c r="AI17" s="43" t="s">
        <v>15</v>
      </c>
      <c r="AK17" s="29">
        <f t="shared" si="1"/>
        <v>1</v>
      </c>
      <c r="AL17" s="29">
        <f t="shared" si="2"/>
        <v>1</v>
      </c>
      <c r="AM17" s="29">
        <f t="shared" si="3"/>
        <v>0</v>
      </c>
      <c r="AN17" s="29">
        <f t="shared" si="4"/>
        <v>2</v>
      </c>
      <c r="AO17" s="49">
        <f t="shared" si="5"/>
        <v>0.5</v>
      </c>
      <c r="AP17" s="50">
        <f t="shared" si="6"/>
        <v>0.5</v>
      </c>
      <c r="AQ17" s="50">
        <f t="shared" si="7"/>
        <v>0</v>
      </c>
    </row>
    <row r="18" spans="1:43" x14ac:dyDescent="0.35">
      <c r="A18" s="8"/>
      <c r="B18" s="9"/>
      <c r="C18" s="10" t="s">
        <v>31</v>
      </c>
      <c r="D18" s="13"/>
      <c r="E18" s="10"/>
      <c r="F18" s="9" t="s">
        <v>32</v>
      </c>
      <c r="G18" s="45" t="str">
        <f>IF(EASTERN!H17=0," ",EASTERN!H17)</f>
        <v xml:space="preserve"> </v>
      </c>
      <c r="H18" s="45" t="str">
        <f>IF(BROWARD!$H17=0," ",BROWARD!$H17)</f>
        <v xml:space="preserve"> </v>
      </c>
      <c r="I18" s="45" t="str">
        <f>IF(CENTRAL!$H17=0," ",CENTRAL!$H17)</f>
        <v xml:space="preserve"> </v>
      </c>
      <c r="J18" s="45" t="str">
        <f>IF(CHIPOLA!$H17=0," ",CHIPOLA!$H17)</f>
        <v>Yes</v>
      </c>
      <c r="K18" s="45" t="str">
        <f>IF(DAYTONA!$H17=0," ",DAYTONA!$H17)</f>
        <v>No</v>
      </c>
      <c r="L18" s="45" t="str">
        <f>IF(SOUTHWESTERN!$H17=0," ",SOUTHWESTERN!$H17)</f>
        <v xml:space="preserve"> </v>
      </c>
      <c r="M18" s="45" t="str">
        <f>IF('FSC JAX'!$H17=0," ",'FSC JAX'!$H17)</f>
        <v>No</v>
      </c>
      <c r="N18" s="45" t="str">
        <f>IF('FL KEYS'!$H17=0," ",'FL KEYS'!$H17)</f>
        <v xml:space="preserve"> </v>
      </c>
      <c r="O18" s="45" t="str">
        <f>IF('GULF COAST'!$H17=0," ",'GULF COAST'!$H17)</f>
        <v xml:space="preserve"> </v>
      </c>
      <c r="P18" s="45" t="str">
        <f>IF(HILLSBOROUGH!$H17=0," ",HILLSBOROUGH!$H17)</f>
        <v xml:space="preserve"> </v>
      </c>
      <c r="Q18" s="45" t="str">
        <f>IF('INDIAN RIVER'!$H17=0," ",'INDIAN RIVER'!$H17)</f>
        <v xml:space="preserve"> </v>
      </c>
      <c r="R18" s="45" t="str">
        <f>IF(GATEWAY!$H17=0," ",GATEWAY!$H17)</f>
        <v xml:space="preserve"> </v>
      </c>
      <c r="S18" s="45" t="str">
        <f>IF('LAKE SUMTER'!$H17=0," ",'LAKE SUMTER'!$H17)</f>
        <v xml:space="preserve"> </v>
      </c>
      <c r="T18" s="45" t="str">
        <f>IF('SCF MANATEE'!$H17=0," ",'SCF MANATEE'!$H17)</f>
        <v>Partial</v>
      </c>
      <c r="U18" s="45" t="str">
        <f>IF(MIAMI!$H17=0," ",MIAMI!$H17)</f>
        <v>Yes</v>
      </c>
      <c r="V18" s="45" t="str">
        <f>IF('NORTH FLORIDA'!$H17=0," ",'NORTH FLORIDA'!$H17)</f>
        <v xml:space="preserve"> </v>
      </c>
      <c r="W18" s="45" t="str">
        <f>IF('NORTHWEST FLORIDA'!$H17=0," ",'NORTHWEST FLORIDA'!$H17)</f>
        <v xml:space="preserve"> </v>
      </c>
      <c r="X18" s="45" t="str">
        <f>IF('PALM BEACH'!$H17=0," ",'PALM BEACH'!$H17)</f>
        <v xml:space="preserve"> </v>
      </c>
      <c r="Y18" s="45" t="str">
        <f>IF(PASCO!$H17=0," ",PASCO!$H17)</f>
        <v xml:space="preserve"> </v>
      </c>
      <c r="Z18" s="45" t="str">
        <f>IF(PENSACOLA!$H17=0," ",PENSACOLA!$H17)</f>
        <v>yes</v>
      </c>
      <c r="AA18" s="45" t="str">
        <f>IF(POLK!$H17=0," ",POLK!$H17)</f>
        <v>No</v>
      </c>
      <c r="AB18" s="45" t="str">
        <f>IF('ST JOHNS'!$H17=0," ",'ST JOHNS'!$H17)</f>
        <v xml:space="preserve"> </v>
      </c>
      <c r="AC18" s="45" t="str">
        <f>IF('ST PETE'!$H17=0," ",'ST PETE'!$H17)</f>
        <v xml:space="preserve"> </v>
      </c>
      <c r="AD18" s="45" t="str">
        <f>IF('SANTA FE'!$H17=0," ",'SANTA FE'!$H17)</f>
        <v xml:space="preserve"> </v>
      </c>
      <c r="AE18" s="45" t="str">
        <f>IF(SEMINOLE!$H17=0," ",SEMINOLE!$H17)</f>
        <v>No</v>
      </c>
      <c r="AF18" s="45" t="str">
        <f>IF('SOUTH FLORIDA'!$H17=0," ",'SOUTH FLORIDA'!$H17)</f>
        <v xml:space="preserve"> </v>
      </c>
      <c r="AG18" s="45" t="str">
        <f>IF(TALLAHASSEE!$H17=0," ",TALLAHASSEE!$H17)</f>
        <v xml:space="preserve"> </v>
      </c>
      <c r="AH18" s="45" t="str">
        <f>IF(VALENCIA!$H17=0," ",VALENCIA!$H17)</f>
        <v xml:space="preserve"> </v>
      </c>
      <c r="AI18" s="43" t="s">
        <v>24</v>
      </c>
      <c r="AK18" s="29">
        <f t="shared" si="1"/>
        <v>3</v>
      </c>
      <c r="AL18" s="29">
        <f t="shared" si="2"/>
        <v>4</v>
      </c>
      <c r="AM18" s="29">
        <f t="shared" si="3"/>
        <v>1</v>
      </c>
      <c r="AN18" s="29">
        <f t="shared" si="4"/>
        <v>8</v>
      </c>
      <c r="AO18" s="50">
        <f t="shared" si="5"/>
        <v>0.375</v>
      </c>
      <c r="AP18" s="49">
        <f t="shared" si="6"/>
        <v>0.5</v>
      </c>
      <c r="AQ18" s="50">
        <f t="shared" si="7"/>
        <v>0.125</v>
      </c>
    </row>
    <row r="19" spans="1:43" x14ac:dyDescent="0.35">
      <c r="A19" s="8"/>
      <c r="B19" s="9"/>
      <c r="C19" s="10" t="s">
        <v>33</v>
      </c>
      <c r="D19" s="13"/>
      <c r="E19" s="10"/>
      <c r="F19" s="9" t="s">
        <v>34</v>
      </c>
      <c r="G19" s="45" t="str">
        <f>IF(EASTERN!H18=0," ",EASTERN!H18)</f>
        <v>No</v>
      </c>
      <c r="H19" s="45" t="str">
        <f>IF(BROWARD!$H18=0," ",BROWARD!$H18)</f>
        <v>Partial</v>
      </c>
      <c r="I19" s="45" t="str">
        <f>IF(CENTRAL!$H18=0," ",CENTRAL!$H18)</f>
        <v>no</v>
      </c>
      <c r="J19" s="45" t="str">
        <f>IF(CHIPOLA!$H18=0," ",CHIPOLA!$H18)</f>
        <v xml:space="preserve"> </v>
      </c>
      <c r="K19" s="45" t="str">
        <f>IF(DAYTONA!$H18=0," ",DAYTONA!$H18)</f>
        <v>No</v>
      </c>
      <c r="L19" s="45" t="str">
        <f>IF(SOUTHWESTERN!$H18=0," ",SOUTHWESTERN!$H18)</f>
        <v>No</v>
      </c>
      <c r="M19" s="45" t="str">
        <f>IF('FSC JAX'!$H18=0," ",'FSC JAX'!$H18)</f>
        <v>No</v>
      </c>
      <c r="N19" s="45" t="str">
        <f>IF('FL KEYS'!$H18=0," ",'FL KEYS'!$H18)</f>
        <v>No</v>
      </c>
      <c r="O19" s="45" t="str">
        <f>IF('GULF COAST'!$H18=0," ",'GULF COAST'!$H18)</f>
        <v xml:space="preserve"> </v>
      </c>
      <c r="P19" s="45" t="str">
        <f>IF(HILLSBOROUGH!$H18=0," ",HILLSBOROUGH!$H18)</f>
        <v>Yes</v>
      </c>
      <c r="Q19" s="45" t="str">
        <f>IF('INDIAN RIVER'!$H18=0," ",'INDIAN RIVER'!$H18)</f>
        <v xml:space="preserve"> </v>
      </c>
      <c r="R19" s="45" t="str">
        <f>IF(GATEWAY!$H18=0," ",GATEWAY!$H18)</f>
        <v>Partial</v>
      </c>
      <c r="S19" s="45" t="str">
        <f>IF('LAKE SUMTER'!$H18=0," ",'LAKE SUMTER'!$H18)</f>
        <v>No</v>
      </c>
      <c r="T19" s="45" t="str">
        <f>IF('SCF MANATEE'!$H18=0," ",'SCF MANATEE'!$H18)</f>
        <v>Partial</v>
      </c>
      <c r="U19" s="45" t="str">
        <f>IF(MIAMI!$H18=0," ",MIAMI!$H18)</f>
        <v>No</v>
      </c>
      <c r="V19" s="45" t="str">
        <f>IF('NORTH FLORIDA'!$H18=0," ",'NORTH FLORIDA'!$H18)</f>
        <v>No</v>
      </c>
      <c r="W19" s="45" t="str">
        <f>IF('NORTHWEST FLORIDA'!$H18=0," ",'NORTHWEST FLORIDA'!$H18)</f>
        <v>Yes</v>
      </c>
      <c r="X19" s="45" t="str">
        <f>IF('PALM BEACH'!$H18=0," ",'PALM BEACH'!$H18)</f>
        <v>No</v>
      </c>
      <c r="Y19" s="45" t="str">
        <f>IF(PASCO!$H18=0," ",PASCO!$H18)</f>
        <v>No</v>
      </c>
      <c r="Z19" s="45" t="str">
        <f>IF(PENSACOLA!$H18=0," ",PENSACOLA!$H18)</f>
        <v>yes</v>
      </c>
      <c r="AA19" s="45" t="str">
        <f>IF(POLK!$H18=0," ",POLK!$H18)</f>
        <v xml:space="preserve"> </v>
      </c>
      <c r="AB19" s="45" t="str">
        <f>IF('ST JOHNS'!$H18=0," ",'ST JOHNS'!$H18)</f>
        <v>No</v>
      </c>
      <c r="AC19" s="45" t="str">
        <f>IF('ST PETE'!$H18=0," ",'ST PETE'!$H18)</f>
        <v>No</v>
      </c>
      <c r="AD19" s="45" t="str">
        <f>IF('SANTA FE'!$H18=0," ",'SANTA FE'!$H18)</f>
        <v>No</v>
      </c>
      <c r="AE19" s="45" t="str">
        <f>IF(SEMINOLE!$H18=0," ",SEMINOLE!$H18)</f>
        <v>No</v>
      </c>
      <c r="AF19" s="45" t="str">
        <f>IF('SOUTH FLORIDA'!$H18=0," ",'SOUTH FLORIDA'!$H18)</f>
        <v>No</v>
      </c>
      <c r="AG19" s="45" t="str">
        <f>IF(TALLAHASSEE!$H18=0," ",TALLAHASSEE!$H18)</f>
        <v>No</v>
      </c>
      <c r="AH19" s="45" t="str">
        <f>IF(VALENCIA!$H18=0," ",VALENCIA!$H18)</f>
        <v>No</v>
      </c>
      <c r="AI19" s="43" t="s">
        <v>24</v>
      </c>
      <c r="AK19" s="29">
        <f t="shared" si="1"/>
        <v>3</v>
      </c>
      <c r="AL19" s="29">
        <f t="shared" si="2"/>
        <v>18</v>
      </c>
      <c r="AM19" s="29">
        <f t="shared" si="3"/>
        <v>3</v>
      </c>
      <c r="AN19" s="29">
        <f t="shared" si="4"/>
        <v>24</v>
      </c>
      <c r="AO19" s="50">
        <f t="shared" si="5"/>
        <v>0.125</v>
      </c>
      <c r="AP19" s="49">
        <f t="shared" si="6"/>
        <v>0.75</v>
      </c>
      <c r="AQ19" s="50">
        <f t="shared" si="7"/>
        <v>0.125</v>
      </c>
    </row>
    <row r="20" spans="1:43" x14ac:dyDescent="0.35">
      <c r="A20" s="8"/>
      <c r="B20" s="9"/>
      <c r="C20" s="10" t="s">
        <v>35</v>
      </c>
      <c r="D20" s="13"/>
      <c r="E20" s="10"/>
      <c r="F20" s="9" t="s">
        <v>36</v>
      </c>
      <c r="G20" s="45" t="str">
        <f>IF(EASTERN!H19=0," ",EASTERN!H19)</f>
        <v xml:space="preserve"> </v>
      </c>
      <c r="H20" s="45" t="str">
        <f>IF(BROWARD!$H19=0," ",BROWARD!$H19)</f>
        <v>Partial</v>
      </c>
      <c r="I20" s="45" t="str">
        <f>IF(CENTRAL!$H19=0," ",CENTRAL!$H19)</f>
        <v xml:space="preserve"> </v>
      </c>
      <c r="J20" s="45" t="str">
        <f>IF(CHIPOLA!$H19=0," ",CHIPOLA!$H19)</f>
        <v xml:space="preserve"> </v>
      </c>
      <c r="K20" s="45" t="str">
        <f>IF(DAYTONA!$H19=0," ",DAYTONA!$H19)</f>
        <v xml:space="preserve"> </v>
      </c>
      <c r="L20" s="45" t="str">
        <f>IF(SOUTHWESTERN!$H19=0," ",SOUTHWESTERN!$H19)</f>
        <v xml:space="preserve"> </v>
      </c>
      <c r="M20" s="45" t="str">
        <f>IF('FSC JAX'!$H19=0," ",'FSC JAX'!$H19)</f>
        <v xml:space="preserve"> </v>
      </c>
      <c r="N20" s="45" t="str">
        <f>IF('FL KEYS'!$H19=0," ",'FL KEYS'!$H19)</f>
        <v xml:space="preserve"> </v>
      </c>
      <c r="O20" s="45" t="str">
        <f>IF('GULF COAST'!$H19=0," ",'GULF COAST'!$H19)</f>
        <v xml:space="preserve"> </v>
      </c>
      <c r="P20" s="45" t="str">
        <f>IF(HILLSBOROUGH!$H19=0," ",HILLSBOROUGH!$H19)</f>
        <v>Yes</v>
      </c>
      <c r="Q20" s="45" t="str">
        <f>IF('INDIAN RIVER'!$H19=0," ",'INDIAN RIVER'!$H19)</f>
        <v xml:space="preserve"> </v>
      </c>
      <c r="R20" s="45" t="str">
        <f>IF(GATEWAY!$H19=0," ",GATEWAY!$H19)</f>
        <v xml:space="preserve"> </v>
      </c>
      <c r="S20" s="45" t="str">
        <f>IF('LAKE SUMTER'!$H19=0," ",'LAKE SUMTER'!$H19)</f>
        <v xml:space="preserve"> </v>
      </c>
      <c r="T20" s="45" t="str">
        <f>IF('SCF MANATEE'!$H19=0," ",'SCF MANATEE'!$H19)</f>
        <v xml:space="preserve"> </v>
      </c>
      <c r="U20" s="45" t="str">
        <f>IF(MIAMI!$H19=0," ",MIAMI!$H19)</f>
        <v>No</v>
      </c>
      <c r="V20" s="45" t="str">
        <f>IF('NORTH FLORIDA'!$H19=0," ",'NORTH FLORIDA'!$H19)</f>
        <v xml:space="preserve"> </v>
      </c>
      <c r="W20" s="45" t="str">
        <f>IF('NORTHWEST FLORIDA'!$H19=0," ",'NORTHWEST FLORIDA'!$H19)</f>
        <v xml:space="preserve"> </v>
      </c>
      <c r="X20" s="45" t="str">
        <f>IF('PALM BEACH'!$H19=0," ",'PALM BEACH'!$H19)</f>
        <v xml:space="preserve"> </v>
      </c>
      <c r="Y20" s="45" t="str">
        <f>IF(PASCO!$H19=0," ",PASCO!$H19)</f>
        <v>No</v>
      </c>
      <c r="Z20" s="45" t="str">
        <f>IF(PENSACOLA!$H19=0," ",PENSACOLA!$H19)</f>
        <v xml:space="preserve"> </v>
      </c>
      <c r="AA20" s="45" t="str">
        <f>IF(POLK!$H19=0," ",POLK!$H19)</f>
        <v xml:space="preserve"> </v>
      </c>
      <c r="AB20" s="45" t="str">
        <f>IF('ST JOHNS'!$H19=0," ",'ST JOHNS'!$H19)</f>
        <v>No</v>
      </c>
      <c r="AC20" s="45" t="str">
        <f>IF('ST PETE'!$H19=0," ",'ST PETE'!$H19)</f>
        <v xml:space="preserve"> </v>
      </c>
      <c r="AD20" s="45" t="str">
        <f>IF('SANTA FE'!$H19=0," ",'SANTA FE'!$H19)</f>
        <v xml:space="preserve"> </v>
      </c>
      <c r="AE20" s="45" t="str">
        <f>IF(SEMINOLE!$H19=0," ",SEMINOLE!$H19)</f>
        <v>Yes</v>
      </c>
      <c r="AF20" s="45" t="str">
        <f>IF('SOUTH FLORIDA'!$H19=0," ",'SOUTH FLORIDA'!$H19)</f>
        <v xml:space="preserve"> </v>
      </c>
      <c r="AG20" s="45" t="str">
        <f>IF(TALLAHASSEE!$H19=0," ",TALLAHASSEE!$H19)</f>
        <v xml:space="preserve"> </v>
      </c>
      <c r="AH20" s="45" t="str">
        <f>IF(VALENCIA!$H19=0," ",VALENCIA!$H19)</f>
        <v xml:space="preserve"> </v>
      </c>
      <c r="AI20" s="43" t="s">
        <v>15</v>
      </c>
      <c r="AK20" s="29">
        <f t="shared" si="1"/>
        <v>2</v>
      </c>
      <c r="AL20" s="29">
        <f t="shared" si="2"/>
        <v>3</v>
      </c>
      <c r="AM20" s="29">
        <f t="shared" si="3"/>
        <v>1</v>
      </c>
      <c r="AN20" s="29">
        <f t="shared" si="4"/>
        <v>6</v>
      </c>
      <c r="AO20" s="49">
        <f t="shared" si="5"/>
        <v>0.33333333333333331</v>
      </c>
      <c r="AP20" s="50">
        <f t="shared" si="6"/>
        <v>0.5</v>
      </c>
      <c r="AQ20" s="50">
        <f t="shared" si="7"/>
        <v>0.16666666666666666</v>
      </c>
    </row>
    <row r="21" spans="1:43" x14ac:dyDescent="0.35">
      <c r="A21" s="8"/>
      <c r="B21" s="9"/>
      <c r="C21" s="10" t="s">
        <v>37</v>
      </c>
      <c r="D21" s="13"/>
      <c r="E21" s="10"/>
      <c r="F21" s="9" t="s">
        <v>38</v>
      </c>
      <c r="G21" s="45" t="str">
        <f>IF(EASTERN!H20=0," ",EASTERN!H20)</f>
        <v>Yes</v>
      </c>
      <c r="H21" s="45" t="str">
        <f>IF(BROWARD!$H20=0," ",BROWARD!$H20)</f>
        <v>Partial</v>
      </c>
      <c r="I21" s="45" t="str">
        <f>IF(CENTRAL!$H20=0," ",CENTRAL!$H20)</f>
        <v>yes</v>
      </c>
      <c r="J21" s="45" t="str">
        <f>IF(CHIPOLA!$H20=0," ",CHIPOLA!$H20)</f>
        <v xml:space="preserve"> </v>
      </c>
      <c r="K21" s="45" t="str">
        <f>IF(DAYTONA!$H20=0," ",DAYTONA!$H20)</f>
        <v>Yes</v>
      </c>
      <c r="L21" s="45" t="str">
        <f>IF(SOUTHWESTERN!$H20=0," ",SOUTHWESTERN!$H20)</f>
        <v>Yes</v>
      </c>
      <c r="M21" s="45" t="str">
        <f>IF('FSC JAX'!$H20=0," ",'FSC JAX'!$H20)</f>
        <v>Yes</v>
      </c>
      <c r="N21" s="45" t="str">
        <f>IF('FL KEYS'!$H20=0," ",'FL KEYS'!$H20)</f>
        <v xml:space="preserve"> </v>
      </c>
      <c r="O21" s="45" t="str">
        <f>IF('GULF COAST'!$H20=0," ",'GULF COAST'!$H20)</f>
        <v>Yes</v>
      </c>
      <c r="P21" s="45" t="str">
        <f>IF(HILLSBOROUGH!$H20=0," ",HILLSBOROUGH!$H20)</f>
        <v>Yes</v>
      </c>
      <c r="Q21" s="45" t="str">
        <f>IF('INDIAN RIVER'!$H20=0," ",'INDIAN RIVER'!$H20)</f>
        <v>Yes</v>
      </c>
      <c r="R21" s="45" t="str">
        <f>IF(GATEWAY!$H20=0," ",GATEWAY!$H20)</f>
        <v>Yes</v>
      </c>
      <c r="S21" s="45" t="str">
        <f>IF('LAKE SUMTER'!$H20=0," ",'LAKE SUMTER'!$H20)</f>
        <v>Yes</v>
      </c>
      <c r="T21" s="45" t="str">
        <f>IF('SCF MANATEE'!$H20=0," ",'SCF MANATEE'!$H20)</f>
        <v>Partial</v>
      </c>
      <c r="U21" s="45" t="str">
        <f>IF(MIAMI!$H20=0," ",MIAMI!$H20)</f>
        <v>Yes</v>
      </c>
      <c r="V21" s="45" t="str">
        <f>IF('NORTH FLORIDA'!$H20=0," ",'NORTH FLORIDA'!$H20)</f>
        <v>Yes</v>
      </c>
      <c r="W21" s="45" t="str">
        <f>IF('NORTHWEST FLORIDA'!$H20=0," ",'NORTHWEST FLORIDA'!$H20)</f>
        <v>Yes</v>
      </c>
      <c r="X21" s="45" t="str">
        <f>IF('PALM BEACH'!$H20=0," ",'PALM BEACH'!$H20)</f>
        <v>No</v>
      </c>
      <c r="Y21" s="45" t="str">
        <f>IF(PASCO!$H20=0," ",PASCO!$H20)</f>
        <v>Yes</v>
      </c>
      <c r="Z21" s="45" t="str">
        <f>IF(PENSACOLA!$H20=0," ",PENSACOLA!$H20)</f>
        <v>yes</v>
      </c>
      <c r="AA21" s="45" t="str">
        <f>IF(POLK!$H20=0," ",POLK!$H20)</f>
        <v xml:space="preserve"> </v>
      </c>
      <c r="AB21" s="45" t="str">
        <f>IF('ST JOHNS'!$H20=0," ",'ST JOHNS'!$H20)</f>
        <v>Yes</v>
      </c>
      <c r="AC21" s="45" t="str">
        <f>IF('ST PETE'!$H20=0," ",'ST PETE'!$H20)</f>
        <v>Yes</v>
      </c>
      <c r="AD21" s="45" t="str">
        <f>IF('SANTA FE'!$H20=0," ",'SANTA FE'!$H20)</f>
        <v>Yes</v>
      </c>
      <c r="AE21" s="45" t="str">
        <f>IF(SEMINOLE!$H20=0," ",SEMINOLE!$H20)</f>
        <v>Yes</v>
      </c>
      <c r="AF21" s="45" t="str">
        <f>IF('SOUTH FLORIDA'!$H20=0," ",'SOUTH FLORIDA'!$H20)</f>
        <v>Yes</v>
      </c>
      <c r="AG21" s="45" t="str">
        <f>IF(TALLAHASSEE!$H20=0," ",TALLAHASSEE!$H20)</f>
        <v>No</v>
      </c>
      <c r="AH21" s="45" t="str">
        <f>IF(VALENCIA!$H20=0," ",VALENCIA!$H20)</f>
        <v>Yes</v>
      </c>
      <c r="AI21" s="43" t="s">
        <v>15</v>
      </c>
      <c r="AK21" s="29">
        <f t="shared" si="1"/>
        <v>21</v>
      </c>
      <c r="AL21" s="29">
        <f t="shared" si="2"/>
        <v>2</v>
      </c>
      <c r="AM21" s="29">
        <f t="shared" si="3"/>
        <v>2</v>
      </c>
      <c r="AN21" s="29">
        <f t="shared" si="4"/>
        <v>25</v>
      </c>
      <c r="AO21" s="49">
        <f t="shared" si="5"/>
        <v>0.84</v>
      </c>
      <c r="AP21" s="50">
        <f t="shared" si="6"/>
        <v>0.08</v>
      </c>
      <c r="AQ21" s="50">
        <f t="shared" si="7"/>
        <v>0.08</v>
      </c>
    </row>
    <row r="22" spans="1:43" x14ac:dyDescent="0.35">
      <c r="A22" s="8"/>
      <c r="B22" s="9"/>
      <c r="C22" s="10" t="s">
        <v>39</v>
      </c>
      <c r="D22" s="13"/>
      <c r="E22" s="10"/>
      <c r="F22" s="9" t="s">
        <v>40</v>
      </c>
      <c r="G22" s="45" t="str">
        <f>IF(EASTERN!H21=0," ",EASTERN!H21)</f>
        <v xml:space="preserve"> </v>
      </c>
      <c r="H22" s="45" t="str">
        <f>IF(BROWARD!$H21=0," ",BROWARD!$H21)</f>
        <v xml:space="preserve"> </v>
      </c>
      <c r="I22" s="45" t="str">
        <f>IF(CENTRAL!$H21=0," ",CENTRAL!$H21)</f>
        <v xml:space="preserve"> </v>
      </c>
      <c r="J22" s="45" t="str">
        <f>IF(CHIPOLA!$H21=0," ",CHIPOLA!$H21)</f>
        <v xml:space="preserve"> </v>
      </c>
      <c r="K22" s="45" t="str">
        <f>IF(DAYTONA!$H21=0," ",DAYTONA!$H21)</f>
        <v xml:space="preserve"> </v>
      </c>
      <c r="L22" s="45" t="str">
        <f>IF(SOUTHWESTERN!$H21=0," ",SOUTHWESTERN!$H21)</f>
        <v xml:space="preserve"> </v>
      </c>
      <c r="M22" s="45" t="str">
        <f>IF('FSC JAX'!$H21=0," ",'FSC JAX'!$H21)</f>
        <v xml:space="preserve"> </v>
      </c>
      <c r="N22" s="45" t="str">
        <f>IF('FL KEYS'!$H21=0," ",'FL KEYS'!$H21)</f>
        <v xml:space="preserve"> </v>
      </c>
      <c r="O22" s="45" t="str">
        <f>IF('GULF COAST'!$H21=0," ",'GULF COAST'!$H21)</f>
        <v xml:space="preserve"> </v>
      </c>
      <c r="P22" s="45" t="str">
        <f>IF(HILLSBOROUGH!$H21=0," ",HILLSBOROUGH!$H21)</f>
        <v xml:space="preserve"> </v>
      </c>
      <c r="Q22" s="45" t="str">
        <f>IF('INDIAN RIVER'!$H21=0," ",'INDIAN RIVER'!$H21)</f>
        <v xml:space="preserve"> </v>
      </c>
      <c r="R22" s="45" t="str">
        <f>IF(GATEWAY!$H21=0," ",GATEWAY!$H21)</f>
        <v>Yes</v>
      </c>
      <c r="S22" s="45" t="str">
        <f>IF('LAKE SUMTER'!$H21=0," ",'LAKE SUMTER'!$H21)</f>
        <v>No</v>
      </c>
      <c r="T22" s="45" t="str">
        <f>IF('SCF MANATEE'!$H21=0," ",'SCF MANATEE'!$H21)</f>
        <v>No</v>
      </c>
      <c r="U22" s="45" t="str">
        <f>IF(MIAMI!$H21=0," ",MIAMI!$H21)</f>
        <v>Yes</v>
      </c>
      <c r="V22" s="45" t="str">
        <f>IF('NORTH FLORIDA'!$H21=0," ",'NORTH FLORIDA'!$H21)</f>
        <v xml:space="preserve"> </v>
      </c>
      <c r="W22" s="45" t="str">
        <f>IF('NORTHWEST FLORIDA'!$H21=0," ",'NORTHWEST FLORIDA'!$H21)</f>
        <v xml:space="preserve"> </v>
      </c>
      <c r="X22" s="45" t="str">
        <f>IF('PALM BEACH'!$H21=0," ",'PALM BEACH'!$H21)</f>
        <v xml:space="preserve"> </v>
      </c>
      <c r="Y22" s="45" t="str">
        <f>IF(PASCO!$H21=0," ",PASCO!$H21)</f>
        <v xml:space="preserve"> </v>
      </c>
      <c r="Z22" s="45" t="str">
        <f>IF(PENSACOLA!$H21=0," ",PENSACOLA!$H21)</f>
        <v xml:space="preserve"> </v>
      </c>
      <c r="AA22" s="45" t="str">
        <f>IF(POLK!$H21=0," ",POLK!$H21)</f>
        <v xml:space="preserve"> </v>
      </c>
      <c r="AB22" s="45" t="str">
        <f>IF('ST JOHNS'!$H21=0," ",'ST JOHNS'!$H21)</f>
        <v xml:space="preserve"> </v>
      </c>
      <c r="AC22" s="45" t="str">
        <f>IF('ST PETE'!$H21=0," ",'ST PETE'!$H21)</f>
        <v xml:space="preserve"> </v>
      </c>
      <c r="AD22" s="45" t="str">
        <f>IF('SANTA FE'!$H21=0," ",'SANTA FE'!$H21)</f>
        <v>No</v>
      </c>
      <c r="AE22" s="45" t="str">
        <f>IF(SEMINOLE!$H21=0," ",SEMINOLE!$H21)</f>
        <v xml:space="preserve"> </v>
      </c>
      <c r="AF22" s="45" t="str">
        <f>IF('SOUTH FLORIDA'!$H21=0," ",'SOUTH FLORIDA'!$H21)</f>
        <v xml:space="preserve"> </v>
      </c>
      <c r="AG22" s="45" t="str">
        <f>IF(TALLAHASSEE!$H21=0," ",TALLAHASSEE!$H21)</f>
        <v xml:space="preserve"> </v>
      </c>
      <c r="AH22" s="45" t="str">
        <f>IF(VALENCIA!$H21=0," ",VALENCIA!$H21)</f>
        <v xml:space="preserve"> </v>
      </c>
      <c r="AI22" s="43" t="s">
        <v>24</v>
      </c>
      <c r="AK22" s="29">
        <f t="shared" si="1"/>
        <v>2</v>
      </c>
      <c r="AL22" s="29">
        <f t="shared" si="2"/>
        <v>3</v>
      </c>
      <c r="AM22" s="29">
        <f t="shared" si="3"/>
        <v>0</v>
      </c>
      <c r="AN22" s="29">
        <f t="shared" si="4"/>
        <v>5</v>
      </c>
      <c r="AO22" s="50">
        <f t="shared" si="5"/>
        <v>0.4</v>
      </c>
      <c r="AP22" s="49">
        <f t="shared" si="6"/>
        <v>0.6</v>
      </c>
      <c r="AQ22" s="50">
        <f t="shared" si="7"/>
        <v>0</v>
      </c>
    </row>
    <row r="23" spans="1:43" x14ac:dyDescent="0.35">
      <c r="A23" s="8"/>
      <c r="B23" s="9"/>
      <c r="C23" s="10" t="s">
        <v>41</v>
      </c>
      <c r="D23" s="13"/>
      <c r="E23" s="10"/>
      <c r="F23" s="9" t="s">
        <v>42</v>
      </c>
      <c r="G23" s="45" t="str">
        <f>IF(EASTERN!H22=0," ",EASTERN!H22)</f>
        <v xml:space="preserve"> </v>
      </c>
      <c r="H23" s="45" t="str">
        <f>IF(BROWARD!$H22=0," ",BROWARD!$H22)</f>
        <v xml:space="preserve"> </v>
      </c>
      <c r="I23" s="45" t="str">
        <f>IF(CENTRAL!$H22=0," ",CENTRAL!$H22)</f>
        <v xml:space="preserve"> </v>
      </c>
      <c r="J23" s="45" t="str">
        <f>IF(CHIPOLA!$H22=0," ",CHIPOLA!$H22)</f>
        <v xml:space="preserve"> </v>
      </c>
      <c r="K23" s="45" t="str">
        <f>IF(DAYTONA!$H22=0," ",DAYTONA!$H22)</f>
        <v xml:space="preserve"> </v>
      </c>
      <c r="L23" s="45" t="str">
        <f>IF(SOUTHWESTERN!$H22=0," ",SOUTHWESTERN!$H22)</f>
        <v xml:space="preserve"> </v>
      </c>
      <c r="M23" s="45" t="str">
        <f>IF('FSC JAX'!$H22=0," ",'FSC JAX'!$H22)</f>
        <v xml:space="preserve"> </v>
      </c>
      <c r="N23" s="45" t="str">
        <f>IF('FL KEYS'!$H22=0," ",'FL KEYS'!$H22)</f>
        <v xml:space="preserve"> </v>
      </c>
      <c r="O23" s="45" t="str">
        <f>IF('GULF COAST'!$H22=0," ",'GULF COAST'!$H22)</f>
        <v xml:space="preserve"> </v>
      </c>
      <c r="P23" s="45" t="str">
        <f>IF(HILLSBOROUGH!$H22=0," ",HILLSBOROUGH!$H22)</f>
        <v xml:space="preserve"> </v>
      </c>
      <c r="Q23" s="45" t="str">
        <f>IF('INDIAN RIVER'!$H22=0," ",'INDIAN RIVER'!$H22)</f>
        <v xml:space="preserve"> </v>
      </c>
      <c r="R23" s="45" t="str">
        <f>IF(GATEWAY!$H22=0," ",GATEWAY!$H22)</f>
        <v xml:space="preserve"> </v>
      </c>
      <c r="S23" s="45" t="str">
        <f>IF('LAKE SUMTER'!$H22=0," ",'LAKE SUMTER'!$H22)</f>
        <v xml:space="preserve"> </v>
      </c>
      <c r="T23" s="45" t="str">
        <f>IF('SCF MANATEE'!$H22=0," ",'SCF MANATEE'!$H22)</f>
        <v>No</v>
      </c>
      <c r="U23" s="45" t="str">
        <f>IF(MIAMI!$H22=0," ",MIAMI!$H22)</f>
        <v xml:space="preserve"> </v>
      </c>
      <c r="V23" s="45" t="str">
        <f>IF('NORTH FLORIDA'!$H22=0," ",'NORTH FLORIDA'!$H22)</f>
        <v xml:space="preserve"> </v>
      </c>
      <c r="W23" s="45" t="str">
        <f>IF('NORTHWEST FLORIDA'!$H22=0," ",'NORTHWEST FLORIDA'!$H22)</f>
        <v xml:space="preserve"> </v>
      </c>
      <c r="X23" s="45" t="str">
        <f>IF('PALM BEACH'!$H22=0," ",'PALM BEACH'!$H22)</f>
        <v xml:space="preserve"> </v>
      </c>
      <c r="Y23" s="45" t="str">
        <f>IF(PASCO!$H22=0," ",PASCO!$H22)</f>
        <v xml:space="preserve"> </v>
      </c>
      <c r="Z23" s="45" t="str">
        <f>IF(PENSACOLA!$H22=0," ",PENSACOLA!$H22)</f>
        <v xml:space="preserve"> </v>
      </c>
      <c r="AA23" s="45" t="str">
        <f>IF(POLK!$H22=0," ",POLK!$H22)</f>
        <v xml:space="preserve"> </v>
      </c>
      <c r="AB23" s="45" t="str">
        <f>IF('ST JOHNS'!$H22=0," ",'ST JOHNS'!$H22)</f>
        <v xml:space="preserve"> </v>
      </c>
      <c r="AC23" s="45" t="str">
        <f>IF('ST PETE'!$H22=0," ",'ST PETE'!$H22)</f>
        <v xml:space="preserve"> </v>
      </c>
      <c r="AD23" s="45" t="str">
        <f>IF('SANTA FE'!$H22=0," ",'SANTA FE'!$H22)</f>
        <v xml:space="preserve"> </v>
      </c>
      <c r="AE23" s="45" t="str">
        <f>IF(SEMINOLE!$H22=0," ",SEMINOLE!$H22)</f>
        <v xml:space="preserve"> </v>
      </c>
      <c r="AF23" s="45" t="str">
        <f>IF('SOUTH FLORIDA'!$H22=0," ",'SOUTH FLORIDA'!$H22)</f>
        <v xml:space="preserve"> </v>
      </c>
      <c r="AG23" s="45" t="str">
        <f>IF(TALLAHASSEE!$H22=0," ",TALLAHASSEE!$H22)</f>
        <v xml:space="preserve"> </v>
      </c>
      <c r="AH23" s="45" t="str">
        <f>IF(VALENCIA!$H22=0," ",VALENCIA!$H22)</f>
        <v>No</v>
      </c>
      <c r="AI23" s="43" t="s">
        <v>24</v>
      </c>
      <c r="AK23" s="29">
        <f t="shared" si="1"/>
        <v>0</v>
      </c>
      <c r="AL23" s="29">
        <f t="shared" si="2"/>
        <v>2</v>
      </c>
      <c r="AM23" s="29">
        <f t="shared" si="3"/>
        <v>0</v>
      </c>
      <c r="AN23" s="29">
        <f t="shared" si="4"/>
        <v>2</v>
      </c>
      <c r="AO23" s="50">
        <f t="shared" si="5"/>
        <v>0</v>
      </c>
      <c r="AP23" s="49">
        <f t="shared" si="6"/>
        <v>1</v>
      </c>
      <c r="AQ23" s="50">
        <f t="shared" si="7"/>
        <v>0</v>
      </c>
    </row>
    <row r="24" spans="1:43" x14ac:dyDescent="0.35">
      <c r="A24" s="8"/>
      <c r="B24" s="9"/>
      <c r="C24" s="10" t="s">
        <v>43</v>
      </c>
      <c r="D24" s="13"/>
      <c r="E24" s="10"/>
      <c r="F24" s="9" t="s">
        <v>44</v>
      </c>
      <c r="G24" s="45" t="str">
        <f>IF(EASTERN!H23=0," ",EASTERN!H23)</f>
        <v xml:space="preserve"> </v>
      </c>
      <c r="H24" s="45" t="str">
        <f>IF(BROWARD!$H23=0," ",BROWARD!$H23)</f>
        <v xml:space="preserve"> </v>
      </c>
      <c r="I24" s="45" t="str">
        <f>IF(CENTRAL!$H23=0," ",CENTRAL!$H23)</f>
        <v xml:space="preserve"> </v>
      </c>
      <c r="J24" s="45" t="str">
        <f>IF(CHIPOLA!$H23=0," ",CHIPOLA!$H23)</f>
        <v xml:space="preserve"> </v>
      </c>
      <c r="K24" s="45" t="str">
        <f>IF(DAYTONA!$H23=0," ",DAYTONA!$H23)</f>
        <v xml:space="preserve"> </v>
      </c>
      <c r="L24" s="45" t="str">
        <f>IF(SOUTHWESTERN!$H23=0," ",SOUTHWESTERN!$H23)</f>
        <v xml:space="preserve"> </v>
      </c>
      <c r="M24" s="45" t="str">
        <f>IF('FSC JAX'!$H23=0," ",'FSC JAX'!$H23)</f>
        <v xml:space="preserve"> </v>
      </c>
      <c r="N24" s="45" t="str">
        <f>IF('FL KEYS'!$H23=0," ",'FL KEYS'!$H23)</f>
        <v xml:space="preserve"> </v>
      </c>
      <c r="O24" s="45" t="str">
        <f>IF('GULF COAST'!$H23=0," ",'GULF COAST'!$H23)</f>
        <v xml:space="preserve"> </v>
      </c>
      <c r="P24" s="45" t="str">
        <f>IF(HILLSBOROUGH!$H23=0," ",HILLSBOROUGH!$H23)</f>
        <v xml:space="preserve"> </v>
      </c>
      <c r="Q24" s="45" t="str">
        <f>IF('INDIAN RIVER'!$H23=0," ",'INDIAN RIVER'!$H23)</f>
        <v xml:space="preserve"> </v>
      </c>
      <c r="R24" s="45" t="str">
        <f>IF(GATEWAY!$H23=0," ",GATEWAY!$H23)</f>
        <v xml:space="preserve"> </v>
      </c>
      <c r="S24" s="45" t="str">
        <f>IF('LAKE SUMTER'!$H23=0," ",'LAKE SUMTER'!$H23)</f>
        <v xml:space="preserve"> </v>
      </c>
      <c r="T24" s="45" t="str">
        <f>IF('SCF MANATEE'!$H23=0," ",'SCF MANATEE'!$H23)</f>
        <v>Partial</v>
      </c>
      <c r="U24" s="45" t="str">
        <f>IF(MIAMI!$H23=0," ",MIAMI!$H23)</f>
        <v xml:space="preserve"> </v>
      </c>
      <c r="V24" s="45" t="str">
        <f>IF('NORTH FLORIDA'!$H23=0," ",'NORTH FLORIDA'!$H23)</f>
        <v xml:space="preserve"> </v>
      </c>
      <c r="W24" s="45" t="str">
        <f>IF('NORTHWEST FLORIDA'!$H23=0," ",'NORTHWEST FLORIDA'!$H23)</f>
        <v xml:space="preserve"> </v>
      </c>
      <c r="X24" s="45" t="str">
        <f>IF('PALM BEACH'!$H23=0," ",'PALM BEACH'!$H23)</f>
        <v>No</v>
      </c>
      <c r="Y24" s="45" t="str">
        <f>IF(PASCO!$H23=0," ",PASCO!$H23)</f>
        <v xml:space="preserve"> </v>
      </c>
      <c r="Z24" s="45" t="str">
        <f>IF(PENSACOLA!$H23=0," ",PENSACOLA!$H23)</f>
        <v xml:space="preserve"> </v>
      </c>
      <c r="AA24" s="45" t="str">
        <f>IF(POLK!$H23=0," ",POLK!$H23)</f>
        <v xml:space="preserve"> </v>
      </c>
      <c r="AB24" s="45" t="str">
        <f>IF('ST JOHNS'!$H23=0," ",'ST JOHNS'!$H23)</f>
        <v xml:space="preserve"> </v>
      </c>
      <c r="AC24" s="45" t="str">
        <f>IF('ST PETE'!$H23=0," ",'ST PETE'!$H23)</f>
        <v xml:space="preserve"> </v>
      </c>
      <c r="AD24" s="45" t="str">
        <f>IF('SANTA FE'!$H23=0," ",'SANTA FE'!$H23)</f>
        <v xml:space="preserve"> </v>
      </c>
      <c r="AE24" s="45" t="str">
        <f>IF(SEMINOLE!$H23=0," ",SEMINOLE!$H23)</f>
        <v xml:space="preserve"> </v>
      </c>
      <c r="AF24" s="45" t="str">
        <f>IF('SOUTH FLORIDA'!$H23=0," ",'SOUTH FLORIDA'!$H23)</f>
        <v>Yes</v>
      </c>
      <c r="AG24" s="45" t="str">
        <f>IF(TALLAHASSEE!$H23=0," ",TALLAHASSEE!$H23)</f>
        <v xml:space="preserve"> </v>
      </c>
      <c r="AH24" s="45" t="str">
        <f>IF(VALENCIA!$H23=0," ",VALENCIA!$H23)</f>
        <v xml:space="preserve"> </v>
      </c>
      <c r="AI24" s="43" t="s">
        <v>15</v>
      </c>
      <c r="AK24" s="29">
        <f t="shared" si="1"/>
        <v>1</v>
      </c>
      <c r="AL24" s="29">
        <f t="shared" si="2"/>
        <v>1</v>
      </c>
      <c r="AM24" s="29">
        <f t="shared" si="3"/>
        <v>1</v>
      </c>
      <c r="AN24" s="29">
        <f t="shared" si="4"/>
        <v>3</v>
      </c>
      <c r="AO24" s="49">
        <f t="shared" si="5"/>
        <v>0.33333333333333331</v>
      </c>
      <c r="AP24" s="50">
        <f t="shared" si="6"/>
        <v>0.33333333333333331</v>
      </c>
      <c r="AQ24" s="50">
        <f t="shared" si="7"/>
        <v>0.33333333333333331</v>
      </c>
    </row>
    <row r="25" spans="1:43" x14ac:dyDescent="0.35">
      <c r="A25" s="9"/>
      <c r="B25" s="9"/>
      <c r="C25" s="19" t="s">
        <v>45</v>
      </c>
      <c r="D25" s="13"/>
      <c r="E25" s="19"/>
      <c r="F25" s="9" t="s">
        <v>46</v>
      </c>
      <c r="G25" s="45" t="str">
        <f>IF(EASTERN!H24=0," ",EASTERN!H24)</f>
        <v xml:space="preserve"> </v>
      </c>
      <c r="H25" s="45" t="str">
        <f>IF(BROWARD!$H24=0," ",BROWARD!$H24)</f>
        <v xml:space="preserve"> </v>
      </c>
      <c r="I25" s="45" t="str">
        <f>IF(CENTRAL!$H24=0," ",CENTRAL!$H24)</f>
        <v xml:space="preserve"> </v>
      </c>
      <c r="J25" s="45" t="str">
        <f>IF(CHIPOLA!$H24=0," ",CHIPOLA!$H24)</f>
        <v xml:space="preserve"> </v>
      </c>
      <c r="K25" s="45" t="str">
        <f>IF(DAYTONA!$H24=0," ",DAYTONA!$H24)</f>
        <v>Yes</v>
      </c>
      <c r="L25" s="45" t="str">
        <f>IF(SOUTHWESTERN!$H24=0," ",SOUTHWESTERN!$H24)</f>
        <v xml:space="preserve"> </v>
      </c>
      <c r="M25" s="45" t="str">
        <f>IF('FSC JAX'!$H24=0," ",'FSC JAX'!$H24)</f>
        <v>No</v>
      </c>
      <c r="N25" s="45" t="str">
        <f>IF('FL KEYS'!$H24=0," ",'FL KEYS'!$H24)</f>
        <v xml:space="preserve"> </v>
      </c>
      <c r="O25" s="45" t="str">
        <f>IF('GULF COAST'!$H24=0," ",'GULF COAST'!$H24)</f>
        <v xml:space="preserve"> </v>
      </c>
      <c r="P25" s="45" t="str">
        <f>IF(HILLSBOROUGH!$H24=0," ",HILLSBOROUGH!$H24)</f>
        <v xml:space="preserve"> </v>
      </c>
      <c r="Q25" s="45" t="str">
        <f>IF('INDIAN RIVER'!$H24=0," ",'INDIAN RIVER'!$H24)</f>
        <v xml:space="preserve"> </v>
      </c>
      <c r="R25" s="45" t="str">
        <f>IF(GATEWAY!$H24=0," ",GATEWAY!$H24)</f>
        <v xml:space="preserve"> </v>
      </c>
      <c r="S25" s="45" t="str">
        <f>IF('LAKE SUMTER'!$H24=0," ",'LAKE SUMTER'!$H24)</f>
        <v xml:space="preserve"> </v>
      </c>
      <c r="T25" s="45" t="str">
        <f>IF('SCF MANATEE'!$H24=0," ",'SCF MANATEE'!$H24)</f>
        <v xml:space="preserve"> </v>
      </c>
      <c r="U25" s="45" t="str">
        <f>IF(MIAMI!$H24=0," ",MIAMI!$H24)</f>
        <v xml:space="preserve"> </v>
      </c>
      <c r="V25" s="45" t="str">
        <f>IF('NORTH FLORIDA'!$H24=0," ",'NORTH FLORIDA'!$H24)</f>
        <v xml:space="preserve"> </v>
      </c>
      <c r="W25" s="45" t="str">
        <f>IF('NORTHWEST FLORIDA'!$H24=0," ",'NORTHWEST FLORIDA'!$H24)</f>
        <v xml:space="preserve"> </v>
      </c>
      <c r="X25" s="45" t="str">
        <f>IF('PALM BEACH'!$H24=0," ",'PALM BEACH'!$H24)</f>
        <v xml:space="preserve"> </v>
      </c>
      <c r="Y25" s="45" t="str">
        <f>IF(PASCO!$H24=0," ",PASCO!$H24)</f>
        <v xml:space="preserve"> </v>
      </c>
      <c r="Z25" s="45" t="str">
        <f>IF(PENSACOLA!$H24=0," ",PENSACOLA!$H24)</f>
        <v xml:space="preserve"> </v>
      </c>
      <c r="AA25" s="45" t="str">
        <f>IF(POLK!$H24=0," ",POLK!$H24)</f>
        <v xml:space="preserve"> </v>
      </c>
      <c r="AB25" s="45" t="str">
        <f>IF('ST JOHNS'!$H24=0," ",'ST JOHNS'!$H24)</f>
        <v xml:space="preserve"> </v>
      </c>
      <c r="AC25" s="45" t="str">
        <f>IF('ST PETE'!$H24=0," ",'ST PETE'!$H24)</f>
        <v>Yes</v>
      </c>
      <c r="AD25" s="45" t="str">
        <f>IF('SANTA FE'!$H24=0," ",'SANTA FE'!$H24)</f>
        <v xml:space="preserve"> </v>
      </c>
      <c r="AE25" s="45" t="str">
        <f>IF(SEMINOLE!$H24=0," ",SEMINOLE!$H24)</f>
        <v xml:space="preserve"> </v>
      </c>
      <c r="AF25" s="45" t="str">
        <f>IF('SOUTH FLORIDA'!$H24=0," ",'SOUTH FLORIDA'!$H24)</f>
        <v xml:space="preserve"> </v>
      </c>
      <c r="AG25" s="45" t="str">
        <f>IF(TALLAHASSEE!$H24=0," ",TALLAHASSEE!$H24)</f>
        <v xml:space="preserve"> </v>
      </c>
      <c r="AH25" s="45" t="str">
        <f>IF(VALENCIA!$H24=0," ",VALENCIA!$H24)</f>
        <v xml:space="preserve"> </v>
      </c>
      <c r="AI25" s="43" t="s">
        <v>15</v>
      </c>
      <c r="AK25" s="29">
        <f t="shared" si="1"/>
        <v>2</v>
      </c>
      <c r="AL25" s="29">
        <f t="shared" si="2"/>
        <v>1</v>
      </c>
      <c r="AM25" s="29">
        <f t="shared" si="3"/>
        <v>0</v>
      </c>
      <c r="AN25" s="29">
        <f t="shared" si="4"/>
        <v>3</v>
      </c>
      <c r="AO25" s="49">
        <f t="shared" si="5"/>
        <v>0.66666666666666663</v>
      </c>
      <c r="AP25" s="50">
        <f t="shared" si="6"/>
        <v>0.33333333333333331</v>
      </c>
      <c r="AQ25" s="50">
        <f t="shared" si="7"/>
        <v>0</v>
      </c>
    </row>
    <row r="26" spans="1:43" x14ac:dyDescent="0.35">
      <c r="A26" s="8"/>
      <c r="B26" s="9" t="s">
        <v>47</v>
      </c>
      <c r="C26" s="10"/>
      <c r="D26" s="13"/>
      <c r="E26" s="9" t="s">
        <v>48</v>
      </c>
      <c r="F26" s="10"/>
      <c r="G26" s="45" t="str">
        <f>IF(EASTERN!H25=0," ",EASTERN!H25)</f>
        <v xml:space="preserve"> </v>
      </c>
      <c r="H26" s="45" t="str">
        <f>IF(BROWARD!$H25=0," ",BROWARD!$H25)</f>
        <v xml:space="preserve"> </v>
      </c>
      <c r="I26" s="45" t="str">
        <f>IF(CENTRAL!$H25=0," ",CENTRAL!$H25)</f>
        <v xml:space="preserve"> </v>
      </c>
      <c r="J26" s="45" t="str">
        <f>IF(CHIPOLA!$H25=0," ",CHIPOLA!$H25)</f>
        <v xml:space="preserve"> </v>
      </c>
      <c r="K26" s="45" t="str">
        <f>IF(DAYTONA!$H25=0," ",DAYTONA!$H25)</f>
        <v xml:space="preserve"> </v>
      </c>
      <c r="L26" s="45" t="str">
        <f>IF(SOUTHWESTERN!$H25=0," ",SOUTHWESTERN!$H25)</f>
        <v xml:space="preserve"> </v>
      </c>
      <c r="M26" s="45" t="str">
        <f>IF('FSC JAX'!$H25=0," ",'FSC JAX'!$H25)</f>
        <v xml:space="preserve"> </v>
      </c>
      <c r="N26" s="45" t="str">
        <f>IF('FL KEYS'!$H25=0," ",'FL KEYS'!$H25)</f>
        <v xml:space="preserve"> </v>
      </c>
      <c r="O26" s="45" t="str">
        <f>IF('GULF COAST'!$H25=0," ",'GULF COAST'!$H25)</f>
        <v xml:space="preserve"> </v>
      </c>
      <c r="P26" s="45" t="str">
        <f>IF(HILLSBOROUGH!$H25=0," ",HILLSBOROUGH!$H25)</f>
        <v xml:space="preserve"> </v>
      </c>
      <c r="Q26" s="45" t="str">
        <f>IF('INDIAN RIVER'!$H25=0," ",'INDIAN RIVER'!$H25)</f>
        <v xml:space="preserve"> </v>
      </c>
      <c r="R26" s="45" t="str">
        <f>IF(GATEWAY!$H25=0," ",GATEWAY!$H25)</f>
        <v xml:space="preserve"> </v>
      </c>
      <c r="S26" s="45" t="str">
        <f>IF('LAKE SUMTER'!$H25=0," ",'LAKE SUMTER'!$H25)</f>
        <v xml:space="preserve"> </v>
      </c>
      <c r="T26" s="45" t="str">
        <f>IF('SCF MANATEE'!$H25=0," ",'SCF MANATEE'!$H25)</f>
        <v xml:space="preserve"> </v>
      </c>
      <c r="U26" s="45" t="str">
        <f>IF(MIAMI!$H25=0," ",MIAMI!$H25)</f>
        <v xml:space="preserve"> </v>
      </c>
      <c r="V26" s="45" t="str">
        <f>IF('NORTH FLORIDA'!$H25=0," ",'NORTH FLORIDA'!$H25)</f>
        <v xml:space="preserve"> </v>
      </c>
      <c r="W26" s="45" t="str">
        <f>IF('NORTHWEST FLORIDA'!$H25=0," ",'NORTHWEST FLORIDA'!$H25)</f>
        <v xml:space="preserve"> </v>
      </c>
      <c r="X26" s="45" t="str">
        <f>IF('PALM BEACH'!$H25=0," ",'PALM BEACH'!$H25)</f>
        <v xml:space="preserve"> </v>
      </c>
      <c r="Y26" s="45" t="str">
        <f>IF(PASCO!$H25=0," ",PASCO!$H25)</f>
        <v xml:space="preserve"> </v>
      </c>
      <c r="Z26" s="45" t="str">
        <f>IF(PENSACOLA!$H25=0," ",PENSACOLA!$H25)</f>
        <v xml:space="preserve"> </v>
      </c>
      <c r="AA26" s="45" t="str">
        <f>IF(POLK!$H25=0," ",POLK!$H25)</f>
        <v xml:space="preserve"> </v>
      </c>
      <c r="AB26" s="45" t="str">
        <f>IF('ST JOHNS'!$H25=0," ",'ST JOHNS'!$H25)</f>
        <v xml:space="preserve"> </v>
      </c>
      <c r="AC26" s="45" t="str">
        <f>IF('ST PETE'!$H25=0," ",'ST PETE'!$H25)</f>
        <v xml:space="preserve"> </v>
      </c>
      <c r="AD26" s="45" t="str">
        <f>IF('SANTA FE'!$H25=0," ",'SANTA FE'!$H25)</f>
        <v xml:space="preserve"> </v>
      </c>
      <c r="AE26" s="45" t="str">
        <f>IF(SEMINOLE!$H25=0," ",SEMINOLE!$H25)</f>
        <v xml:space="preserve"> </v>
      </c>
      <c r="AF26" s="45" t="str">
        <f>IF('SOUTH FLORIDA'!$H25=0," ",'SOUTH FLORIDA'!$H25)</f>
        <v xml:space="preserve"> </v>
      </c>
      <c r="AG26" s="45" t="str">
        <f>IF(TALLAHASSEE!$H25=0," ",TALLAHASSEE!$H25)</f>
        <v xml:space="preserve"> </v>
      </c>
      <c r="AH26" s="45" t="str">
        <f>IF(VALENCIA!$H25=0," ",VALENCIA!$H25)</f>
        <v xml:space="preserve"> </v>
      </c>
      <c r="AI26" s="43"/>
      <c r="AK26" s="29">
        <f t="shared" si="1"/>
        <v>0</v>
      </c>
      <c r="AL26" s="29">
        <f t="shared" si="2"/>
        <v>0</v>
      </c>
      <c r="AM26" s="29">
        <f t="shared" si="3"/>
        <v>0</v>
      </c>
      <c r="AN26" s="29">
        <f t="shared" si="4"/>
        <v>0</v>
      </c>
      <c r="AO26" s="50">
        <f t="shared" si="5"/>
        <v>0</v>
      </c>
      <c r="AP26" s="50">
        <f t="shared" si="6"/>
        <v>0</v>
      </c>
      <c r="AQ26" s="50">
        <f t="shared" si="7"/>
        <v>0</v>
      </c>
    </row>
    <row r="27" spans="1:43" x14ac:dyDescent="0.35">
      <c r="A27" s="8"/>
      <c r="B27" s="9"/>
      <c r="C27" s="10" t="s">
        <v>49</v>
      </c>
      <c r="D27" s="13"/>
      <c r="E27" s="10"/>
      <c r="F27" s="9" t="s">
        <v>50</v>
      </c>
      <c r="G27" s="45" t="str">
        <f>IF(EASTERN!H26=0," ",EASTERN!H26)</f>
        <v xml:space="preserve"> </v>
      </c>
      <c r="H27" s="45" t="str">
        <f>IF(BROWARD!$H26=0," ",BROWARD!$H26)</f>
        <v xml:space="preserve"> </v>
      </c>
      <c r="I27" s="45" t="str">
        <f>IF(CENTRAL!$H26=0," ",CENTRAL!$H26)</f>
        <v xml:space="preserve"> </v>
      </c>
      <c r="J27" s="45" t="str">
        <f>IF(CHIPOLA!$H26=0," ",CHIPOLA!$H26)</f>
        <v xml:space="preserve"> </v>
      </c>
      <c r="K27" s="45" t="str">
        <f>IF(DAYTONA!$H26=0," ",DAYTONA!$H26)</f>
        <v xml:space="preserve"> </v>
      </c>
      <c r="L27" s="45" t="str">
        <f>IF(SOUTHWESTERN!$H26=0," ",SOUTHWESTERN!$H26)</f>
        <v xml:space="preserve"> </v>
      </c>
      <c r="M27" s="45" t="str">
        <f>IF('FSC JAX'!$H26=0," ",'FSC JAX'!$H26)</f>
        <v xml:space="preserve"> </v>
      </c>
      <c r="N27" s="45" t="str">
        <f>IF('FL KEYS'!$H26=0," ",'FL KEYS'!$H26)</f>
        <v xml:space="preserve"> </v>
      </c>
      <c r="O27" s="45" t="str">
        <f>IF('GULF COAST'!$H26=0," ",'GULF COAST'!$H26)</f>
        <v xml:space="preserve"> </v>
      </c>
      <c r="P27" s="45" t="str">
        <f>IF(HILLSBOROUGH!$H26=0," ",HILLSBOROUGH!$H26)</f>
        <v xml:space="preserve"> </v>
      </c>
      <c r="Q27" s="45" t="str">
        <f>IF('INDIAN RIVER'!$H26=0," ",'INDIAN RIVER'!$H26)</f>
        <v xml:space="preserve"> </v>
      </c>
      <c r="R27" s="45" t="str">
        <f>IF(GATEWAY!$H26=0," ",GATEWAY!$H26)</f>
        <v xml:space="preserve"> </v>
      </c>
      <c r="S27" s="45" t="str">
        <f>IF('LAKE SUMTER'!$H26=0," ",'LAKE SUMTER'!$H26)</f>
        <v xml:space="preserve"> </v>
      </c>
      <c r="T27" s="45" t="str">
        <f>IF('SCF MANATEE'!$H26=0," ",'SCF MANATEE'!$H26)</f>
        <v xml:space="preserve"> </v>
      </c>
      <c r="U27" s="45" t="str">
        <f>IF(MIAMI!$H26=0," ",MIAMI!$H26)</f>
        <v xml:space="preserve"> </v>
      </c>
      <c r="V27" s="45" t="str">
        <f>IF('NORTH FLORIDA'!$H26=0," ",'NORTH FLORIDA'!$H26)</f>
        <v xml:space="preserve"> </v>
      </c>
      <c r="W27" s="45" t="str">
        <f>IF('NORTHWEST FLORIDA'!$H26=0," ",'NORTHWEST FLORIDA'!$H26)</f>
        <v>Partial</v>
      </c>
      <c r="X27" s="45" t="str">
        <f>IF('PALM BEACH'!$H26=0," ",'PALM BEACH'!$H26)</f>
        <v xml:space="preserve"> </v>
      </c>
      <c r="Y27" s="45" t="str">
        <f>IF(PASCO!$H26=0," ",PASCO!$H26)</f>
        <v xml:space="preserve"> </v>
      </c>
      <c r="Z27" s="45" t="str">
        <f>IF(PENSACOLA!$H26=0," ",PENSACOLA!$H26)</f>
        <v xml:space="preserve"> </v>
      </c>
      <c r="AA27" s="45" t="str">
        <f>IF(POLK!$H26=0," ",POLK!$H26)</f>
        <v>Yes</v>
      </c>
      <c r="AB27" s="45" t="str">
        <f>IF('ST JOHNS'!$H26=0," ",'ST JOHNS'!$H26)</f>
        <v>Partial</v>
      </c>
      <c r="AC27" s="45" t="str">
        <f>IF('ST PETE'!$H26=0," ",'ST PETE'!$H26)</f>
        <v xml:space="preserve"> </v>
      </c>
      <c r="AD27" s="45" t="str">
        <f>IF('SANTA FE'!$H26=0," ",'SANTA FE'!$H26)</f>
        <v>Partial</v>
      </c>
      <c r="AE27" s="45" t="str">
        <f>IF(SEMINOLE!$H26=0," ",SEMINOLE!$H26)</f>
        <v xml:space="preserve"> </v>
      </c>
      <c r="AF27" s="45" t="str">
        <f>IF('SOUTH FLORIDA'!$H26=0," ",'SOUTH FLORIDA'!$H26)</f>
        <v xml:space="preserve"> </v>
      </c>
      <c r="AG27" s="45" t="str">
        <f>IF(TALLAHASSEE!$H26=0," ",TALLAHASSEE!$H26)</f>
        <v xml:space="preserve"> </v>
      </c>
      <c r="AH27" s="45" t="str">
        <f>IF(VALENCIA!$H26=0," ",VALENCIA!$H26)</f>
        <v xml:space="preserve"> </v>
      </c>
      <c r="AI27" s="43" t="s">
        <v>59</v>
      </c>
      <c r="AK27" s="29">
        <f t="shared" si="1"/>
        <v>1</v>
      </c>
      <c r="AL27" s="29">
        <f t="shared" si="2"/>
        <v>0</v>
      </c>
      <c r="AM27" s="29">
        <f t="shared" si="3"/>
        <v>3</v>
      </c>
      <c r="AN27" s="29">
        <f t="shared" si="4"/>
        <v>4</v>
      </c>
      <c r="AO27" s="50">
        <f t="shared" si="5"/>
        <v>0.25</v>
      </c>
      <c r="AP27" s="50">
        <f t="shared" si="6"/>
        <v>0</v>
      </c>
      <c r="AQ27" s="49">
        <f t="shared" si="7"/>
        <v>0.75</v>
      </c>
    </row>
    <row r="28" spans="1:43" x14ac:dyDescent="0.35">
      <c r="A28" s="8"/>
      <c r="B28" s="9"/>
      <c r="C28" s="10" t="s">
        <v>51</v>
      </c>
      <c r="D28" s="13"/>
      <c r="E28" s="10"/>
      <c r="F28" s="9" t="s">
        <v>52</v>
      </c>
      <c r="G28" s="45" t="str">
        <f>IF(EASTERN!H27=0," ",EASTERN!H27)</f>
        <v>Yes</v>
      </c>
      <c r="H28" s="45" t="str">
        <f>IF(BROWARD!$H27=0," ",BROWARD!$H27)</f>
        <v>Partial</v>
      </c>
      <c r="I28" s="45" t="str">
        <f>IF(CENTRAL!$H27=0," ",CENTRAL!$H27)</f>
        <v xml:space="preserve"> </v>
      </c>
      <c r="J28" s="45" t="str">
        <f>IF(CHIPOLA!$H27=0," ",CHIPOLA!$H27)</f>
        <v xml:space="preserve"> </v>
      </c>
      <c r="K28" s="45" t="str">
        <f>IF(DAYTONA!$H27=0," ",DAYTONA!$H27)</f>
        <v>Yes</v>
      </c>
      <c r="L28" s="45" t="str">
        <f>IF(SOUTHWESTERN!$H27=0," ",SOUTHWESTERN!$H27)</f>
        <v xml:space="preserve"> </v>
      </c>
      <c r="M28" s="45" t="str">
        <f>IF('FSC JAX'!$H27=0," ",'FSC JAX'!$H27)</f>
        <v xml:space="preserve"> </v>
      </c>
      <c r="N28" s="45" t="str">
        <f>IF('FL KEYS'!$H27=0," ",'FL KEYS'!$H27)</f>
        <v>Yes</v>
      </c>
      <c r="O28" s="45" t="str">
        <f>IF('GULF COAST'!$H27=0," ",'GULF COAST'!$H27)</f>
        <v xml:space="preserve"> </v>
      </c>
      <c r="P28" s="45" t="str">
        <f>IF(HILLSBOROUGH!$H27=0," ",HILLSBOROUGH!$H27)</f>
        <v xml:space="preserve"> </v>
      </c>
      <c r="Q28" s="45" t="str">
        <f>IF('INDIAN RIVER'!$H27=0," ",'INDIAN RIVER'!$H27)</f>
        <v xml:space="preserve"> </v>
      </c>
      <c r="R28" s="45" t="str">
        <f>IF(GATEWAY!$H27=0," ",GATEWAY!$H27)</f>
        <v xml:space="preserve"> </v>
      </c>
      <c r="S28" s="45" t="str">
        <f>IF('LAKE SUMTER'!$H27=0," ",'LAKE SUMTER'!$H27)</f>
        <v xml:space="preserve"> </v>
      </c>
      <c r="T28" s="45" t="str">
        <f>IF('SCF MANATEE'!$H27=0," ",'SCF MANATEE'!$H27)</f>
        <v xml:space="preserve"> </v>
      </c>
      <c r="U28" s="45" t="str">
        <f>IF(MIAMI!$H27=0," ",MIAMI!$H27)</f>
        <v xml:space="preserve"> </v>
      </c>
      <c r="V28" s="45" t="str">
        <f>IF('NORTH FLORIDA'!$H27=0," ",'NORTH FLORIDA'!$H27)</f>
        <v>Yes</v>
      </c>
      <c r="W28" s="45" t="str">
        <f>IF('NORTHWEST FLORIDA'!$H27=0," ",'NORTHWEST FLORIDA'!$H27)</f>
        <v xml:space="preserve"> </v>
      </c>
      <c r="X28" s="45" t="str">
        <f>IF('PALM BEACH'!$H27=0," ",'PALM BEACH'!$H27)</f>
        <v xml:space="preserve"> </v>
      </c>
      <c r="Y28" s="45" t="str">
        <f>IF(PASCO!$H27=0," ",PASCO!$H27)</f>
        <v>Yes</v>
      </c>
      <c r="Z28" s="45" t="str">
        <f>IF(PENSACOLA!$H27=0," ",PENSACOLA!$H27)</f>
        <v xml:space="preserve"> </v>
      </c>
      <c r="AA28" s="45" t="str">
        <f>IF(POLK!$H27=0," ",POLK!$H27)</f>
        <v xml:space="preserve"> </v>
      </c>
      <c r="AB28" s="45" t="str">
        <f>IF('ST JOHNS'!$H27=0," ",'ST JOHNS'!$H27)</f>
        <v xml:space="preserve"> </v>
      </c>
      <c r="AC28" s="45" t="str">
        <f>IF('ST PETE'!$H27=0," ",'ST PETE'!$H27)</f>
        <v xml:space="preserve"> </v>
      </c>
      <c r="AD28" s="45" t="str">
        <f>IF('SANTA FE'!$H27=0," ",'SANTA FE'!$H27)</f>
        <v xml:space="preserve"> </v>
      </c>
      <c r="AE28" s="45" t="str">
        <f>IF(SEMINOLE!$H27=0," ",SEMINOLE!$H27)</f>
        <v xml:space="preserve"> </v>
      </c>
      <c r="AF28" s="45" t="str">
        <f>IF('SOUTH FLORIDA'!$H27=0," ",'SOUTH FLORIDA'!$H27)</f>
        <v>Yes</v>
      </c>
      <c r="AG28" s="45" t="str">
        <f>IF(TALLAHASSEE!$H27=0," ",TALLAHASSEE!$H27)</f>
        <v xml:space="preserve"> </v>
      </c>
      <c r="AH28" s="45" t="str">
        <f>IF(VALENCIA!$H27=0," ",VALENCIA!$H27)</f>
        <v xml:space="preserve"> </v>
      </c>
      <c r="AI28" s="43" t="s">
        <v>15</v>
      </c>
      <c r="AK28" s="29">
        <f t="shared" si="1"/>
        <v>6</v>
      </c>
      <c r="AL28" s="29">
        <f t="shared" si="2"/>
        <v>0</v>
      </c>
      <c r="AM28" s="29">
        <f t="shared" si="3"/>
        <v>1</v>
      </c>
      <c r="AN28" s="29">
        <f t="shared" si="4"/>
        <v>7</v>
      </c>
      <c r="AO28" s="49">
        <f t="shared" si="5"/>
        <v>0.8571428571428571</v>
      </c>
      <c r="AP28" s="50">
        <f t="shared" si="6"/>
        <v>0</v>
      </c>
      <c r="AQ28" s="50">
        <f t="shared" si="7"/>
        <v>0.14285714285714285</v>
      </c>
    </row>
    <row r="29" spans="1:43" x14ac:dyDescent="0.35">
      <c r="A29" s="8"/>
      <c r="B29" s="9"/>
      <c r="C29" s="10" t="s">
        <v>53</v>
      </c>
      <c r="D29" s="13"/>
      <c r="E29" s="10"/>
      <c r="F29" s="9" t="s">
        <v>54</v>
      </c>
      <c r="G29" s="45" t="str">
        <f>IF(EASTERN!H28=0," ",EASTERN!H28)</f>
        <v>Yes</v>
      </c>
      <c r="H29" s="45" t="str">
        <f>IF(BROWARD!$H28=0," ",BROWARD!$H28)</f>
        <v xml:space="preserve"> </v>
      </c>
      <c r="I29" s="45" t="str">
        <f>IF(CENTRAL!$H28=0," ",CENTRAL!$H28)</f>
        <v xml:space="preserve"> </v>
      </c>
      <c r="J29" s="45" t="str">
        <f>IF(CHIPOLA!$H28=0," ",CHIPOLA!$H28)</f>
        <v xml:space="preserve"> </v>
      </c>
      <c r="K29" s="45" t="str">
        <f>IF(DAYTONA!$H28=0," ",DAYTONA!$H28)</f>
        <v xml:space="preserve"> </v>
      </c>
      <c r="L29" s="45" t="str">
        <f>IF(SOUTHWESTERN!$H28=0," ",SOUTHWESTERN!$H28)</f>
        <v>Partial</v>
      </c>
      <c r="M29" s="45" t="str">
        <f>IF('FSC JAX'!$H28=0," ",'FSC JAX'!$H28)</f>
        <v xml:space="preserve"> </v>
      </c>
      <c r="N29" s="45" t="str">
        <f>IF('FL KEYS'!$H28=0," ",'FL KEYS'!$H28)</f>
        <v>Yes</v>
      </c>
      <c r="O29" s="45" t="str">
        <f>IF('GULF COAST'!$H28=0," ",'GULF COAST'!$H28)</f>
        <v>Yes</v>
      </c>
      <c r="P29" s="45" t="str">
        <f>IF(HILLSBOROUGH!$H28=0," ",HILLSBOROUGH!$H28)</f>
        <v>Yes</v>
      </c>
      <c r="Q29" s="45" t="str">
        <f>IF('INDIAN RIVER'!$H28=0," ",'INDIAN RIVER'!$H28)</f>
        <v>Yes</v>
      </c>
      <c r="R29" s="45" t="str">
        <f>IF(GATEWAY!$H28=0," ",GATEWAY!$H28)</f>
        <v>Partial</v>
      </c>
      <c r="S29" s="45" t="str">
        <f>IF('LAKE SUMTER'!$H28=0," ",'LAKE SUMTER'!$H28)</f>
        <v xml:space="preserve"> </v>
      </c>
      <c r="T29" s="45" t="str">
        <f>IF('SCF MANATEE'!$H28=0," ",'SCF MANATEE'!$H28)</f>
        <v>Partial</v>
      </c>
      <c r="U29" s="45" t="str">
        <f>IF(MIAMI!$H28=0," ",MIAMI!$H28)</f>
        <v>Yes</v>
      </c>
      <c r="V29" s="45" t="str">
        <f>IF('NORTH FLORIDA'!$H28=0," ",'NORTH FLORIDA'!$H28)</f>
        <v>Yes</v>
      </c>
      <c r="W29" s="45" t="str">
        <f>IF('NORTHWEST FLORIDA'!$H28=0," ",'NORTHWEST FLORIDA'!$H28)</f>
        <v xml:space="preserve"> </v>
      </c>
      <c r="X29" s="45" t="str">
        <f>IF('PALM BEACH'!$H28=0," ",'PALM BEACH'!$H28)</f>
        <v>Partial</v>
      </c>
      <c r="Y29" s="45" t="str">
        <f>IF(PASCO!$H28=0," ",PASCO!$H28)</f>
        <v xml:space="preserve"> </v>
      </c>
      <c r="Z29" s="45" t="str">
        <f>IF(PENSACOLA!$H28=0," ",PENSACOLA!$H28)</f>
        <v>partial</v>
      </c>
      <c r="AA29" s="45" t="str">
        <f>IF(POLK!$H28=0," ",POLK!$H28)</f>
        <v xml:space="preserve"> </v>
      </c>
      <c r="AB29" s="45" t="str">
        <f>IF('ST JOHNS'!$H28=0," ",'ST JOHNS'!$H28)</f>
        <v xml:space="preserve"> </v>
      </c>
      <c r="AC29" s="45" t="str">
        <f>IF('ST PETE'!$H28=0," ",'ST PETE'!$H28)</f>
        <v>Yes</v>
      </c>
      <c r="AD29" s="45" t="str">
        <f>IF('SANTA FE'!$H28=0," ",'SANTA FE'!$H28)</f>
        <v xml:space="preserve"> </v>
      </c>
      <c r="AE29" s="45" t="str">
        <f>IF(SEMINOLE!$H28=0," ",SEMINOLE!$H28)</f>
        <v>Yes</v>
      </c>
      <c r="AF29" s="45" t="str">
        <f>IF('SOUTH FLORIDA'!$H28=0," ",'SOUTH FLORIDA'!$H28)</f>
        <v xml:space="preserve"> </v>
      </c>
      <c r="AG29" s="45" t="str">
        <f>IF(TALLAHASSEE!$H28=0," ",TALLAHASSEE!$H28)</f>
        <v xml:space="preserve"> </v>
      </c>
      <c r="AH29" s="45" t="str">
        <f>IF(VALENCIA!$H28=0," ",VALENCIA!$H28)</f>
        <v>Yes</v>
      </c>
      <c r="AI29" s="43" t="s">
        <v>15</v>
      </c>
      <c r="AK29" s="29">
        <f t="shared" si="1"/>
        <v>10</v>
      </c>
      <c r="AL29" s="29">
        <f t="shared" si="2"/>
        <v>0</v>
      </c>
      <c r="AM29" s="29">
        <f t="shared" si="3"/>
        <v>5</v>
      </c>
      <c r="AN29" s="29">
        <f t="shared" si="4"/>
        <v>15</v>
      </c>
      <c r="AO29" s="49">
        <f t="shared" si="5"/>
        <v>0.66666666666666663</v>
      </c>
      <c r="AP29" s="50">
        <f t="shared" si="6"/>
        <v>0</v>
      </c>
      <c r="AQ29" s="50">
        <f t="shared" si="7"/>
        <v>0.33333333333333331</v>
      </c>
    </row>
    <row r="30" spans="1:43" x14ac:dyDescent="0.35">
      <c r="A30" s="8"/>
      <c r="B30" s="9"/>
      <c r="C30" s="10" t="s">
        <v>55</v>
      </c>
      <c r="D30" s="13"/>
      <c r="E30" s="10"/>
      <c r="F30" s="9" t="s">
        <v>56</v>
      </c>
      <c r="G30" s="45" t="str">
        <f>IF(EASTERN!H29=0," ",EASTERN!H29)</f>
        <v>Yes</v>
      </c>
      <c r="H30" s="45" t="str">
        <f>IF(BROWARD!$H29=0," ",BROWARD!$H29)</f>
        <v>Partial</v>
      </c>
      <c r="I30" s="45" t="str">
        <f>IF(CENTRAL!$H29=0," ",CENTRAL!$H29)</f>
        <v xml:space="preserve"> </v>
      </c>
      <c r="J30" s="45" t="str">
        <f>IF(CHIPOLA!$H29=0," ",CHIPOLA!$H29)</f>
        <v xml:space="preserve"> </v>
      </c>
      <c r="K30" s="45" t="str">
        <f>IF(DAYTONA!$H29=0," ",DAYTONA!$H29)</f>
        <v>Yes</v>
      </c>
      <c r="L30" s="45" t="str">
        <f>IF(SOUTHWESTERN!$H29=0," ",SOUTHWESTERN!$H29)</f>
        <v>Yes</v>
      </c>
      <c r="M30" s="45" t="str">
        <f>IF('FSC JAX'!$H29=0," ",'FSC JAX'!$H29)</f>
        <v xml:space="preserve"> </v>
      </c>
      <c r="N30" s="45" t="str">
        <f>IF('FL KEYS'!$H29=0," ",'FL KEYS'!$H29)</f>
        <v xml:space="preserve"> </v>
      </c>
      <c r="O30" s="45" t="str">
        <f>IF('GULF COAST'!$H29=0," ",'GULF COAST'!$H29)</f>
        <v>Yes</v>
      </c>
      <c r="P30" s="45" t="str">
        <f>IF(HILLSBOROUGH!$H29=0," ",HILLSBOROUGH!$H29)</f>
        <v xml:space="preserve"> </v>
      </c>
      <c r="Q30" s="45" t="str">
        <f>IF('INDIAN RIVER'!$H29=0," ",'INDIAN RIVER'!$H29)</f>
        <v>Yes</v>
      </c>
      <c r="R30" s="45" t="str">
        <f>IF(GATEWAY!$H29=0," ",GATEWAY!$H29)</f>
        <v xml:space="preserve"> </v>
      </c>
      <c r="S30" s="45" t="str">
        <f>IF('LAKE SUMTER'!$H29=0," ",'LAKE SUMTER'!$H29)</f>
        <v xml:space="preserve"> </v>
      </c>
      <c r="T30" s="45" t="str">
        <f>IF('SCF MANATEE'!$H29=0," ",'SCF MANATEE'!$H29)</f>
        <v xml:space="preserve"> </v>
      </c>
      <c r="U30" s="45" t="str">
        <f>IF(MIAMI!$H29=0," ",MIAMI!$H29)</f>
        <v>Partial</v>
      </c>
      <c r="V30" s="45" t="str">
        <f>IF('NORTH FLORIDA'!$H29=0," ",'NORTH FLORIDA'!$H29)</f>
        <v xml:space="preserve"> </v>
      </c>
      <c r="W30" s="45" t="str">
        <f>IF('NORTHWEST FLORIDA'!$H29=0," ",'NORTHWEST FLORIDA'!$H29)</f>
        <v xml:space="preserve"> </v>
      </c>
      <c r="X30" s="45" t="str">
        <f>IF('PALM BEACH'!$H29=0," ",'PALM BEACH'!$H29)</f>
        <v>Yes</v>
      </c>
      <c r="Y30" s="45" t="str">
        <f>IF(PASCO!$H29=0," ",PASCO!$H29)</f>
        <v xml:space="preserve"> </v>
      </c>
      <c r="Z30" s="45" t="str">
        <f>IF(PENSACOLA!$H29=0," ",PENSACOLA!$H29)</f>
        <v xml:space="preserve"> </v>
      </c>
      <c r="AA30" s="45" t="str">
        <f>IF(POLK!$H29=0," ",POLK!$H29)</f>
        <v>Yes</v>
      </c>
      <c r="AB30" s="45" t="str">
        <f>IF('ST JOHNS'!$H29=0," ",'ST JOHNS'!$H29)</f>
        <v xml:space="preserve"> </v>
      </c>
      <c r="AC30" s="45" t="str">
        <f>IF('ST PETE'!$H29=0," ",'ST PETE'!$H29)</f>
        <v>Yes</v>
      </c>
      <c r="AD30" s="45" t="str">
        <f>IF('SANTA FE'!$H29=0," ",'SANTA FE'!$H29)</f>
        <v xml:space="preserve"> </v>
      </c>
      <c r="AE30" s="45" t="str">
        <f>IF(SEMINOLE!$H29=0," ",SEMINOLE!$H29)</f>
        <v>Yes</v>
      </c>
      <c r="AF30" s="45" t="str">
        <f>IF('SOUTH FLORIDA'!$H29=0," ",'SOUTH FLORIDA'!$H29)</f>
        <v xml:space="preserve"> </v>
      </c>
      <c r="AG30" s="45" t="str">
        <f>IF(TALLAHASSEE!$H29=0," ",TALLAHASSEE!$H29)</f>
        <v>Yes</v>
      </c>
      <c r="AH30" s="45" t="str">
        <f>IF(VALENCIA!$H29=0," ",VALENCIA!$H29)</f>
        <v>Yes</v>
      </c>
      <c r="AI30" s="43" t="s">
        <v>15</v>
      </c>
      <c r="AK30" s="29">
        <f t="shared" si="1"/>
        <v>11</v>
      </c>
      <c r="AL30" s="29">
        <f t="shared" si="2"/>
        <v>0</v>
      </c>
      <c r="AM30" s="29">
        <f t="shared" si="3"/>
        <v>2</v>
      </c>
      <c r="AN30" s="29">
        <f t="shared" si="4"/>
        <v>13</v>
      </c>
      <c r="AO30" s="49">
        <f t="shared" si="5"/>
        <v>0.84615384615384615</v>
      </c>
      <c r="AP30" s="50">
        <f t="shared" si="6"/>
        <v>0</v>
      </c>
      <c r="AQ30" s="50">
        <f t="shared" si="7"/>
        <v>0.15384615384615385</v>
      </c>
    </row>
    <row r="31" spans="1:43" x14ac:dyDescent="0.35">
      <c r="A31" s="8"/>
      <c r="B31" s="9"/>
      <c r="C31" s="10" t="s">
        <v>57</v>
      </c>
      <c r="D31" s="13"/>
      <c r="E31" s="10"/>
      <c r="F31" s="9" t="s">
        <v>58</v>
      </c>
      <c r="G31" s="45" t="str">
        <f>IF(EASTERN!H30=0," ",EASTERN!H30)</f>
        <v xml:space="preserve"> </v>
      </c>
      <c r="H31" s="45" t="str">
        <f>IF(BROWARD!$H30=0," ",BROWARD!$H30)</f>
        <v xml:space="preserve"> </v>
      </c>
      <c r="I31" s="45" t="str">
        <f>IF(CENTRAL!$H30=0," ",CENTRAL!$H30)</f>
        <v>yes</v>
      </c>
      <c r="J31" s="45" t="str">
        <f>IF(CHIPOLA!$H30=0," ",CHIPOLA!$H30)</f>
        <v>Partial</v>
      </c>
      <c r="K31" s="45" t="str">
        <f>IF(DAYTONA!$H30=0," ",DAYTONA!$H30)</f>
        <v xml:space="preserve"> </v>
      </c>
      <c r="L31" s="45" t="str">
        <f>IF(SOUTHWESTERN!$H30=0," ",SOUTHWESTERN!$H30)</f>
        <v xml:space="preserve"> </v>
      </c>
      <c r="M31" s="45" t="str">
        <f>IF('FSC JAX'!$H30=0," ",'FSC JAX'!$H30)</f>
        <v>Partial</v>
      </c>
      <c r="N31" s="45" t="str">
        <f>IF('FL KEYS'!$H30=0," ",'FL KEYS'!$H30)</f>
        <v>Partial</v>
      </c>
      <c r="O31" s="45" t="str">
        <f>IF('GULF COAST'!$H30=0," ",'GULF COAST'!$H30)</f>
        <v>Yes</v>
      </c>
      <c r="P31" s="45" t="str">
        <f>IF(HILLSBOROUGH!$H30=0," ",HILLSBOROUGH!$H30)</f>
        <v>Partial</v>
      </c>
      <c r="Q31" s="45" t="str">
        <f>IF('INDIAN RIVER'!$H30=0," ",'INDIAN RIVER'!$H30)</f>
        <v>Partial</v>
      </c>
      <c r="R31" s="45" t="str">
        <f>IF(GATEWAY!$H30=0," ",GATEWAY!$H30)</f>
        <v>Partial</v>
      </c>
      <c r="S31" s="45" t="str">
        <f>IF('LAKE SUMTER'!$H30=0," ",'LAKE SUMTER'!$H30)</f>
        <v>Partial</v>
      </c>
      <c r="T31" s="45" t="str">
        <f>IF('SCF MANATEE'!$H30=0," ",'SCF MANATEE'!$H30)</f>
        <v xml:space="preserve"> </v>
      </c>
      <c r="U31" s="45" t="str">
        <f>IF(MIAMI!$H30=0," ",MIAMI!$H30)</f>
        <v>Yes</v>
      </c>
      <c r="V31" s="45" t="str">
        <f>IF('NORTH FLORIDA'!$H30=0," ",'NORTH FLORIDA'!$H30)</f>
        <v>Yes</v>
      </c>
      <c r="W31" s="45" t="str">
        <f>IF('NORTHWEST FLORIDA'!$H30=0," ",'NORTHWEST FLORIDA'!$H30)</f>
        <v>Partial</v>
      </c>
      <c r="X31" s="45" t="str">
        <f>IF('PALM BEACH'!$H30=0," ",'PALM BEACH'!$H30)</f>
        <v xml:space="preserve"> </v>
      </c>
      <c r="Y31" s="45" t="str">
        <f>IF(PASCO!$H30=0," ",PASCO!$H30)</f>
        <v>Partial</v>
      </c>
      <c r="Z31" s="45" t="str">
        <f>IF(PENSACOLA!$H30=0," ",PENSACOLA!$H30)</f>
        <v xml:space="preserve"> </v>
      </c>
      <c r="AA31" s="45" t="str">
        <f>IF(POLK!$H30=0," ",POLK!$H30)</f>
        <v>Partial</v>
      </c>
      <c r="AB31" s="45" t="str">
        <f>IF('ST JOHNS'!$H30=0," ",'ST JOHNS'!$H30)</f>
        <v xml:space="preserve"> </v>
      </c>
      <c r="AC31" s="45" t="str">
        <f>IF('ST PETE'!$H30=0," ",'ST PETE'!$H30)</f>
        <v xml:space="preserve"> </v>
      </c>
      <c r="AD31" s="45" t="str">
        <f>IF('SANTA FE'!$H30=0," ",'SANTA FE'!$H30)</f>
        <v xml:space="preserve"> </v>
      </c>
      <c r="AE31" s="45" t="str">
        <f>IF(SEMINOLE!$H30=0," ",SEMINOLE!$H30)</f>
        <v>Partial</v>
      </c>
      <c r="AF31" s="45" t="str">
        <f>IF('SOUTH FLORIDA'!$H30=0," ",'SOUTH FLORIDA'!$H30)</f>
        <v xml:space="preserve"> </v>
      </c>
      <c r="AG31" s="45" t="str">
        <f>IF(TALLAHASSEE!$H30=0," ",TALLAHASSEE!$H30)</f>
        <v>Partial</v>
      </c>
      <c r="AH31" s="45" t="str">
        <f>IF(VALENCIA!$H30=0," ",VALENCIA!$H30)</f>
        <v xml:space="preserve"> </v>
      </c>
      <c r="AI31" s="43" t="s">
        <v>59</v>
      </c>
      <c r="AK31" s="29">
        <f t="shared" si="1"/>
        <v>4</v>
      </c>
      <c r="AL31" s="29">
        <f t="shared" si="2"/>
        <v>0</v>
      </c>
      <c r="AM31" s="29">
        <f t="shared" si="3"/>
        <v>12</v>
      </c>
      <c r="AN31" s="29">
        <f t="shared" si="4"/>
        <v>16</v>
      </c>
      <c r="AO31" s="50">
        <f t="shared" si="5"/>
        <v>0.25</v>
      </c>
      <c r="AP31" s="50">
        <f t="shared" si="6"/>
        <v>0</v>
      </c>
      <c r="AQ31" s="49">
        <f t="shared" si="7"/>
        <v>0.75</v>
      </c>
    </row>
    <row r="32" spans="1:43" x14ac:dyDescent="0.35">
      <c r="A32" s="8"/>
      <c r="B32" s="9"/>
      <c r="C32" s="10" t="s">
        <v>60</v>
      </c>
      <c r="D32" s="13"/>
      <c r="E32" s="10"/>
      <c r="F32" s="9" t="s">
        <v>61</v>
      </c>
      <c r="G32" s="45" t="str">
        <f>IF(EASTERN!H31=0," ",EASTERN!H31)</f>
        <v>Yes</v>
      </c>
      <c r="H32" s="45" t="str">
        <f>IF(BROWARD!$H31=0," ",BROWARD!$H31)</f>
        <v>Partial</v>
      </c>
      <c r="I32" s="45" t="str">
        <f>IF(CENTRAL!$H31=0," ",CENTRAL!$H31)</f>
        <v xml:space="preserve"> </v>
      </c>
      <c r="J32" s="45" t="str">
        <f>IF(CHIPOLA!$H31=0," ",CHIPOLA!$H31)</f>
        <v xml:space="preserve"> </v>
      </c>
      <c r="K32" s="45" t="str">
        <f>IF(DAYTONA!$H31=0," ",DAYTONA!$H31)</f>
        <v>Yes</v>
      </c>
      <c r="L32" s="45" t="str">
        <f>IF(SOUTHWESTERN!$H31=0," ",SOUTHWESTERN!$H31)</f>
        <v>Yes</v>
      </c>
      <c r="M32" s="45" t="str">
        <f>IF('FSC JAX'!$H31=0," ",'FSC JAX'!$H31)</f>
        <v xml:space="preserve"> </v>
      </c>
      <c r="N32" s="45" t="str">
        <f>IF('FL KEYS'!$H31=0," ",'FL KEYS'!$H31)</f>
        <v>Yes</v>
      </c>
      <c r="O32" s="45" t="str">
        <f>IF('GULF COAST'!$H31=0," ",'GULF COAST'!$H31)</f>
        <v xml:space="preserve"> </v>
      </c>
      <c r="P32" s="45" t="str">
        <f>IF(HILLSBOROUGH!$H31=0," ",HILLSBOROUGH!$H31)</f>
        <v xml:space="preserve"> </v>
      </c>
      <c r="Q32" s="45" t="str">
        <f>IF('INDIAN RIVER'!$H31=0," ",'INDIAN RIVER'!$H31)</f>
        <v>Yes</v>
      </c>
      <c r="R32" s="45" t="str">
        <f>IF(GATEWAY!$H31=0," ",GATEWAY!$H31)</f>
        <v>Yes</v>
      </c>
      <c r="S32" s="45" t="str">
        <f>IF('LAKE SUMTER'!$H31=0," ",'LAKE SUMTER'!$H31)</f>
        <v>Yes</v>
      </c>
      <c r="T32" s="45" t="str">
        <f>IF('SCF MANATEE'!$H31=0," ",'SCF MANATEE'!$H31)</f>
        <v xml:space="preserve"> </v>
      </c>
      <c r="U32" s="45" t="str">
        <f>IF(MIAMI!$H31=0," ",MIAMI!$H31)</f>
        <v>Yes</v>
      </c>
      <c r="V32" s="45" t="str">
        <f>IF('NORTH FLORIDA'!$H31=0," ",'NORTH FLORIDA'!$H31)</f>
        <v xml:space="preserve"> </v>
      </c>
      <c r="W32" s="45" t="str">
        <f>IF('NORTHWEST FLORIDA'!$H31=0," ",'NORTHWEST FLORIDA'!$H31)</f>
        <v xml:space="preserve"> </v>
      </c>
      <c r="X32" s="45" t="str">
        <f>IF('PALM BEACH'!$H31=0," ",'PALM BEACH'!$H31)</f>
        <v>Yes</v>
      </c>
      <c r="Y32" s="45" t="str">
        <f>IF(PASCO!$H31=0," ",PASCO!$H31)</f>
        <v>Yes</v>
      </c>
      <c r="Z32" s="45" t="str">
        <f>IF(PENSACOLA!$H31=0," ",PENSACOLA!$H31)</f>
        <v>yes</v>
      </c>
      <c r="AA32" s="45" t="str">
        <f>IF(POLK!$H31=0," ",POLK!$H31)</f>
        <v xml:space="preserve"> </v>
      </c>
      <c r="AB32" s="45" t="str">
        <f>IF('ST JOHNS'!$H31=0," ",'ST JOHNS'!$H31)</f>
        <v xml:space="preserve"> </v>
      </c>
      <c r="AC32" s="45" t="str">
        <f>IF('ST PETE'!$H31=0," ",'ST PETE'!$H31)</f>
        <v>Yes</v>
      </c>
      <c r="AD32" s="45" t="str">
        <f>IF('SANTA FE'!$H31=0," ",'SANTA FE'!$H31)</f>
        <v xml:space="preserve"> </v>
      </c>
      <c r="AE32" s="45" t="str">
        <f>IF(SEMINOLE!$H31=0," ",SEMINOLE!$H31)</f>
        <v>Yes</v>
      </c>
      <c r="AF32" s="45" t="str">
        <f>IF('SOUTH FLORIDA'!$H31=0," ",'SOUTH FLORIDA'!$H31)</f>
        <v xml:space="preserve"> </v>
      </c>
      <c r="AG32" s="45" t="str">
        <f>IF(TALLAHASSEE!$H31=0," ",TALLAHASSEE!$H31)</f>
        <v xml:space="preserve"> </v>
      </c>
      <c r="AH32" s="45" t="str">
        <f>IF(VALENCIA!$H31=0," ",VALENCIA!$H31)</f>
        <v>Yes</v>
      </c>
      <c r="AI32" s="43" t="s">
        <v>15</v>
      </c>
      <c r="AK32" s="29">
        <f t="shared" si="1"/>
        <v>14</v>
      </c>
      <c r="AL32" s="29">
        <f t="shared" si="2"/>
        <v>0</v>
      </c>
      <c r="AM32" s="29">
        <f t="shared" si="3"/>
        <v>1</v>
      </c>
      <c r="AN32" s="29">
        <f t="shared" si="4"/>
        <v>15</v>
      </c>
      <c r="AO32" s="49">
        <f t="shared" si="5"/>
        <v>0.93333333333333335</v>
      </c>
      <c r="AP32" s="50">
        <f t="shared" si="6"/>
        <v>0</v>
      </c>
      <c r="AQ32" s="50">
        <f t="shared" si="7"/>
        <v>6.6666666666666666E-2</v>
      </c>
    </row>
    <row r="33" spans="1:43" x14ac:dyDescent="0.35">
      <c r="A33" s="8"/>
      <c r="B33" s="9"/>
      <c r="C33" s="10" t="s">
        <v>62</v>
      </c>
      <c r="D33" s="13"/>
      <c r="E33" s="10"/>
      <c r="F33" s="9" t="s">
        <v>63</v>
      </c>
      <c r="G33" s="45" t="str">
        <f>IF(EASTERN!H32=0," ",EASTERN!H32)</f>
        <v>No</v>
      </c>
      <c r="H33" s="45" t="str">
        <f>IF(BROWARD!$H32=0," ",BROWARD!$H32)</f>
        <v>Partial</v>
      </c>
      <c r="I33" s="45" t="str">
        <f>IF(CENTRAL!$H32=0," ",CENTRAL!$H32)</f>
        <v xml:space="preserve"> </v>
      </c>
      <c r="J33" s="45" t="str">
        <f>IF(CHIPOLA!$H32=0," ",CHIPOLA!$H32)</f>
        <v xml:space="preserve"> </v>
      </c>
      <c r="K33" s="45" t="str">
        <f>IF(DAYTONA!$H32=0," ",DAYTONA!$H32)</f>
        <v>Partial</v>
      </c>
      <c r="L33" s="45" t="str">
        <f>IF(SOUTHWESTERN!$H32=0," ",SOUTHWESTERN!$H32)</f>
        <v xml:space="preserve"> </v>
      </c>
      <c r="M33" s="45" t="str">
        <f>IF('FSC JAX'!$H32=0," ",'FSC JAX'!$H32)</f>
        <v xml:space="preserve"> </v>
      </c>
      <c r="N33" s="45" t="str">
        <f>IF('FL KEYS'!$H32=0," ",'FL KEYS'!$H32)</f>
        <v xml:space="preserve"> </v>
      </c>
      <c r="O33" s="45" t="str">
        <f>IF('GULF COAST'!$H32=0," ",'GULF COAST'!$H32)</f>
        <v xml:space="preserve"> </v>
      </c>
      <c r="P33" s="45" t="str">
        <f>IF(HILLSBOROUGH!$H32=0," ",HILLSBOROUGH!$H32)</f>
        <v xml:space="preserve"> </v>
      </c>
      <c r="Q33" s="45" t="str">
        <f>IF('INDIAN RIVER'!$H32=0," ",'INDIAN RIVER'!$H32)</f>
        <v>No</v>
      </c>
      <c r="R33" s="45" t="str">
        <f>IF(GATEWAY!$H32=0," ",GATEWAY!$H32)</f>
        <v>No</v>
      </c>
      <c r="S33" s="45" t="str">
        <f>IF('LAKE SUMTER'!$H32=0," ",'LAKE SUMTER'!$H32)</f>
        <v xml:space="preserve"> </v>
      </c>
      <c r="T33" s="45" t="str">
        <f>IF('SCF MANATEE'!$H32=0," ",'SCF MANATEE'!$H32)</f>
        <v>Partial</v>
      </c>
      <c r="U33" s="45" t="str">
        <f>IF(MIAMI!$H32=0," ",MIAMI!$H32)</f>
        <v>No</v>
      </c>
      <c r="V33" s="45" t="str">
        <f>IF('NORTH FLORIDA'!$H32=0," ",'NORTH FLORIDA'!$H32)</f>
        <v xml:space="preserve"> </v>
      </c>
      <c r="W33" s="45" t="str">
        <f>IF('NORTHWEST FLORIDA'!$H32=0," ",'NORTHWEST FLORIDA'!$H32)</f>
        <v xml:space="preserve"> </v>
      </c>
      <c r="X33" s="45" t="str">
        <f>IF('PALM BEACH'!$H32=0," ",'PALM BEACH'!$H32)</f>
        <v>No</v>
      </c>
      <c r="Y33" s="45" t="str">
        <f>IF(PASCO!$H32=0," ",PASCO!$H32)</f>
        <v>No</v>
      </c>
      <c r="Z33" s="45" t="str">
        <f>IF(PENSACOLA!$H32=0," ",PENSACOLA!$H32)</f>
        <v>no</v>
      </c>
      <c r="AA33" s="45" t="str">
        <f>IF(POLK!$H32=0," ",POLK!$H32)</f>
        <v xml:space="preserve"> </v>
      </c>
      <c r="AB33" s="45" t="str">
        <f>IF('ST JOHNS'!$H32=0," ",'ST JOHNS'!$H32)</f>
        <v xml:space="preserve"> </v>
      </c>
      <c r="AC33" s="45" t="str">
        <f>IF('ST PETE'!$H32=0," ",'ST PETE'!$H32)</f>
        <v xml:space="preserve"> </v>
      </c>
      <c r="AD33" s="45" t="str">
        <f>IF('SANTA FE'!$H32=0," ",'SANTA FE'!$H32)</f>
        <v xml:space="preserve"> </v>
      </c>
      <c r="AE33" s="45" t="str">
        <f>IF(SEMINOLE!$H32=0," ",SEMINOLE!$H32)</f>
        <v>No</v>
      </c>
      <c r="AF33" s="45" t="str">
        <f>IF('SOUTH FLORIDA'!$H32=0," ",'SOUTH FLORIDA'!$H32)</f>
        <v xml:space="preserve"> </v>
      </c>
      <c r="AG33" s="45" t="str">
        <f>IF(TALLAHASSEE!$H32=0," ",TALLAHASSEE!$H32)</f>
        <v xml:space="preserve"> </v>
      </c>
      <c r="AH33" s="45" t="str">
        <f>IF(VALENCIA!$H32=0," ",VALENCIA!$H32)</f>
        <v>No</v>
      </c>
      <c r="AI33" s="43" t="s">
        <v>24</v>
      </c>
      <c r="AK33" s="29">
        <f t="shared" si="1"/>
        <v>0</v>
      </c>
      <c r="AL33" s="29">
        <f t="shared" si="2"/>
        <v>9</v>
      </c>
      <c r="AM33" s="29">
        <f t="shared" si="3"/>
        <v>3</v>
      </c>
      <c r="AN33" s="29">
        <f t="shared" si="4"/>
        <v>12</v>
      </c>
      <c r="AO33" s="50">
        <f t="shared" si="5"/>
        <v>0</v>
      </c>
      <c r="AP33" s="49">
        <f t="shared" si="6"/>
        <v>0.75</v>
      </c>
      <c r="AQ33" s="50">
        <f t="shared" si="7"/>
        <v>0.25</v>
      </c>
    </row>
    <row r="34" spans="1:43" x14ac:dyDescent="0.35">
      <c r="A34" s="9"/>
      <c r="B34" s="9"/>
      <c r="C34" s="10" t="s">
        <v>64</v>
      </c>
      <c r="D34" s="9"/>
      <c r="E34" s="10"/>
      <c r="F34" s="9" t="s">
        <v>65</v>
      </c>
      <c r="G34" s="45" t="str">
        <f>IF(EASTERN!H33=0," ",EASTERN!H33)</f>
        <v>No</v>
      </c>
      <c r="H34" s="45" t="str">
        <f>IF(BROWARD!$H33=0," ",BROWARD!$H33)</f>
        <v xml:space="preserve"> </v>
      </c>
      <c r="I34" s="45" t="str">
        <f>IF(CENTRAL!$H33=0," ",CENTRAL!$H33)</f>
        <v xml:space="preserve"> </v>
      </c>
      <c r="J34" s="45" t="str">
        <f>IF(CHIPOLA!$H33=0," ",CHIPOLA!$H33)</f>
        <v xml:space="preserve"> </v>
      </c>
      <c r="K34" s="45" t="str">
        <f>IF(DAYTONA!$H33=0," ",DAYTONA!$H33)</f>
        <v xml:space="preserve"> </v>
      </c>
      <c r="L34" s="45" t="str">
        <f>IF(SOUTHWESTERN!$H33=0," ",SOUTHWESTERN!$H33)</f>
        <v xml:space="preserve"> </v>
      </c>
      <c r="M34" s="45" t="str">
        <f>IF('FSC JAX'!$H33=0," ",'FSC JAX'!$H33)</f>
        <v xml:space="preserve"> </v>
      </c>
      <c r="N34" s="45" t="str">
        <f>IF('FL KEYS'!$H33=0," ",'FL KEYS'!$H33)</f>
        <v>No</v>
      </c>
      <c r="O34" s="45" t="str">
        <f>IF('GULF COAST'!$H33=0," ",'GULF COAST'!$H33)</f>
        <v>Yes</v>
      </c>
      <c r="P34" s="45" t="str">
        <f>IF(HILLSBOROUGH!$H33=0," ",HILLSBOROUGH!$H33)</f>
        <v xml:space="preserve"> </v>
      </c>
      <c r="Q34" s="45" t="str">
        <f>IF('INDIAN RIVER'!$H33=0," ",'INDIAN RIVER'!$H33)</f>
        <v>No</v>
      </c>
      <c r="R34" s="45" t="str">
        <f>IF(GATEWAY!$H33=0," ",GATEWAY!$H33)</f>
        <v>No</v>
      </c>
      <c r="S34" s="45" t="str">
        <f>IF('LAKE SUMTER'!$H33=0," ",'LAKE SUMTER'!$H33)</f>
        <v xml:space="preserve"> </v>
      </c>
      <c r="T34" s="45" t="str">
        <f>IF('SCF MANATEE'!$H33=0," ",'SCF MANATEE'!$H33)</f>
        <v xml:space="preserve"> </v>
      </c>
      <c r="U34" s="45" t="str">
        <f>IF(MIAMI!$H33=0," ",MIAMI!$H33)</f>
        <v xml:space="preserve"> </v>
      </c>
      <c r="V34" s="45" t="str">
        <f>IF('NORTH FLORIDA'!$H33=0," ",'NORTH FLORIDA'!$H33)</f>
        <v xml:space="preserve"> </v>
      </c>
      <c r="W34" s="45" t="str">
        <f>IF('NORTHWEST FLORIDA'!$H33=0," ",'NORTHWEST FLORIDA'!$H33)</f>
        <v xml:space="preserve"> </v>
      </c>
      <c r="X34" s="45" t="str">
        <f>IF('PALM BEACH'!$H33=0," ",'PALM BEACH'!$H33)</f>
        <v xml:space="preserve"> </v>
      </c>
      <c r="Y34" s="45" t="str">
        <f>IF(PASCO!$H33=0," ",PASCO!$H33)</f>
        <v xml:space="preserve"> </v>
      </c>
      <c r="Z34" s="45" t="str">
        <f>IF(PENSACOLA!$H33=0," ",PENSACOLA!$H33)</f>
        <v xml:space="preserve"> </v>
      </c>
      <c r="AA34" s="45" t="str">
        <f>IF(POLK!$H33=0," ",POLK!$H33)</f>
        <v xml:space="preserve"> </v>
      </c>
      <c r="AB34" s="45" t="str">
        <f>IF('ST JOHNS'!$H33=0," ",'ST JOHNS'!$H33)</f>
        <v xml:space="preserve"> </v>
      </c>
      <c r="AC34" s="45" t="str">
        <f>IF('ST PETE'!$H33=0," ",'ST PETE'!$H33)</f>
        <v>Partial</v>
      </c>
      <c r="AD34" s="45" t="str">
        <f>IF('SANTA FE'!$H33=0," ",'SANTA FE'!$H33)</f>
        <v xml:space="preserve"> </v>
      </c>
      <c r="AE34" s="45" t="str">
        <f>IF(SEMINOLE!$H33=0," ",SEMINOLE!$H33)</f>
        <v>No</v>
      </c>
      <c r="AF34" s="45" t="str">
        <f>IF('SOUTH FLORIDA'!$H33=0," ",'SOUTH FLORIDA'!$H33)</f>
        <v>No</v>
      </c>
      <c r="AG34" s="45" t="str">
        <f>IF(TALLAHASSEE!$H33=0," ",TALLAHASSEE!$H33)</f>
        <v>No</v>
      </c>
      <c r="AH34" s="45" t="str">
        <f>IF(VALENCIA!$H33=0," ",VALENCIA!$H33)</f>
        <v>No</v>
      </c>
      <c r="AI34" s="43" t="s">
        <v>24</v>
      </c>
      <c r="AK34" s="29">
        <f t="shared" si="1"/>
        <v>1</v>
      </c>
      <c r="AL34" s="29">
        <f t="shared" si="2"/>
        <v>8</v>
      </c>
      <c r="AM34" s="29">
        <f t="shared" si="3"/>
        <v>1</v>
      </c>
      <c r="AN34" s="29">
        <f t="shared" si="4"/>
        <v>10</v>
      </c>
      <c r="AO34" s="50">
        <f t="shared" si="5"/>
        <v>0.1</v>
      </c>
      <c r="AP34" s="49">
        <f t="shared" si="6"/>
        <v>0.8</v>
      </c>
      <c r="AQ34" s="50">
        <f t="shared" si="7"/>
        <v>0.1</v>
      </c>
    </row>
    <row r="35" spans="1:43" x14ac:dyDescent="0.35">
      <c r="A35" s="9"/>
      <c r="B35" s="9"/>
      <c r="C35" s="10" t="s">
        <v>66</v>
      </c>
      <c r="D35" s="9"/>
      <c r="E35" s="9"/>
      <c r="F35" s="9" t="s">
        <v>67</v>
      </c>
      <c r="G35" s="45" t="str">
        <f>IF(EASTERN!H34=0," ",EASTERN!H34)</f>
        <v>Yes</v>
      </c>
      <c r="H35" s="45" t="str">
        <f>IF(BROWARD!$H34=0," ",BROWARD!$H34)</f>
        <v>Partial</v>
      </c>
      <c r="I35" s="45" t="str">
        <f>IF(CENTRAL!$H34=0," ",CENTRAL!$H34)</f>
        <v xml:space="preserve"> </v>
      </c>
      <c r="J35" s="45" t="str">
        <f>IF(CHIPOLA!$H34=0," ",CHIPOLA!$H34)</f>
        <v xml:space="preserve"> </v>
      </c>
      <c r="K35" s="45" t="str">
        <f>IF(DAYTONA!$H34=0," ",DAYTONA!$H34)</f>
        <v>Yes</v>
      </c>
      <c r="L35" s="45" t="str">
        <f>IF(SOUTHWESTERN!$H34=0," ",SOUTHWESTERN!$H34)</f>
        <v xml:space="preserve"> </v>
      </c>
      <c r="M35" s="45" t="str">
        <f>IF('FSC JAX'!$H34=0," ",'FSC JAX'!$H34)</f>
        <v xml:space="preserve"> </v>
      </c>
      <c r="N35" s="45" t="str">
        <f>IF('FL KEYS'!$H34=0," ",'FL KEYS'!$H34)</f>
        <v xml:space="preserve"> </v>
      </c>
      <c r="O35" s="45" t="str">
        <f>IF('GULF COAST'!$H34=0," ",'GULF COAST'!$H34)</f>
        <v>Yes</v>
      </c>
      <c r="P35" s="45" t="str">
        <f>IF(HILLSBOROUGH!$H34=0," ",HILLSBOROUGH!$H34)</f>
        <v xml:space="preserve"> </v>
      </c>
      <c r="Q35" s="45" t="str">
        <f>IF('INDIAN RIVER'!$H34=0," ",'INDIAN RIVER'!$H34)</f>
        <v>Yes</v>
      </c>
      <c r="R35" s="45" t="str">
        <f>IF(GATEWAY!$H34=0," ",GATEWAY!$H34)</f>
        <v xml:space="preserve"> </v>
      </c>
      <c r="S35" s="45" t="str">
        <f>IF('LAKE SUMTER'!$H34=0," ",'LAKE SUMTER'!$H34)</f>
        <v xml:space="preserve"> </v>
      </c>
      <c r="T35" s="45" t="str">
        <f>IF('SCF MANATEE'!$H34=0," ",'SCF MANATEE'!$H34)</f>
        <v xml:space="preserve"> </v>
      </c>
      <c r="U35" s="45" t="str">
        <f>IF(MIAMI!$H34=0," ",MIAMI!$H34)</f>
        <v>Yes</v>
      </c>
      <c r="V35" s="45" t="str">
        <f>IF('NORTH FLORIDA'!$H34=0," ",'NORTH FLORIDA'!$H34)</f>
        <v xml:space="preserve"> </v>
      </c>
      <c r="W35" s="45" t="str">
        <f>IF('NORTHWEST FLORIDA'!$H34=0," ",'NORTHWEST FLORIDA'!$H34)</f>
        <v xml:space="preserve"> </v>
      </c>
      <c r="X35" s="45" t="str">
        <f>IF('PALM BEACH'!$H34=0," ",'PALM BEACH'!$H34)</f>
        <v xml:space="preserve"> </v>
      </c>
      <c r="Y35" s="45" t="str">
        <f>IF(PASCO!$H34=0," ",PASCO!$H34)</f>
        <v xml:space="preserve"> </v>
      </c>
      <c r="Z35" s="45" t="str">
        <f>IF(PENSACOLA!$H34=0," ",PENSACOLA!$H34)</f>
        <v xml:space="preserve"> </v>
      </c>
      <c r="AA35" s="45" t="str">
        <f>IF(POLK!$H34=0," ",POLK!$H34)</f>
        <v xml:space="preserve"> </v>
      </c>
      <c r="AB35" s="45" t="str">
        <f>IF('ST JOHNS'!$H34=0," ",'ST JOHNS'!$H34)</f>
        <v xml:space="preserve"> </v>
      </c>
      <c r="AC35" s="45" t="str">
        <f>IF('ST PETE'!$H34=0," ",'ST PETE'!$H34)</f>
        <v xml:space="preserve"> </v>
      </c>
      <c r="AD35" s="45" t="str">
        <f>IF('SANTA FE'!$H34=0," ",'SANTA FE'!$H34)</f>
        <v xml:space="preserve"> </v>
      </c>
      <c r="AE35" s="45" t="str">
        <f>IF(SEMINOLE!$H34=0," ",SEMINOLE!$H34)</f>
        <v>Yes</v>
      </c>
      <c r="AF35" s="45" t="str">
        <f>IF('SOUTH FLORIDA'!$H34=0," ",'SOUTH FLORIDA'!$H34)</f>
        <v xml:space="preserve"> </v>
      </c>
      <c r="AG35" s="45" t="str">
        <f>IF(TALLAHASSEE!$H34=0," ",TALLAHASSEE!$H34)</f>
        <v xml:space="preserve"> </v>
      </c>
      <c r="AH35" s="45" t="str">
        <f>IF(VALENCIA!$H34=0," ",VALENCIA!$H34)</f>
        <v xml:space="preserve"> </v>
      </c>
      <c r="AI35" s="43" t="s">
        <v>15</v>
      </c>
      <c r="AK35" s="29">
        <f t="shared" si="1"/>
        <v>6</v>
      </c>
      <c r="AL35" s="29">
        <f t="shared" si="2"/>
        <v>0</v>
      </c>
      <c r="AM35" s="29">
        <f t="shared" si="3"/>
        <v>1</v>
      </c>
      <c r="AN35" s="29">
        <f t="shared" si="4"/>
        <v>7</v>
      </c>
      <c r="AO35" s="49">
        <f t="shared" si="5"/>
        <v>0.8571428571428571</v>
      </c>
      <c r="AP35" s="50">
        <f t="shared" si="6"/>
        <v>0</v>
      </c>
      <c r="AQ35" s="50">
        <f t="shared" si="7"/>
        <v>0.14285714285714285</v>
      </c>
    </row>
    <row r="36" spans="1:43" x14ac:dyDescent="0.35">
      <c r="A36" s="9"/>
      <c r="B36" s="9"/>
      <c r="C36" s="10" t="s">
        <v>68</v>
      </c>
      <c r="D36" s="9"/>
      <c r="E36" s="10"/>
      <c r="F36" s="9" t="s">
        <v>69</v>
      </c>
      <c r="G36" s="45" t="str">
        <f>IF(EASTERN!H35=0," ",EASTERN!H35)</f>
        <v>Partial</v>
      </c>
      <c r="H36" s="45" t="str">
        <f>IF(BROWARD!$H35=0," ",BROWARD!$H35)</f>
        <v>Partial</v>
      </c>
      <c r="I36" s="45" t="str">
        <f>IF(CENTRAL!$H35=0," ",CENTRAL!$H35)</f>
        <v xml:space="preserve"> </v>
      </c>
      <c r="J36" s="45" t="str">
        <f>IF(CHIPOLA!$H35=0," ",CHIPOLA!$H35)</f>
        <v xml:space="preserve"> </v>
      </c>
      <c r="K36" s="45" t="str">
        <f>IF(DAYTONA!$H35=0," ",DAYTONA!$H35)</f>
        <v>Partial</v>
      </c>
      <c r="L36" s="45" t="str">
        <f>IF(SOUTHWESTERN!$H35=0," ",SOUTHWESTERN!$H35)</f>
        <v xml:space="preserve"> </v>
      </c>
      <c r="M36" s="45" t="str">
        <f>IF('FSC JAX'!$H35=0," ",'FSC JAX'!$H35)</f>
        <v xml:space="preserve"> </v>
      </c>
      <c r="N36" s="45" t="str">
        <f>IF('FL KEYS'!$H35=0," ",'FL KEYS'!$H35)</f>
        <v>Yes</v>
      </c>
      <c r="O36" s="45" t="str">
        <f>IF('GULF COAST'!$H35=0," ",'GULF COAST'!$H35)</f>
        <v xml:space="preserve"> </v>
      </c>
      <c r="P36" s="45" t="str">
        <f>IF(HILLSBOROUGH!$H35=0," ",HILLSBOROUGH!$H35)</f>
        <v xml:space="preserve"> </v>
      </c>
      <c r="Q36" s="45" t="str">
        <f>IF('INDIAN RIVER'!$H35=0," ",'INDIAN RIVER'!$H35)</f>
        <v>Yes</v>
      </c>
      <c r="R36" s="45" t="str">
        <f>IF(GATEWAY!$H35=0," ",GATEWAY!$H35)</f>
        <v xml:space="preserve"> </v>
      </c>
      <c r="S36" s="45" t="str">
        <f>IF('LAKE SUMTER'!$H35=0," ",'LAKE SUMTER'!$H35)</f>
        <v xml:space="preserve"> </v>
      </c>
      <c r="T36" s="45" t="str">
        <f>IF('SCF MANATEE'!$H35=0," ",'SCF MANATEE'!$H35)</f>
        <v xml:space="preserve"> </v>
      </c>
      <c r="U36" s="45" t="str">
        <f>IF(MIAMI!$H35=0," ",MIAMI!$H35)</f>
        <v>Partial</v>
      </c>
      <c r="V36" s="45" t="str">
        <f>IF('NORTH FLORIDA'!$H35=0," ",'NORTH FLORIDA'!$H35)</f>
        <v xml:space="preserve"> </v>
      </c>
      <c r="W36" s="45" t="str">
        <f>IF('NORTHWEST FLORIDA'!$H35=0," ",'NORTHWEST FLORIDA'!$H35)</f>
        <v xml:space="preserve"> </v>
      </c>
      <c r="X36" s="45" t="str">
        <f>IF('PALM BEACH'!$H35=0," ",'PALM BEACH'!$H35)</f>
        <v>Yes</v>
      </c>
      <c r="Y36" s="45" t="str">
        <f>IF(PASCO!$H35=0," ",PASCO!$H35)</f>
        <v xml:space="preserve"> </v>
      </c>
      <c r="Z36" s="45" t="str">
        <f>IF(PENSACOLA!$H35=0," ",PENSACOLA!$H35)</f>
        <v xml:space="preserve"> </v>
      </c>
      <c r="AA36" s="45" t="str">
        <f>IF(POLK!$H35=0," ",POLK!$H35)</f>
        <v xml:space="preserve"> </v>
      </c>
      <c r="AB36" s="45" t="str">
        <f>IF('ST JOHNS'!$H35=0," ",'ST JOHNS'!$H35)</f>
        <v xml:space="preserve"> </v>
      </c>
      <c r="AC36" s="45" t="str">
        <f>IF('ST PETE'!$H35=0," ",'ST PETE'!$H35)</f>
        <v>Partial</v>
      </c>
      <c r="AD36" s="45" t="str">
        <f>IF('SANTA FE'!$H35=0," ",'SANTA FE'!$H35)</f>
        <v xml:space="preserve"> </v>
      </c>
      <c r="AE36" s="45" t="str">
        <f>IF(SEMINOLE!$H35=0," ",SEMINOLE!$H35)</f>
        <v>Yes</v>
      </c>
      <c r="AF36" s="45" t="str">
        <f>IF('SOUTH FLORIDA'!$H35=0," ",'SOUTH FLORIDA'!$H35)</f>
        <v xml:space="preserve"> </v>
      </c>
      <c r="AG36" s="45" t="str">
        <f>IF(TALLAHASSEE!$H35=0," ",TALLAHASSEE!$H35)</f>
        <v xml:space="preserve"> </v>
      </c>
      <c r="AH36" s="45" t="str">
        <f>IF(VALENCIA!$H35=0," ",VALENCIA!$H35)</f>
        <v xml:space="preserve"> </v>
      </c>
      <c r="AI36" s="43" t="s">
        <v>59</v>
      </c>
      <c r="AK36" s="29">
        <f t="shared" si="1"/>
        <v>4</v>
      </c>
      <c r="AL36" s="29">
        <f t="shared" si="2"/>
        <v>0</v>
      </c>
      <c r="AM36" s="29">
        <f t="shared" si="3"/>
        <v>5</v>
      </c>
      <c r="AN36" s="29">
        <f t="shared" si="4"/>
        <v>9</v>
      </c>
      <c r="AO36" s="50">
        <f t="shared" si="5"/>
        <v>0.44444444444444442</v>
      </c>
      <c r="AP36" s="50">
        <f t="shared" si="6"/>
        <v>0</v>
      </c>
      <c r="AQ36" s="49">
        <f t="shared" si="7"/>
        <v>0.55555555555555558</v>
      </c>
    </row>
    <row r="37" spans="1:43" x14ac:dyDescent="0.35">
      <c r="A37" s="9"/>
      <c r="B37" s="9"/>
      <c r="C37" s="10" t="s">
        <v>70</v>
      </c>
      <c r="D37" s="9"/>
      <c r="E37" s="9"/>
      <c r="F37" s="9" t="s">
        <v>71</v>
      </c>
      <c r="G37" s="45" t="str">
        <f>IF(EASTERN!H36=0," ",EASTERN!H36)</f>
        <v xml:space="preserve"> </v>
      </c>
      <c r="H37" s="45" t="str">
        <f>IF(BROWARD!$H36=0," ",BROWARD!$H36)</f>
        <v xml:space="preserve"> </v>
      </c>
      <c r="I37" s="45" t="str">
        <f>IF(CENTRAL!$H36=0," ",CENTRAL!$H36)</f>
        <v xml:space="preserve"> </v>
      </c>
      <c r="J37" s="45" t="str">
        <f>IF(CHIPOLA!$H36=0," ",CHIPOLA!$H36)</f>
        <v xml:space="preserve"> </v>
      </c>
      <c r="K37" s="45" t="str">
        <f>IF(DAYTONA!$H36=0," ",DAYTONA!$H36)</f>
        <v xml:space="preserve"> </v>
      </c>
      <c r="L37" s="45" t="str">
        <f>IF(SOUTHWESTERN!$H36=0," ",SOUTHWESTERN!$H36)</f>
        <v xml:space="preserve"> </v>
      </c>
      <c r="M37" s="45" t="str">
        <f>IF('FSC JAX'!$H36=0," ",'FSC JAX'!$H36)</f>
        <v xml:space="preserve"> </v>
      </c>
      <c r="N37" s="45" t="str">
        <f>IF('FL KEYS'!$H36=0," ",'FL KEYS'!$H36)</f>
        <v xml:space="preserve"> </v>
      </c>
      <c r="O37" s="45" t="str">
        <f>IF('GULF COAST'!$H36=0," ",'GULF COAST'!$H36)</f>
        <v xml:space="preserve"> </v>
      </c>
      <c r="P37" s="45" t="str">
        <f>IF(HILLSBOROUGH!$H36=0," ",HILLSBOROUGH!$H36)</f>
        <v xml:space="preserve"> </v>
      </c>
      <c r="Q37" s="45" t="str">
        <f>IF('INDIAN RIVER'!$H36=0," ",'INDIAN RIVER'!$H36)</f>
        <v xml:space="preserve"> </v>
      </c>
      <c r="R37" s="45" t="str">
        <f>IF(GATEWAY!$H36=0," ",GATEWAY!$H36)</f>
        <v xml:space="preserve"> </v>
      </c>
      <c r="S37" s="45" t="str">
        <f>IF('LAKE SUMTER'!$H36=0," ",'LAKE SUMTER'!$H36)</f>
        <v xml:space="preserve"> </v>
      </c>
      <c r="T37" s="45" t="str">
        <f>IF('SCF MANATEE'!$H36=0," ",'SCF MANATEE'!$H36)</f>
        <v xml:space="preserve"> </v>
      </c>
      <c r="U37" s="45" t="str">
        <f>IF(MIAMI!$H36=0," ",MIAMI!$H36)</f>
        <v>Yes</v>
      </c>
      <c r="V37" s="45" t="str">
        <f>IF('NORTH FLORIDA'!$H36=0," ",'NORTH FLORIDA'!$H36)</f>
        <v xml:space="preserve"> </v>
      </c>
      <c r="W37" s="45" t="str">
        <f>IF('NORTHWEST FLORIDA'!$H36=0," ",'NORTHWEST FLORIDA'!$H36)</f>
        <v xml:space="preserve"> </v>
      </c>
      <c r="X37" s="45" t="str">
        <f>IF('PALM BEACH'!$H36=0," ",'PALM BEACH'!$H36)</f>
        <v xml:space="preserve"> </v>
      </c>
      <c r="Y37" s="45" t="str">
        <f>IF(PASCO!$H36=0," ",PASCO!$H36)</f>
        <v xml:space="preserve"> </v>
      </c>
      <c r="Z37" s="45" t="str">
        <f>IF(PENSACOLA!$H36=0," ",PENSACOLA!$H36)</f>
        <v xml:space="preserve"> </v>
      </c>
      <c r="AA37" s="45" t="str">
        <f>IF(POLK!$H36=0," ",POLK!$H36)</f>
        <v xml:space="preserve"> </v>
      </c>
      <c r="AB37" s="45" t="str">
        <f>IF('ST JOHNS'!$H36=0," ",'ST JOHNS'!$H36)</f>
        <v xml:space="preserve"> </v>
      </c>
      <c r="AC37" s="45" t="str">
        <f>IF('ST PETE'!$H36=0," ",'ST PETE'!$H36)</f>
        <v xml:space="preserve"> </v>
      </c>
      <c r="AD37" s="45" t="str">
        <f>IF('SANTA FE'!$H36=0," ",'SANTA FE'!$H36)</f>
        <v xml:space="preserve"> </v>
      </c>
      <c r="AE37" s="45" t="str">
        <f>IF(SEMINOLE!$H36=0," ",SEMINOLE!$H36)</f>
        <v xml:space="preserve"> </v>
      </c>
      <c r="AF37" s="45" t="str">
        <f>IF('SOUTH FLORIDA'!$H36=0," ",'SOUTH FLORIDA'!$H36)</f>
        <v xml:space="preserve"> </v>
      </c>
      <c r="AG37" s="45" t="str">
        <f>IF(TALLAHASSEE!$H36=0," ",TALLAHASSEE!$H36)</f>
        <v xml:space="preserve"> </v>
      </c>
      <c r="AH37" s="45" t="str">
        <f>IF(VALENCIA!$H36=0," ",VALENCIA!$H36)</f>
        <v xml:space="preserve"> </v>
      </c>
      <c r="AI37" s="43" t="s">
        <v>15</v>
      </c>
      <c r="AK37" s="29">
        <f t="shared" si="1"/>
        <v>1</v>
      </c>
      <c r="AL37" s="29">
        <f t="shared" si="2"/>
        <v>0</v>
      </c>
      <c r="AM37" s="29">
        <f t="shared" si="3"/>
        <v>0</v>
      </c>
      <c r="AN37" s="29">
        <f t="shared" si="4"/>
        <v>1</v>
      </c>
      <c r="AO37" s="49">
        <f t="shared" si="5"/>
        <v>1</v>
      </c>
      <c r="AP37" s="50">
        <f t="shared" si="6"/>
        <v>0</v>
      </c>
      <c r="AQ37" s="50">
        <f t="shared" si="7"/>
        <v>0</v>
      </c>
    </row>
    <row r="38" spans="1:43" x14ac:dyDescent="0.35">
      <c r="A38" s="9"/>
      <c r="B38" s="9"/>
      <c r="C38" s="10" t="s">
        <v>72</v>
      </c>
      <c r="D38" s="9"/>
      <c r="E38" s="21"/>
      <c r="F38" s="9" t="s">
        <v>73</v>
      </c>
      <c r="G38" s="45" t="str">
        <f>IF(EASTERN!H37=0," ",EASTERN!H37)</f>
        <v xml:space="preserve"> </v>
      </c>
      <c r="H38" s="45" t="str">
        <f>IF(BROWARD!$H37=0," ",BROWARD!$H37)</f>
        <v>Yes</v>
      </c>
      <c r="I38" s="45" t="str">
        <f>IF(CENTRAL!$H37=0," ",CENTRAL!$H37)</f>
        <v xml:space="preserve"> </v>
      </c>
      <c r="J38" s="45" t="str">
        <f>IF(CHIPOLA!$H37=0," ",CHIPOLA!$H37)</f>
        <v xml:space="preserve"> </v>
      </c>
      <c r="K38" s="45" t="str">
        <f>IF(DAYTONA!$H37=0," ",DAYTONA!$H37)</f>
        <v xml:space="preserve"> </v>
      </c>
      <c r="L38" s="45" t="str">
        <f>IF(SOUTHWESTERN!$H37=0," ",SOUTHWESTERN!$H37)</f>
        <v xml:space="preserve"> </v>
      </c>
      <c r="M38" s="45" t="str">
        <f>IF('FSC JAX'!$H37=0," ",'FSC JAX'!$H37)</f>
        <v xml:space="preserve"> </v>
      </c>
      <c r="N38" s="45" t="str">
        <f>IF('FL KEYS'!$H37=0," ",'FL KEYS'!$H37)</f>
        <v xml:space="preserve"> </v>
      </c>
      <c r="O38" s="45" t="str">
        <f>IF('GULF COAST'!$H37=0," ",'GULF COAST'!$H37)</f>
        <v xml:space="preserve"> </v>
      </c>
      <c r="P38" s="45" t="str">
        <f>IF(HILLSBOROUGH!$H37=0," ",HILLSBOROUGH!$H37)</f>
        <v xml:space="preserve"> </v>
      </c>
      <c r="Q38" s="45" t="str">
        <f>IF('INDIAN RIVER'!$H37=0," ",'INDIAN RIVER'!$H37)</f>
        <v xml:space="preserve"> </v>
      </c>
      <c r="R38" s="45" t="str">
        <f>IF(GATEWAY!$H37=0," ",GATEWAY!$H37)</f>
        <v xml:space="preserve"> </v>
      </c>
      <c r="S38" s="45" t="str">
        <f>IF('LAKE SUMTER'!$H37=0," ",'LAKE SUMTER'!$H37)</f>
        <v xml:space="preserve"> </v>
      </c>
      <c r="T38" s="45" t="str">
        <f>IF('SCF MANATEE'!$H37=0," ",'SCF MANATEE'!$H37)</f>
        <v xml:space="preserve"> </v>
      </c>
      <c r="U38" s="45" t="str">
        <f>IF(MIAMI!$H37=0," ",MIAMI!$H37)</f>
        <v xml:space="preserve"> </v>
      </c>
      <c r="V38" s="45" t="str">
        <f>IF('NORTH FLORIDA'!$H37=0," ",'NORTH FLORIDA'!$H37)</f>
        <v xml:space="preserve"> </v>
      </c>
      <c r="W38" s="45" t="str">
        <f>IF('NORTHWEST FLORIDA'!$H37=0," ",'NORTHWEST FLORIDA'!$H37)</f>
        <v xml:space="preserve"> </v>
      </c>
      <c r="X38" s="45" t="str">
        <f>IF('PALM BEACH'!$H37=0," ",'PALM BEACH'!$H37)</f>
        <v xml:space="preserve"> </v>
      </c>
      <c r="Y38" s="45" t="str">
        <f>IF(PASCO!$H37=0," ",PASCO!$H37)</f>
        <v xml:space="preserve"> </v>
      </c>
      <c r="Z38" s="45" t="str">
        <f>IF(PENSACOLA!$H37=0," ",PENSACOLA!$H37)</f>
        <v xml:space="preserve"> </v>
      </c>
      <c r="AA38" s="45" t="str">
        <f>IF(POLK!$H37=0," ",POLK!$H37)</f>
        <v xml:space="preserve"> </v>
      </c>
      <c r="AB38" s="45" t="str">
        <f>IF('ST JOHNS'!$H37=0," ",'ST JOHNS'!$H37)</f>
        <v xml:space="preserve"> </v>
      </c>
      <c r="AC38" s="45" t="str">
        <f>IF('ST PETE'!$H37=0," ",'ST PETE'!$H37)</f>
        <v xml:space="preserve"> </v>
      </c>
      <c r="AD38" s="45" t="str">
        <f>IF('SANTA FE'!$H37=0," ",'SANTA FE'!$H37)</f>
        <v xml:space="preserve"> </v>
      </c>
      <c r="AE38" s="45" t="str">
        <f>IF(SEMINOLE!$H37=0," ",SEMINOLE!$H37)</f>
        <v xml:space="preserve"> </v>
      </c>
      <c r="AF38" s="45" t="str">
        <f>IF('SOUTH FLORIDA'!$H37=0," ",'SOUTH FLORIDA'!$H37)</f>
        <v xml:space="preserve"> </v>
      </c>
      <c r="AG38" s="45" t="str">
        <f>IF(TALLAHASSEE!$H37=0," ",TALLAHASSEE!$H37)</f>
        <v xml:space="preserve"> </v>
      </c>
      <c r="AH38" s="45" t="str">
        <f>IF(VALENCIA!$H37=0," ",VALENCIA!$H37)</f>
        <v>No</v>
      </c>
      <c r="AI38" s="43" t="s">
        <v>15</v>
      </c>
      <c r="AK38" s="29">
        <f t="shared" si="1"/>
        <v>1</v>
      </c>
      <c r="AL38" s="29">
        <f t="shared" si="2"/>
        <v>1</v>
      </c>
      <c r="AM38" s="29">
        <f t="shared" si="3"/>
        <v>0</v>
      </c>
      <c r="AN38" s="29">
        <f t="shared" si="4"/>
        <v>2</v>
      </c>
      <c r="AO38" s="49">
        <f t="shared" si="5"/>
        <v>0.5</v>
      </c>
      <c r="AP38" s="50">
        <f t="shared" si="6"/>
        <v>0.5</v>
      </c>
      <c r="AQ38" s="50">
        <f t="shared" si="7"/>
        <v>0</v>
      </c>
    </row>
    <row r="39" spans="1:43" x14ac:dyDescent="0.35">
      <c r="A39" s="9"/>
      <c r="B39" s="9"/>
      <c r="C39" s="10" t="s">
        <v>74</v>
      </c>
      <c r="D39" s="9"/>
      <c r="E39" s="9"/>
      <c r="F39" s="9" t="s">
        <v>75</v>
      </c>
      <c r="G39" s="45" t="str">
        <f>IF(EASTERN!H38=0," ",EASTERN!H38)</f>
        <v xml:space="preserve"> </v>
      </c>
      <c r="H39" s="45" t="str">
        <f>IF(BROWARD!$H38=0," ",BROWARD!$H38)</f>
        <v xml:space="preserve"> </v>
      </c>
      <c r="I39" s="45" t="str">
        <f>IF(CENTRAL!$H38=0," ",CENTRAL!$H38)</f>
        <v xml:space="preserve"> </v>
      </c>
      <c r="J39" s="45" t="str">
        <f>IF(CHIPOLA!$H38=0," ",CHIPOLA!$H38)</f>
        <v xml:space="preserve"> </v>
      </c>
      <c r="K39" s="45" t="str">
        <f>IF(DAYTONA!$H38=0," ",DAYTONA!$H38)</f>
        <v xml:space="preserve"> </v>
      </c>
      <c r="L39" s="45" t="str">
        <f>IF(SOUTHWESTERN!$H38=0," ",SOUTHWESTERN!$H38)</f>
        <v xml:space="preserve"> </v>
      </c>
      <c r="M39" s="45" t="str">
        <f>IF('FSC JAX'!$H38=0," ",'FSC JAX'!$H38)</f>
        <v xml:space="preserve"> </v>
      </c>
      <c r="N39" s="45" t="str">
        <f>IF('FL KEYS'!$H38=0," ",'FL KEYS'!$H38)</f>
        <v xml:space="preserve"> </v>
      </c>
      <c r="O39" s="45" t="str">
        <f>IF('GULF COAST'!$H38=0," ",'GULF COAST'!$H38)</f>
        <v xml:space="preserve"> </v>
      </c>
      <c r="P39" s="45" t="str">
        <f>IF(HILLSBOROUGH!$H38=0," ",HILLSBOROUGH!$H38)</f>
        <v xml:space="preserve"> </v>
      </c>
      <c r="Q39" s="45" t="str">
        <f>IF('INDIAN RIVER'!$H38=0," ",'INDIAN RIVER'!$H38)</f>
        <v xml:space="preserve"> </v>
      </c>
      <c r="R39" s="45" t="str">
        <f>IF(GATEWAY!$H38=0," ",GATEWAY!$H38)</f>
        <v xml:space="preserve"> </v>
      </c>
      <c r="S39" s="45" t="str">
        <f>IF('LAKE SUMTER'!$H38=0," ",'LAKE SUMTER'!$H38)</f>
        <v xml:space="preserve"> </v>
      </c>
      <c r="T39" s="45" t="str">
        <f>IF('SCF MANATEE'!$H38=0," ",'SCF MANATEE'!$H38)</f>
        <v xml:space="preserve"> </v>
      </c>
      <c r="U39" s="45" t="str">
        <f>IF(MIAMI!$H38=0," ",MIAMI!$H38)</f>
        <v xml:space="preserve"> </v>
      </c>
      <c r="V39" s="45" t="str">
        <f>IF('NORTH FLORIDA'!$H38=0," ",'NORTH FLORIDA'!$H38)</f>
        <v xml:space="preserve"> </v>
      </c>
      <c r="W39" s="45" t="str">
        <f>IF('NORTHWEST FLORIDA'!$H38=0," ",'NORTHWEST FLORIDA'!$H38)</f>
        <v xml:space="preserve"> </v>
      </c>
      <c r="X39" s="45" t="str">
        <f>IF('PALM BEACH'!$H38=0," ",'PALM BEACH'!$H38)</f>
        <v xml:space="preserve"> </v>
      </c>
      <c r="Y39" s="45" t="str">
        <f>IF(PASCO!$H38=0," ",PASCO!$H38)</f>
        <v xml:space="preserve"> </v>
      </c>
      <c r="Z39" s="45" t="str">
        <f>IF(PENSACOLA!$H38=0," ",PENSACOLA!$H38)</f>
        <v xml:space="preserve"> </v>
      </c>
      <c r="AA39" s="45" t="str">
        <f>IF(POLK!$H38=0," ",POLK!$H38)</f>
        <v xml:space="preserve"> </v>
      </c>
      <c r="AB39" s="45" t="str">
        <f>IF('ST JOHNS'!$H38=0," ",'ST JOHNS'!$H38)</f>
        <v xml:space="preserve"> </v>
      </c>
      <c r="AC39" s="45" t="str">
        <f>IF('ST PETE'!$H38=0," ",'ST PETE'!$H38)</f>
        <v xml:space="preserve"> </v>
      </c>
      <c r="AD39" s="45" t="str">
        <f>IF('SANTA FE'!$H38=0," ",'SANTA FE'!$H38)</f>
        <v xml:space="preserve"> </v>
      </c>
      <c r="AE39" s="45" t="str">
        <f>IF(SEMINOLE!$H38=0," ",SEMINOLE!$H38)</f>
        <v xml:space="preserve"> </v>
      </c>
      <c r="AF39" s="45" t="str">
        <f>IF('SOUTH FLORIDA'!$H38=0," ",'SOUTH FLORIDA'!$H38)</f>
        <v xml:space="preserve"> </v>
      </c>
      <c r="AG39" s="45" t="str">
        <f>IF(TALLAHASSEE!$H38=0," ",TALLAHASSEE!$H38)</f>
        <v xml:space="preserve"> </v>
      </c>
      <c r="AH39" s="45" t="str">
        <f>IF(VALENCIA!$H38=0," ",VALENCIA!$H38)</f>
        <v xml:space="preserve"> </v>
      </c>
      <c r="AI39" s="43"/>
      <c r="AK39" s="29">
        <f t="shared" si="1"/>
        <v>0</v>
      </c>
      <c r="AL39" s="29">
        <f t="shared" si="2"/>
        <v>0</v>
      </c>
      <c r="AM39" s="29">
        <f t="shared" si="3"/>
        <v>0</v>
      </c>
      <c r="AN39" s="29">
        <f t="shared" si="4"/>
        <v>0</v>
      </c>
      <c r="AO39" s="50">
        <f t="shared" si="5"/>
        <v>0</v>
      </c>
      <c r="AP39" s="50">
        <f t="shared" si="6"/>
        <v>0</v>
      </c>
      <c r="AQ39" s="50">
        <f t="shared" si="7"/>
        <v>0</v>
      </c>
    </row>
    <row r="40" spans="1:43" x14ac:dyDescent="0.35">
      <c r="A40" s="9"/>
      <c r="B40" s="9"/>
      <c r="C40" s="10" t="s">
        <v>76</v>
      </c>
      <c r="D40" s="9"/>
      <c r="E40" s="9"/>
      <c r="F40" s="9" t="s">
        <v>77</v>
      </c>
      <c r="G40" s="45" t="str">
        <f>IF(EASTERN!H39=0," ",EASTERN!H39)</f>
        <v xml:space="preserve"> </v>
      </c>
      <c r="H40" s="45" t="str">
        <f>IF(BROWARD!$H39=0," ",BROWARD!$H39)</f>
        <v xml:space="preserve"> </v>
      </c>
      <c r="I40" s="45" t="str">
        <f>IF(CENTRAL!$H39=0," ",CENTRAL!$H39)</f>
        <v>no</v>
      </c>
      <c r="J40" s="45" t="str">
        <f>IF(CHIPOLA!$H39=0," ",CHIPOLA!$H39)</f>
        <v xml:space="preserve"> </v>
      </c>
      <c r="K40" s="45" t="str">
        <f>IF(DAYTONA!$H39=0," ",DAYTONA!$H39)</f>
        <v xml:space="preserve"> </v>
      </c>
      <c r="L40" s="45" t="str">
        <f>IF(SOUTHWESTERN!$H39=0," ",SOUTHWESTERN!$H39)</f>
        <v xml:space="preserve"> </v>
      </c>
      <c r="M40" s="45" t="str">
        <f>IF('FSC JAX'!$H39=0," ",'FSC JAX'!$H39)</f>
        <v xml:space="preserve"> </v>
      </c>
      <c r="N40" s="45" t="str">
        <f>IF('FL KEYS'!$H39=0," ",'FL KEYS'!$H39)</f>
        <v xml:space="preserve"> </v>
      </c>
      <c r="O40" s="45" t="str">
        <f>IF('GULF COAST'!$H39=0," ",'GULF COAST'!$H39)</f>
        <v xml:space="preserve"> </v>
      </c>
      <c r="P40" s="45" t="str">
        <f>IF(HILLSBOROUGH!$H39=0," ",HILLSBOROUGH!$H39)</f>
        <v xml:space="preserve"> </v>
      </c>
      <c r="Q40" s="45" t="str">
        <f>IF('INDIAN RIVER'!$H39=0," ",'INDIAN RIVER'!$H39)</f>
        <v xml:space="preserve"> </v>
      </c>
      <c r="R40" s="45" t="str">
        <f>IF(GATEWAY!$H39=0," ",GATEWAY!$H39)</f>
        <v xml:space="preserve"> </v>
      </c>
      <c r="S40" s="45" t="str">
        <f>IF('LAKE SUMTER'!$H39=0," ",'LAKE SUMTER'!$H39)</f>
        <v xml:space="preserve"> </v>
      </c>
      <c r="T40" s="45" t="str">
        <f>IF('SCF MANATEE'!$H39=0," ",'SCF MANATEE'!$H39)</f>
        <v xml:space="preserve"> </v>
      </c>
      <c r="U40" s="45" t="str">
        <f>IF(MIAMI!$H39=0," ",MIAMI!$H39)</f>
        <v xml:space="preserve"> </v>
      </c>
      <c r="V40" s="45" t="str">
        <f>IF('NORTH FLORIDA'!$H39=0," ",'NORTH FLORIDA'!$H39)</f>
        <v xml:space="preserve"> </v>
      </c>
      <c r="W40" s="45" t="str">
        <f>IF('NORTHWEST FLORIDA'!$H39=0," ",'NORTHWEST FLORIDA'!$H39)</f>
        <v>No</v>
      </c>
      <c r="X40" s="45" t="str">
        <f>IF('PALM BEACH'!$H39=0," ",'PALM BEACH'!$H39)</f>
        <v xml:space="preserve"> </v>
      </c>
      <c r="Y40" s="45" t="str">
        <f>IF(PASCO!$H39=0," ",PASCO!$H39)</f>
        <v xml:space="preserve"> </v>
      </c>
      <c r="Z40" s="45" t="str">
        <f>IF(PENSACOLA!$H39=0," ",PENSACOLA!$H39)</f>
        <v xml:space="preserve"> </v>
      </c>
      <c r="AA40" s="45" t="str">
        <f>IF(POLK!$H39=0," ",POLK!$H39)</f>
        <v xml:space="preserve"> </v>
      </c>
      <c r="AB40" s="45" t="str">
        <f>IF('ST JOHNS'!$H39=0," ",'ST JOHNS'!$H39)</f>
        <v xml:space="preserve"> </v>
      </c>
      <c r="AC40" s="45" t="str">
        <f>IF('ST PETE'!$H39=0," ",'ST PETE'!$H39)</f>
        <v xml:space="preserve"> </v>
      </c>
      <c r="AD40" s="45" t="str">
        <f>IF('SANTA FE'!$H39=0," ",'SANTA FE'!$H39)</f>
        <v xml:space="preserve"> </v>
      </c>
      <c r="AE40" s="45" t="str">
        <f>IF(SEMINOLE!$H39=0," ",SEMINOLE!$H39)</f>
        <v xml:space="preserve"> </v>
      </c>
      <c r="AF40" s="45" t="str">
        <f>IF('SOUTH FLORIDA'!$H39=0," ",'SOUTH FLORIDA'!$H39)</f>
        <v xml:space="preserve"> </v>
      </c>
      <c r="AG40" s="45" t="str">
        <f>IF(TALLAHASSEE!$H39=0," ",TALLAHASSEE!$H39)</f>
        <v xml:space="preserve"> </v>
      </c>
      <c r="AH40" s="45" t="str">
        <f>IF(VALENCIA!$H39=0," ",VALENCIA!$H39)</f>
        <v xml:space="preserve"> </v>
      </c>
      <c r="AI40" s="43" t="s">
        <v>24</v>
      </c>
      <c r="AK40" s="29">
        <f t="shared" si="1"/>
        <v>0</v>
      </c>
      <c r="AL40" s="29">
        <f t="shared" si="2"/>
        <v>2</v>
      </c>
      <c r="AM40" s="29">
        <f t="shared" si="3"/>
        <v>0</v>
      </c>
      <c r="AN40" s="29">
        <f t="shared" si="4"/>
        <v>2</v>
      </c>
      <c r="AO40" s="50">
        <f t="shared" si="5"/>
        <v>0</v>
      </c>
      <c r="AP40" s="49">
        <f t="shared" si="6"/>
        <v>1</v>
      </c>
      <c r="AQ40" s="50">
        <f t="shared" si="7"/>
        <v>0</v>
      </c>
    </row>
    <row r="41" spans="1:43" x14ac:dyDescent="0.35">
      <c r="A41" s="9"/>
      <c r="B41" s="9"/>
      <c r="C41" s="10" t="s">
        <v>78</v>
      </c>
      <c r="D41" s="9"/>
      <c r="E41" s="9"/>
      <c r="F41" s="9" t="s">
        <v>79</v>
      </c>
      <c r="G41" s="45" t="str">
        <f>IF(EASTERN!H40=0," ",EASTERN!H40)</f>
        <v xml:space="preserve"> </v>
      </c>
      <c r="H41" s="45" t="str">
        <f>IF(BROWARD!$H40=0," ",BROWARD!$H40)</f>
        <v xml:space="preserve"> </v>
      </c>
      <c r="I41" s="45" t="str">
        <f>IF(CENTRAL!$H40=0," ",CENTRAL!$H40)</f>
        <v xml:space="preserve"> </v>
      </c>
      <c r="J41" s="45" t="str">
        <f>IF(CHIPOLA!$H40=0," ",CHIPOLA!$H40)</f>
        <v xml:space="preserve"> </v>
      </c>
      <c r="K41" s="45" t="str">
        <f>IF(DAYTONA!$H40=0," ",DAYTONA!$H40)</f>
        <v xml:space="preserve"> </v>
      </c>
      <c r="L41" s="45" t="str">
        <f>IF(SOUTHWESTERN!$H40=0," ",SOUTHWESTERN!$H40)</f>
        <v xml:space="preserve"> </v>
      </c>
      <c r="M41" s="45" t="str">
        <f>IF('FSC JAX'!$H40=0," ",'FSC JAX'!$H40)</f>
        <v xml:space="preserve"> </v>
      </c>
      <c r="N41" s="45" t="str">
        <f>IF('FL KEYS'!$H40=0," ",'FL KEYS'!$H40)</f>
        <v>No</v>
      </c>
      <c r="O41" s="45" t="str">
        <f>IF('GULF COAST'!$H40=0," ",'GULF COAST'!$H40)</f>
        <v xml:space="preserve"> </v>
      </c>
      <c r="P41" s="45" t="str">
        <f>IF(HILLSBOROUGH!$H40=0," ",HILLSBOROUGH!$H40)</f>
        <v>Yes</v>
      </c>
      <c r="Q41" s="45" t="str">
        <f>IF('INDIAN RIVER'!$H40=0," ",'INDIAN RIVER'!$H40)</f>
        <v>No</v>
      </c>
      <c r="R41" s="45" t="str">
        <f>IF(GATEWAY!$H40=0," ",GATEWAY!$H40)</f>
        <v xml:space="preserve"> </v>
      </c>
      <c r="S41" s="45" t="str">
        <f>IF('LAKE SUMTER'!$H40=0," ",'LAKE SUMTER'!$H40)</f>
        <v>No</v>
      </c>
      <c r="T41" s="45" t="str">
        <f>IF('SCF MANATEE'!$H40=0," ",'SCF MANATEE'!$H40)</f>
        <v xml:space="preserve"> </v>
      </c>
      <c r="U41" s="45" t="str">
        <f>IF(MIAMI!$H40=0," ",MIAMI!$H40)</f>
        <v xml:space="preserve"> </v>
      </c>
      <c r="V41" s="45" t="str">
        <f>IF('NORTH FLORIDA'!$H40=0," ",'NORTH FLORIDA'!$H40)</f>
        <v xml:space="preserve"> </v>
      </c>
      <c r="W41" s="45" t="str">
        <f>IF('NORTHWEST FLORIDA'!$H40=0," ",'NORTHWEST FLORIDA'!$H40)</f>
        <v xml:space="preserve"> </v>
      </c>
      <c r="X41" s="45" t="str">
        <f>IF('PALM BEACH'!$H40=0," ",'PALM BEACH'!$H40)</f>
        <v>No</v>
      </c>
      <c r="Y41" s="45" t="str">
        <f>IF(PASCO!$H40=0," ",PASCO!$H40)</f>
        <v xml:space="preserve"> </v>
      </c>
      <c r="Z41" s="45" t="str">
        <f>IF(PENSACOLA!$H40=0," ",PENSACOLA!$H40)</f>
        <v xml:space="preserve"> </v>
      </c>
      <c r="AA41" s="45" t="str">
        <f>IF(POLK!$H40=0," ",POLK!$H40)</f>
        <v>No</v>
      </c>
      <c r="AB41" s="45" t="str">
        <f>IF('ST JOHNS'!$H40=0," ",'ST JOHNS'!$H40)</f>
        <v xml:space="preserve"> </v>
      </c>
      <c r="AC41" s="45" t="str">
        <f>IF('ST PETE'!$H40=0," ",'ST PETE'!$H40)</f>
        <v>Partial</v>
      </c>
      <c r="AD41" s="45" t="str">
        <f>IF('SANTA FE'!$H40=0," ",'SANTA FE'!$H40)</f>
        <v xml:space="preserve"> </v>
      </c>
      <c r="AE41" s="45" t="str">
        <f>IF(SEMINOLE!$H40=0," ",SEMINOLE!$H40)</f>
        <v>No</v>
      </c>
      <c r="AF41" s="45" t="str">
        <f>IF('SOUTH FLORIDA'!$H40=0," ",'SOUTH FLORIDA'!$H40)</f>
        <v xml:space="preserve"> </v>
      </c>
      <c r="AG41" s="45" t="str">
        <f>IF(TALLAHASSEE!$H40=0," ",TALLAHASSEE!$H40)</f>
        <v xml:space="preserve"> </v>
      </c>
      <c r="AH41" s="45" t="str">
        <f>IF(VALENCIA!$H40=0," ",VALENCIA!$H40)</f>
        <v>No</v>
      </c>
      <c r="AI41" s="43" t="s">
        <v>24</v>
      </c>
      <c r="AK41" s="29">
        <f t="shared" si="1"/>
        <v>1</v>
      </c>
      <c r="AL41" s="29">
        <f t="shared" si="2"/>
        <v>7</v>
      </c>
      <c r="AM41" s="29">
        <f t="shared" si="3"/>
        <v>1</v>
      </c>
      <c r="AN41" s="29">
        <f t="shared" si="4"/>
        <v>9</v>
      </c>
      <c r="AO41" s="50">
        <f t="shared" si="5"/>
        <v>0.1111111111111111</v>
      </c>
      <c r="AP41" s="49">
        <f t="shared" si="6"/>
        <v>0.77777777777777779</v>
      </c>
      <c r="AQ41" s="50">
        <f t="shared" si="7"/>
        <v>0.1111111111111111</v>
      </c>
    </row>
    <row r="42" spans="1:43" x14ac:dyDescent="0.35">
      <c r="A42" s="9"/>
      <c r="B42" s="9"/>
      <c r="C42" s="10" t="s">
        <v>80</v>
      </c>
      <c r="D42" s="9"/>
      <c r="E42" s="9"/>
      <c r="F42" s="9" t="s">
        <v>81</v>
      </c>
      <c r="G42" s="45" t="str">
        <f>IF(EASTERN!H41=0," ",EASTERN!H41)</f>
        <v>Yes</v>
      </c>
      <c r="H42" s="45" t="str">
        <f>IF(BROWARD!$H41=0," ",BROWARD!$H41)</f>
        <v>Partial</v>
      </c>
      <c r="I42" s="45" t="str">
        <f>IF(CENTRAL!$H41=0," ",CENTRAL!$H41)</f>
        <v xml:space="preserve"> </v>
      </c>
      <c r="J42" s="45" t="str">
        <f>IF(CHIPOLA!$H41=0," ",CHIPOLA!$H41)</f>
        <v xml:space="preserve"> </v>
      </c>
      <c r="K42" s="45" t="str">
        <f>IF(DAYTONA!$H41=0," ",DAYTONA!$H41)</f>
        <v xml:space="preserve"> </v>
      </c>
      <c r="L42" s="45" t="str">
        <f>IF(SOUTHWESTERN!$H41=0," ",SOUTHWESTERN!$H41)</f>
        <v xml:space="preserve"> </v>
      </c>
      <c r="M42" s="45" t="str">
        <f>IF('FSC JAX'!$H41=0," ",'FSC JAX'!$H41)</f>
        <v xml:space="preserve"> </v>
      </c>
      <c r="N42" s="45" t="str">
        <f>IF('FL KEYS'!$H41=0," ",'FL KEYS'!$H41)</f>
        <v>No</v>
      </c>
      <c r="O42" s="45" t="str">
        <f>IF('GULF COAST'!$H41=0," ",'GULF COAST'!$H41)</f>
        <v>Yes</v>
      </c>
      <c r="P42" s="45" t="str">
        <f>IF(HILLSBOROUGH!$H41=0," ",HILLSBOROUGH!$H41)</f>
        <v xml:space="preserve"> </v>
      </c>
      <c r="Q42" s="45" t="str">
        <f>IF('INDIAN RIVER'!$H41=0," ",'INDIAN RIVER'!$H41)</f>
        <v>No</v>
      </c>
      <c r="R42" s="45" t="str">
        <f>IF(GATEWAY!$H41=0," ",GATEWAY!$H41)</f>
        <v xml:space="preserve"> </v>
      </c>
      <c r="S42" s="45" t="str">
        <f>IF('LAKE SUMTER'!$H41=0," ",'LAKE SUMTER'!$H41)</f>
        <v xml:space="preserve"> </v>
      </c>
      <c r="T42" s="45" t="str">
        <f>IF('SCF MANATEE'!$H41=0," ",'SCF MANATEE'!$H41)</f>
        <v xml:space="preserve"> </v>
      </c>
      <c r="U42" s="45" t="str">
        <f>IF(MIAMI!$H41=0," ",MIAMI!$H41)</f>
        <v>No</v>
      </c>
      <c r="V42" s="45" t="str">
        <f>IF('NORTH FLORIDA'!$H41=0," ",'NORTH FLORIDA'!$H41)</f>
        <v xml:space="preserve"> </v>
      </c>
      <c r="W42" s="45" t="str">
        <f>IF('NORTHWEST FLORIDA'!$H41=0," ",'NORTHWEST FLORIDA'!$H41)</f>
        <v xml:space="preserve"> </v>
      </c>
      <c r="X42" s="45" t="str">
        <f>IF('PALM BEACH'!$H41=0," ",'PALM BEACH'!$H41)</f>
        <v>No</v>
      </c>
      <c r="Y42" s="45" t="str">
        <f>IF(PASCO!$H41=0," ",PASCO!$H41)</f>
        <v xml:space="preserve"> </v>
      </c>
      <c r="Z42" s="45" t="str">
        <f>IF(PENSACOLA!$H41=0," ",PENSACOLA!$H41)</f>
        <v xml:space="preserve"> </v>
      </c>
      <c r="AA42" s="45" t="str">
        <f>IF(POLK!$H41=0," ",POLK!$H41)</f>
        <v xml:space="preserve"> </v>
      </c>
      <c r="AB42" s="45" t="str">
        <f>IF('ST JOHNS'!$H41=0," ",'ST JOHNS'!$H41)</f>
        <v xml:space="preserve"> </v>
      </c>
      <c r="AC42" s="45" t="str">
        <f>IF('ST PETE'!$H41=0," ",'ST PETE'!$H41)</f>
        <v xml:space="preserve"> </v>
      </c>
      <c r="AD42" s="45" t="str">
        <f>IF('SANTA FE'!$H41=0," ",'SANTA FE'!$H41)</f>
        <v xml:space="preserve"> </v>
      </c>
      <c r="AE42" s="45" t="str">
        <f>IF(SEMINOLE!$H41=0," ",SEMINOLE!$H41)</f>
        <v>Yes</v>
      </c>
      <c r="AF42" s="45" t="str">
        <f>IF('SOUTH FLORIDA'!$H41=0," ",'SOUTH FLORIDA'!$H41)</f>
        <v xml:space="preserve"> </v>
      </c>
      <c r="AG42" s="45" t="str">
        <f>IF(TALLAHASSEE!$H41=0," ",TALLAHASSEE!$H41)</f>
        <v xml:space="preserve"> </v>
      </c>
      <c r="AH42" s="45" t="str">
        <f>IF(VALENCIA!$H41=0," ",VALENCIA!$H41)</f>
        <v>No</v>
      </c>
      <c r="AI42" s="43" t="s">
        <v>24</v>
      </c>
      <c r="AK42" s="29">
        <f t="shared" si="1"/>
        <v>3</v>
      </c>
      <c r="AL42" s="29">
        <f t="shared" si="2"/>
        <v>5</v>
      </c>
      <c r="AM42" s="29">
        <f t="shared" si="3"/>
        <v>1</v>
      </c>
      <c r="AN42" s="29">
        <f t="shared" si="4"/>
        <v>9</v>
      </c>
      <c r="AO42" s="50">
        <f t="shared" si="5"/>
        <v>0.33333333333333331</v>
      </c>
      <c r="AP42" s="49">
        <f t="shared" si="6"/>
        <v>0.55555555555555558</v>
      </c>
      <c r="AQ42" s="50">
        <f t="shared" si="7"/>
        <v>0.1111111111111111</v>
      </c>
    </row>
    <row r="43" spans="1:43" x14ac:dyDescent="0.35">
      <c r="A43" s="9"/>
      <c r="B43" s="9" t="s">
        <v>82</v>
      </c>
      <c r="C43" s="10"/>
      <c r="D43" s="9"/>
      <c r="E43" s="9" t="s">
        <v>83</v>
      </c>
      <c r="F43" s="9"/>
      <c r="G43" s="45" t="str">
        <f>IF(EASTERN!H42=0," ",EASTERN!H42)</f>
        <v xml:space="preserve"> </v>
      </c>
      <c r="H43" s="45" t="str">
        <f>IF(BROWARD!$H42=0," ",BROWARD!$H42)</f>
        <v xml:space="preserve"> </v>
      </c>
      <c r="I43" s="45" t="str">
        <f>IF(CENTRAL!$H42=0," ",CENTRAL!$H42)</f>
        <v xml:space="preserve"> </v>
      </c>
      <c r="J43" s="45" t="str">
        <f>IF(CHIPOLA!$H42=0," ",CHIPOLA!$H42)</f>
        <v xml:space="preserve"> </v>
      </c>
      <c r="K43" s="45" t="str">
        <f>IF(DAYTONA!$H42=0," ",DAYTONA!$H42)</f>
        <v xml:space="preserve"> </v>
      </c>
      <c r="L43" s="45" t="str">
        <f>IF(SOUTHWESTERN!$H42=0," ",SOUTHWESTERN!$H42)</f>
        <v xml:space="preserve"> </v>
      </c>
      <c r="M43" s="45" t="str">
        <f>IF('FSC JAX'!$H42=0," ",'FSC JAX'!$H42)</f>
        <v xml:space="preserve"> </v>
      </c>
      <c r="N43" s="45" t="str">
        <f>IF('FL KEYS'!$H42=0," ",'FL KEYS'!$H42)</f>
        <v xml:space="preserve"> </v>
      </c>
      <c r="O43" s="45" t="str">
        <f>IF('GULF COAST'!$H42=0," ",'GULF COAST'!$H42)</f>
        <v xml:space="preserve"> </v>
      </c>
      <c r="P43" s="45" t="str">
        <f>IF(HILLSBOROUGH!$H42=0," ",HILLSBOROUGH!$H42)</f>
        <v xml:space="preserve"> </v>
      </c>
      <c r="Q43" s="45" t="str">
        <f>IF('INDIAN RIVER'!$H42=0," ",'INDIAN RIVER'!$H42)</f>
        <v xml:space="preserve"> </v>
      </c>
      <c r="R43" s="45" t="str">
        <f>IF(GATEWAY!$H42=0," ",GATEWAY!$H42)</f>
        <v xml:space="preserve"> </v>
      </c>
      <c r="S43" s="45" t="str">
        <f>IF('LAKE SUMTER'!$H42=0," ",'LAKE SUMTER'!$H42)</f>
        <v xml:space="preserve"> </v>
      </c>
      <c r="T43" s="45" t="str">
        <f>IF('SCF MANATEE'!$H42=0," ",'SCF MANATEE'!$H42)</f>
        <v xml:space="preserve"> </v>
      </c>
      <c r="U43" s="45" t="str">
        <f>IF(MIAMI!$H42=0," ",MIAMI!$H42)</f>
        <v xml:space="preserve"> </v>
      </c>
      <c r="V43" s="45" t="str">
        <f>IF('NORTH FLORIDA'!$H42=0," ",'NORTH FLORIDA'!$H42)</f>
        <v xml:space="preserve"> </v>
      </c>
      <c r="W43" s="45" t="str">
        <f>IF('NORTHWEST FLORIDA'!$H42=0," ",'NORTHWEST FLORIDA'!$H42)</f>
        <v xml:space="preserve"> </v>
      </c>
      <c r="X43" s="45" t="str">
        <f>IF('PALM BEACH'!$H42=0," ",'PALM BEACH'!$H42)</f>
        <v xml:space="preserve"> </v>
      </c>
      <c r="Y43" s="45" t="str">
        <f>IF(PASCO!$H42=0," ",PASCO!$H42)</f>
        <v xml:space="preserve"> </v>
      </c>
      <c r="Z43" s="45" t="str">
        <f>IF(PENSACOLA!$H42=0," ",PENSACOLA!$H42)</f>
        <v xml:space="preserve"> </v>
      </c>
      <c r="AA43" s="45" t="str">
        <f>IF(POLK!$H42=0," ",POLK!$H42)</f>
        <v xml:space="preserve"> </v>
      </c>
      <c r="AB43" s="45" t="str">
        <f>IF('ST JOHNS'!$H42=0," ",'ST JOHNS'!$H42)</f>
        <v xml:space="preserve"> </v>
      </c>
      <c r="AC43" s="45" t="str">
        <f>IF('ST PETE'!$H42=0," ",'ST PETE'!$H42)</f>
        <v xml:space="preserve"> </v>
      </c>
      <c r="AD43" s="45" t="str">
        <f>IF('SANTA FE'!$H42=0," ",'SANTA FE'!$H42)</f>
        <v xml:space="preserve"> </v>
      </c>
      <c r="AE43" s="45" t="str">
        <f>IF(SEMINOLE!$H42=0," ",SEMINOLE!$H42)</f>
        <v xml:space="preserve"> </v>
      </c>
      <c r="AF43" s="45" t="str">
        <f>IF('SOUTH FLORIDA'!$H42=0," ",'SOUTH FLORIDA'!$H42)</f>
        <v xml:space="preserve"> </v>
      </c>
      <c r="AG43" s="45" t="str">
        <f>IF(TALLAHASSEE!$H42=0," ",TALLAHASSEE!$H42)</f>
        <v xml:space="preserve"> </v>
      </c>
      <c r="AH43" s="45" t="str">
        <f>IF(VALENCIA!$H42=0," ",VALENCIA!$H42)</f>
        <v xml:space="preserve"> </v>
      </c>
      <c r="AI43" s="43"/>
      <c r="AK43" s="29">
        <f t="shared" si="1"/>
        <v>0</v>
      </c>
      <c r="AL43" s="29">
        <f t="shared" si="2"/>
        <v>0</v>
      </c>
      <c r="AM43" s="29">
        <f t="shared" si="3"/>
        <v>0</v>
      </c>
      <c r="AN43" s="29">
        <f t="shared" si="4"/>
        <v>0</v>
      </c>
      <c r="AO43" s="50">
        <f t="shared" si="5"/>
        <v>0</v>
      </c>
      <c r="AP43" s="50">
        <f t="shared" si="6"/>
        <v>0</v>
      </c>
      <c r="AQ43" s="50">
        <f t="shared" si="7"/>
        <v>0</v>
      </c>
    </row>
    <row r="44" spans="1:43" x14ac:dyDescent="0.35">
      <c r="A44" s="9"/>
      <c r="B44" s="9"/>
      <c r="C44" s="10" t="s">
        <v>84</v>
      </c>
      <c r="D44" s="9"/>
      <c r="E44" s="9"/>
      <c r="F44" s="9" t="s">
        <v>85</v>
      </c>
      <c r="G44" s="45" t="str">
        <f>IF(EASTERN!H43=0," ",EASTERN!H43)</f>
        <v xml:space="preserve"> </v>
      </c>
      <c r="H44" s="45" t="str">
        <f>IF(BROWARD!$H43=0," ",BROWARD!$H43)</f>
        <v>No</v>
      </c>
      <c r="I44" s="45" t="str">
        <f>IF(CENTRAL!$H43=0," ",CENTRAL!$H43)</f>
        <v>no</v>
      </c>
      <c r="J44" s="45" t="str">
        <f>IF(CHIPOLA!$H43=0," ",CHIPOLA!$H43)</f>
        <v>Partial</v>
      </c>
      <c r="K44" s="45" t="str">
        <f>IF(DAYTONA!$H43=0," ",DAYTONA!$H43)</f>
        <v>No</v>
      </c>
      <c r="L44" s="45" t="str">
        <f>IF(SOUTHWESTERN!$H43=0," ",SOUTHWESTERN!$H43)</f>
        <v xml:space="preserve"> </v>
      </c>
      <c r="M44" s="45" t="str">
        <f>IF('FSC JAX'!$H43=0," ",'FSC JAX'!$H43)</f>
        <v xml:space="preserve"> </v>
      </c>
      <c r="N44" s="45" t="str">
        <f>IF('FL KEYS'!$H43=0," ",'FL KEYS'!$H43)</f>
        <v>No</v>
      </c>
      <c r="O44" s="45" t="str">
        <f>IF('GULF COAST'!$H43=0," ",'GULF COAST'!$H43)</f>
        <v>No</v>
      </c>
      <c r="P44" s="45" t="str">
        <f>IF(HILLSBOROUGH!$H43=0," ",HILLSBOROUGH!$H43)</f>
        <v>No</v>
      </c>
      <c r="Q44" s="45" t="str">
        <f>IF('INDIAN RIVER'!$H43=0," ",'INDIAN RIVER'!$H43)</f>
        <v xml:space="preserve"> </v>
      </c>
      <c r="R44" s="45" t="str">
        <f>IF(GATEWAY!$H43=0," ",GATEWAY!$H43)</f>
        <v xml:space="preserve"> </v>
      </c>
      <c r="S44" s="45" t="str">
        <f>IF('LAKE SUMTER'!$H43=0," ",'LAKE SUMTER'!$H43)</f>
        <v>No</v>
      </c>
      <c r="T44" s="45" t="str">
        <f>IF('SCF MANATEE'!$H43=0," ",'SCF MANATEE'!$H43)</f>
        <v xml:space="preserve"> </v>
      </c>
      <c r="U44" s="45" t="str">
        <f>IF(MIAMI!$H43=0," ",MIAMI!$H43)</f>
        <v>No</v>
      </c>
      <c r="V44" s="45" t="str">
        <f>IF('NORTH FLORIDA'!$H43=0," ",'NORTH FLORIDA'!$H43)</f>
        <v>No</v>
      </c>
      <c r="W44" s="45" t="str">
        <f>IF('NORTHWEST FLORIDA'!$H43=0," ",'NORTHWEST FLORIDA'!$H43)</f>
        <v>Partial</v>
      </c>
      <c r="X44" s="45" t="str">
        <f>IF('PALM BEACH'!$H43=0," ",'PALM BEACH'!$H43)</f>
        <v xml:space="preserve"> </v>
      </c>
      <c r="Y44" s="45" t="str">
        <f>IF(PASCO!$H43=0," ",PASCO!$H43)</f>
        <v>No</v>
      </c>
      <c r="Z44" s="45" t="str">
        <f>IF(PENSACOLA!$H43=0," ",PENSACOLA!$H43)</f>
        <v>no</v>
      </c>
      <c r="AA44" s="45" t="str">
        <f>IF(POLK!$H43=0," ",POLK!$H43)</f>
        <v>No</v>
      </c>
      <c r="AB44" s="45" t="str">
        <f>IF('ST JOHNS'!$H43=0," ",'ST JOHNS'!$H43)</f>
        <v>Partial</v>
      </c>
      <c r="AC44" s="45" t="str">
        <f>IF('ST PETE'!$H43=0," ",'ST PETE'!$H43)</f>
        <v>Yes</v>
      </c>
      <c r="AD44" s="45" t="str">
        <f>IF('SANTA FE'!$H43=0," ",'SANTA FE'!$H43)</f>
        <v>Partial</v>
      </c>
      <c r="AE44" s="45" t="str">
        <f>IF(SEMINOLE!$H43=0," ",SEMINOLE!$H43)</f>
        <v>No</v>
      </c>
      <c r="AF44" s="45" t="str">
        <f>IF('SOUTH FLORIDA'!$H43=0," ",'SOUTH FLORIDA'!$H43)</f>
        <v>No</v>
      </c>
      <c r="AG44" s="45" t="str">
        <f>IF(TALLAHASSEE!$H43=0," ",TALLAHASSEE!$H43)</f>
        <v>No</v>
      </c>
      <c r="AH44" s="45" t="str">
        <f>IF(VALENCIA!$H43=0," ",VALENCIA!$H43)</f>
        <v xml:space="preserve"> </v>
      </c>
      <c r="AI44" s="43" t="s">
        <v>24</v>
      </c>
      <c r="AK44" s="29">
        <f t="shared" si="1"/>
        <v>1</v>
      </c>
      <c r="AL44" s="29">
        <f t="shared" si="2"/>
        <v>15</v>
      </c>
      <c r="AM44" s="29">
        <f t="shared" si="3"/>
        <v>4</v>
      </c>
      <c r="AN44" s="29">
        <f t="shared" si="4"/>
        <v>20</v>
      </c>
      <c r="AO44" s="50">
        <f t="shared" si="5"/>
        <v>0.05</v>
      </c>
      <c r="AP44" s="49">
        <f t="shared" si="6"/>
        <v>0.75</v>
      </c>
      <c r="AQ44" s="50">
        <f t="shared" si="7"/>
        <v>0.2</v>
      </c>
    </row>
    <row r="45" spans="1:43" x14ac:dyDescent="0.35">
      <c r="A45" s="9"/>
      <c r="B45" s="9"/>
      <c r="C45" s="10" t="s">
        <v>86</v>
      </c>
      <c r="D45" s="9"/>
      <c r="E45" s="9"/>
      <c r="F45" s="9" t="s">
        <v>87</v>
      </c>
      <c r="G45" s="45" t="str">
        <f>IF(EASTERN!H44=0," ",EASTERN!H44)</f>
        <v>No</v>
      </c>
      <c r="H45" s="45" t="str">
        <f>IF(BROWARD!$H44=0," ",BROWARD!$H44)</f>
        <v xml:space="preserve"> </v>
      </c>
      <c r="I45" s="45" t="str">
        <f>IF(CENTRAL!$H44=0," ",CENTRAL!$H44)</f>
        <v xml:space="preserve"> </v>
      </c>
      <c r="J45" s="45" t="str">
        <f>IF(CHIPOLA!$H44=0," ",CHIPOLA!$H44)</f>
        <v xml:space="preserve"> </v>
      </c>
      <c r="K45" s="45" t="str">
        <f>IF(DAYTONA!$H44=0," ",DAYTONA!$H44)</f>
        <v>No</v>
      </c>
      <c r="L45" s="45" t="str">
        <f>IF(SOUTHWESTERN!$H44=0," ",SOUTHWESTERN!$H44)</f>
        <v>Partial</v>
      </c>
      <c r="M45" s="45" t="str">
        <f>IF('FSC JAX'!$H44=0," ",'FSC JAX'!$H44)</f>
        <v>No</v>
      </c>
      <c r="N45" s="45" t="str">
        <f>IF('FL KEYS'!$H44=0," ",'FL KEYS'!$H44)</f>
        <v>No</v>
      </c>
      <c r="O45" s="45" t="str">
        <f>IF('GULF COAST'!$H44=0," ",'GULF COAST'!$H44)</f>
        <v>No</v>
      </c>
      <c r="P45" s="45" t="str">
        <f>IF(HILLSBOROUGH!$H44=0," ",HILLSBOROUGH!$H44)</f>
        <v>Partial</v>
      </c>
      <c r="Q45" s="45" t="str">
        <f>IF('INDIAN RIVER'!$H44=0," ",'INDIAN RIVER'!$H44)</f>
        <v>No</v>
      </c>
      <c r="R45" s="45" t="str">
        <f>IF(GATEWAY!$H44=0," ",GATEWAY!$H44)</f>
        <v>Partial</v>
      </c>
      <c r="S45" s="45" t="str">
        <f>IF('LAKE SUMTER'!$H44=0," ",'LAKE SUMTER'!$H44)</f>
        <v xml:space="preserve"> </v>
      </c>
      <c r="T45" s="45" t="str">
        <f>IF('SCF MANATEE'!$H44=0," ",'SCF MANATEE'!$H44)</f>
        <v>Partial</v>
      </c>
      <c r="U45" s="45" t="str">
        <f>IF(MIAMI!$H44=0," ",MIAMI!$H44)</f>
        <v>No</v>
      </c>
      <c r="V45" s="45" t="str">
        <f>IF('NORTH FLORIDA'!$H44=0," ",'NORTH FLORIDA'!$H44)</f>
        <v xml:space="preserve"> </v>
      </c>
      <c r="W45" s="45" t="str">
        <f>IF('NORTHWEST FLORIDA'!$H44=0," ",'NORTHWEST FLORIDA'!$H44)</f>
        <v>No</v>
      </c>
      <c r="X45" s="45" t="str">
        <f>IF('PALM BEACH'!$H44=0," ",'PALM BEACH'!$H44)</f>
        <v>Yes</v>
      </c>
      <c r="Y45" s="45" t="str">
        <f>IF(PASCO!$H44=0," ",PASCO!$H44)</f>
        <v>No</v>
      </c>
      <c r="Z45" s="45" t="str">
        <f>IF(PENSACOLA!$H44=0," ",PENSACOLA!$H44)</f>
        <v xml:space="preserve"> </v>
      </c>
      <c r="AA45" s="45" t="str">
        <f>IF(POLK!$H44=0," ",POLK!$H44)</f>
        <v>No</v>
      </c>
      <c r="AB45" s="45" t="str">
        <f>IF('ST JOHNS'!$H44=0," ",'ST JOHNS'!$H44)</f>
        <v xml:space="preserve"> </v>
      </c>
      <c r="AC45" s="45" t="str">
        <f>IF('ST PETE'!$H44=0," ",'ST PETE'!$H44)</f>
        <v>Yes</v>
      </c>
      <c r="AD45" s="45" t="str">
        <f>IF('SANTA FE'!$H44=0," ",'SANTA FE'!$H44)</f>
        <v>Partial</v>
      </c>
      <c r="AE45" s="45" t="str">
        <f>IF(SEMINOLE!$H44=0," ",SEMINOLE!$H44)</f>
        <v>No</v>
      </c>
      <c r="AF45" s="45" t="str">
        <f>IF('SOUTH FLORIDA'!$H44=0," ",'SOUTH FLORIDA'!$H44)</f>
        <v xml:space="preserve"> </v>
      </c>
      <c r="AG45" s="45" t="str">
        <f>IF(TALLAHASSEE!$H44=0," ",TALLAHASSEE!$H44)</f>
        <v xml:space="preserve"> </v>
      </c>
      <c r="AH45" s="45" t="str">
        <f>IF(VALENCIA!$H44=0," ",VALENCIA!$H44)</f>
        <v>No</v>
      </c>
      <c r="AI45" s="43" t="s">
        <v>24</v>
      </c>
      <c r="AK45" s="29">
        <f t="shared" si="1"/>
        <v>2</v>
      </c>
      <c r="AL45" s="29">
        <f t="shared" si="2"/>
        <v>12</v>
      </c>
      <c r="AM45" s="29">
        <f t="shared" si="3"/>
        <v>5</v>
      </c>
      <c r="AN45" s="29">
        <f t="shared" si="4"/>
        <v>19</v>
      </c>
      <c r="AO45" s="50">
        <f t="shared" si="5"/>
        <v>0.10526315789473684</v>
      </c>
      <c r="AP45" s="49">
        <f t="shared" si="6"/>
        <v>0.63157894736842102</v>
      </c>
      <c r="AQ45" s="50">
        <f t="shared" si="7"/>
        <v>0.26315789473684209</v>
      </c>
    </row>
    <row r="46" spans="1:43" x14ac:dyDescent="0.35">
      <c r="A46" s="9"/>
      <c r="B46" s="9"/>
      <c r="C46" s="10" t="s">
        <v>88</v>
      </c>
      <c r="D46" s="9"/>
      <c r="E46" s="9"/>
      <c r="F46" s="9" t="s">
        <v>89</v>
      </c>
      <c r="G46" s="45" t="str">
        <f>IF(EASTERN!H45=0," ",EASTERN!H45)</f>
        <v xml:space="preserve"> </v>
      </c>
      <c r="H46" s="45" t="str">
        <f>IF(BROWARD!$H45=0," ",BROWARD!$H45)</f>
        <v xml:space="preserve"> </v>
      </c>
      <c r="I46" s="45" t="str">
        <f>IF(CENTRAL!$H45=0," ",CENTRAL!$H45)</f>
        <v xml:space="preserve"> </v>
      </c>
      <c r="J46" s="45" t="str">
        <f>IF(CHIPOLA!$H45=0," ",CHIPOLA!$H45)</f>
        <v xml:space="preserve"> </v>
      </c>
      <c r="K46" s="45" t="str">
        <f>IF(DAYTONA!$H45=0," ",DAYTONA!$H45)</f>
        <v>Yes</v>
      </c>
      <c r="L46" s="45" t="str">
        <f>IF(SOUTHWESTERN!$H45=0," ",SOUTHWESTERN!$H45)</f>
        <v xml:space="preserve"> </v>
      </c>
      <c r="M46" s="45" t="str">
        <f>IF('FSC JAX'!$H45=0," ",'FSC JAX'!$H45)</f>
        <v xml:space="preserve"> </v>
      </c>
      <c r="N46" s="45" t="str">
        <f>IF('FL KEYS'!$H45=0," ",'FL KEYS'!$H45)</f>
        <v xml:space="preserve"> </v>
      </c>
      <c r="O46" s="45" t="str">
        <f>IF('GULF COAST'!$H45=0," ",'GULF COAST'!$H45)</f>
        <v xml:space="preserve"> </v>
      </c>
      <c r="P46" s="45" t="str">
        <f>IF(HILLSBOROUGH!$H45=0," ",HILLSBOROUGH!$H45)</f>
        <v>No</v>
      </c>
      <c r="Q46" s="45" t="str">
        <f>IF('INDIAN RIVER'!$H45=0," ",'INDIAN RIVER'!$H45)</f>
        <v xml:space="preserve"> </v>
      </c>
      <c r="R46" s="45" t="str">
        <f>IF(GATEWAY!$H45=0," ",GATEWAY!$H45)</f>
        <v>No</v>
      </c>
      <c r="S46" s="45" t="str">
        <f>IF('LAKE SUMTER'!$H45=0," ",'LAKE SUMTER'!$H45)</f>
        <v xml:space="preserve"> </v>
      </c>
      <c r="T46" s="45" t="str">
        <f>IF('SCF MANATEE'!$H45=0," ",'SCF MANATEE'!$H45)</f>
        <v>Partial</v>
      </c>
      <c r="U46" s="45" t="str">
        <f>IF(MIAMI!$H45=0," ",MIAMI!$H45)</f>
        <v>No</v>
      </c>
      <c r="V46" s="45" t="str">
        <f>IF('NORTH FLORIDA'!$H45=0," ",'NORTH FLORIDA'!$H45)</f>
        <v xml:space="preserve"> </v>
      </c>
      <c r="W46" s="45" t="str">
        <f>IF('NORTHWEST FLORIDA'!$H45=0," ",'NORTHWEST FLORIDA'!$H45)</f>
        <v xml:space="preserve"> </v>
      </c>
      <c r="X46" s="45" t="str">
        <f>IF('PALM BEACH'!$H45=0," ",'PALM BEACH'!$H45)</f>
        <v>No</v>
      </c>
      <c r="Y46" s="45" t="str">
        <f>IF(PASCO!$H45=0," ",PASCO!$H45)</f>
        <v xml:space="preserve"> </v>
      </c>
      <c r="Z46" s="45" t="str">
        <f>IF(PENSACOLA!$H45=0," ",PENSACOLA!$H45)</f>
        <v xml:space="preserve"> </v>
      </c>
      <c r="AA46" s="45" t="str">
        <f>IF(POLK!$H45=0," ",POLK!$H45)</f>
        <v xml:space="preserve"> </v>
      </c>
      <c r="AB46" s="45" t="str">
        <f>IF('ST JOHNS'!$H45=0," ",'ST JOHNS'!$H45)</f>
        <v xml:space="preserve"> </v>
      </c>
      <c r="AC46" s="45" t="str">
        <f>IF('ST PETE'!$H45=0," ",'ST PETE'!$H45)</f>
        <v>Yes</v>
      </c>
      <c r="AD46" s="45" t="str">
        <f>IF('SANTA FE'!$H45=0," ",'SANTA FE'!$H45)</f>
        <v xml:space="preserve"> </v>
      </c>
      <c r="AE46" s="45" t="str">
        <f>IF(SEMINOLE!$H45=0," ",SEMINOLE!$H45)</f>
        <v>No</v>
      </c>
      <c r="AF46" s="45" t="str">
        <f>IF('SOUTH FLORIDA'!$H45=0," ",'SOUTH FLORIDA'!$H45)</f>
        <v xml:space="preserve"> </v>
      </c>
      <c r="AG46" s="45" t="str">
        <f>IF(TALLAHASSEE!$H45=0," ",TALLAHASSEE!$H45)</f>
        <v xml:space="preserve"> </v>
      </c>
      <c r="AH46" s="45" t="str">
        <f>IF(VALENCIA!$H45=0," ",VALENCIA!$H45)</f>
        <v xml:space="preserve"> </v>
      </c>
      <c r="AI46" s="43" t="s">
        <v>24</v>
      </c>
      <c r="AK46" s="29">
        <f t="shared" si="1"/>
        <v>2</v>
      </c>
      <c r="AL46" s="29">
        <f t="shared" si="2"/>
        <v>5</v>
      </c>
      <c r="AM46" s="29">
        <f t="shared" si="3"/>
        <v>1</v>
      </c>
      <c r="AN46" s="29">
        <f t="shared" si="4"/>
        <v>8</v>
      </c>
      <c r="AO46" s="50">
        <f t="shared" si="5"/>
        <v>0.25</v>
      </c>
      <c r="AP46" s="49">
        <f t="shared" si="6"/>
        <v>0.625</v>
      </c>
      <c r="AQ46" s="50">
        <f t="shared" si="7"/>
        <v>0.125</v>
      </c>
    </row>
    <row r="47" spans="1:43" x14ac:dyDescent="0.35">
      <c r="A47" s="9"/>
      <c r="B47" s="9"/>
      <c r="C47" s="10" t="s">
        <v>90</v>
      </c>
      <c r="D47" s="9"/>
      <c r="E47" s="9"/>
      <c r="F47" s="9" t="s">
        <v>91</v>
      </c>
      <c r="G47" s="45" t="str">
        <f>IF(EASTERN!H46=0," ",EASTERN!H46)</f>
        <v xml:space="preserve"> </v>
      </c>
      <c r="H47" s="45" t="str">
        <f>IF(BROWARD!$H46=0," ",BROWARD!$H46)</f>
        <v xml:space="preserve"> </v>
      </c>
      <c r="I47" s="45" t="str">
        <f>IF(CENTRAL!$H46=0," ",CENTRAL!$H46)</f>
        <v xml:space="preserve"> </v>
      </c>
      <c r="J47" s="45" t="str">
        <f>IF(CHIPOLA!$H46=0," ",CHIPOLA!$H46)</f>
        <v xml:space="preserve"> </v>
      </c>
      <c r="K47" s="45" t="str">
        <f>IF(DAYTONA!$H46=0," ",DAYTONA!$H46)</f>
        <v>No</v>
      </c>
      <c r="L47" s="45" t="str">
        <f>IF(SOUTHWESTERN!$H46=0," ",SOUTHWESTERN!$H46)</f>
        <v xml:space="preserve"> </v>
      </c>
      <c r="M47" s="45" t="str">
        <f>IF('FSC JAX'!$H46=0," ",'FSC JAX'!$H46)</f>
        <v xml:space="preserve"> </v>
      </c>
      <c r="N47" s="45" t="str">
        <f>IF('FL KEYS'!$H46=0," ",'FL KEYS'!$H46)</f>
        <v xml:space="preserve"> </v>
      </c>
      <c r="O47" s="45" t="str">
        <f>IF('GULF COAST'!$H46=0," ",'GULF COAST'!$H46)</f>
        <v xml:space="preserve"> </v>
      </c>
      <c r="P47" s="45" t="str">
        <f>IF(HILLSBOROUGH!$H46=0," ",HILLSBOROUGH!$H46)</f>
        <v>No</v>
      </c>
      <c r="Q47" s="45" t="str">
        <f>IF('INDIAN RIVER'!$H46=0," ",'INDIAN RIVER'!$H46)</f>
        <v xml:space="preserve"> </v>
      </c>
      <c r="R47" s="45" t="str">
        <f>IF(GATEWAY!$H46=0," ",GATEWAY!$H46)</f>
        <v xml:space="preserve"> </v>
      </c>
      <c r="S47" s="45" t="str">
        <f>IF('LAKE SUMTER'!$H46=0," ",'LAKE SUMTER'!$H46)</f>
        <v xml:space="preserve"> </v>
      </c>
      <c r="T47" s="45" t="str">
        <f>IF('SCF MANATEE'!$H46=0," ",'SCF MANATEE'!$H46)</f>
        <v xml:space="preserve"> </v>
      </c>
      <c r="U47" s="45" t="str">
        <f>IF(MIAMI!$H46=0," ",MIAMI!$H46)</f>
        <v>No</v>
      </c>
      <c r="V47" s="45" t="str">
        <f>IF('NORTH FLORIDA'!$H46=0," ",'NORTH FLORIDA'!$H46)</f>
        <v xml:space="preserve"> </v>
      </c>
      <c r="W47" s="45" t="str">
        <f>IF('NORTHWEST FLORIDA'!$H46=0," ",'NORTHWEST FLORIDA'!$H46)</f>
        <v xml:space="preserve"> </v>
      </c>
      <c r="X47" s="45" t="str">
        <f>IF('PALM BEACH'!$H46=0," ",'PALM BEACH'!$H46)</f>
        <v>No</v>
      </c>
      <c r="Y47" s="45" t="str">
        <f>IF(PASCO!$H46=0," ",PASCO!$H46)</f>
        <v>No</v>
      </c>
      <c r="Z47" s="45" t="str">
        <f>IF(PENSACOLA!$H46=0," ",PENSACOLA!$H46)</f>
        <v xml:space="preserve"> </v>
      </c>
      <c r="AA47" s="45" t="str">
        <f>IF(POLK!$H46=0," ",POLK!$H46)</f>
        <v xml:space="preserve"> </v>
      </c>
      <c r="AB47" s="45" t="str">
        <f>IF('ST JOHNS'!$H46=0," ",'ST JOHNS'!$H46)</f>
        <v xml:space="preserve"> </v>
      </c>
      <c r="AC47" s="45" t="str">
        <f>IF('ST PETE'!$H46=0," ",'ST PETE'!$H46)</f>
        <v>Yes</v>
      </c>
      <c r="AD47" s="45" t="str">
        <f>IF('SANTA FE'!$H46=0," ",'SANTA FE'!$H46)</f>
        <v>Partial</v>
      </c>
      <c r="AE47" s="45" t="str">
        <f>IF(SEMINOLE!$H46=0," ",SEMINOLE!$H46)</f>
        <v xml:space="preserve"> </v>
      </c>
      <c r="AF47" s="45" t="str">
        <f>IF('SOUTH FLORIDA'!$H46=0," ",'SOUTH FLORIDA'!$H46)</f>
        <v xml:space="preserve"> </v>
      </c>
      <c r="AG47" s="45" t="str">
        <f>IF(TALLAHASSEE!$H46=0," ",TALLAHASSEE!$H46)</f>
        <v xml:space="preserve"> </v>
      </c>
      <c r="AH47" s="45" t="str">
        <f>IF(VALENCIA!$H46=0," ",VALENCIA!$H46)</f>
        <v xml:space="preserve"> </v>
      </c>
      <c r="AI47" s="43" t="s">
        <v>24</v>
      </c>
      <c r="AK47" s="29">
        <f t="shared" si="1"/>
        <v>1</v>
      </c>
      <c r="AL47" s="29">
        <f t="shared" si="2"/>
        <v>5</v>
      </c>
      <c r="AM47" s="29">
        <f t="shared" si="3"/>
        <v>1</v>
      </c>
      <c r="AN47" s="29">
        <f t="shared" si="4"/>
        <v>7</v>
      </c>
      <c r="AO47" s="50">
        <f t="shared" si="5"/>
        <v>0.14285714285714285</v>
      </c>
      <c r="AP47" s="49">
        <f t="shared" si="6"/>
        <v>0.7142857142857143</v>
      </c>
      <c r="AQ47" s="50">
        <f t="shared" si="7"/>
        <v>0.14285714285714285</v>
      </c>
    </row>
    <row r="48" spans="1:43" x14ac:dyDescent="0.35">
      <c r="A48" s="9"/>
      <c r="B48" s="9"/>
      <c r="C48" s="10" t="s">
        <v>92</v>
      </c>
      <c r="D48" s="9"/>
      <c r="E48" s="9"/>
      <c r="F48" s="9" t="s">
        <v>93</v>
      </c>
      <c r="G48" s="45" t="str">
        <f>IF(EASTERN!H47=0," ",EASTERN!H47)</f>
        <v>Yes</v>
      </c>
      <c r="H48" s="45" t="str">
        <f>IF(BROWARD!$H47=0," ",BROWARD!$H47)</f>
        <v>Partial</v>
      </c>
      <c r="I48" s="45" t="str">
        <f>IF(CENTRAL!$H47=0," ",CENTRAL!$H47)</f>
        <v>Partial</v>
      </c>
      <c r="J48" s="45" t="str">
        <f>IF(CHIPOLA!$H47=0," ",CHIPOLA!$H47)</f>
        <v>Yes</v>
      </c>
      <c r="K48" s="45" t="str">
        <f>IF(DAYTONA!$H47=0," ",DAYTONA!$H47)</f>
        <v>Yes</v>
      </c>
      <c r="L48" s="45" t="str">
        <f>IF(SOUTHWESTERN!$H47=0," ",SOUTHWESTERN!$H47)</f>
        <v>Yes</v>
      </c>
      <c r="M48" s="45" t="str">
        <f>IF('FSC JAX'!$H47=0," ",'FSC JAX'!$H47)</f>
        <v>Yes</v>
      </c>
      <c r="N48" s="45" t="str">
        <f>IF('FL KEYS'!$H47=0," ",'FL KEYS'!$H47)</f>
        <v>Yes</v>
      </c>
      <c r="O48" s="45" t="str">
        <f>IF('GULF COAST'!$H47=0," ",'GULF COAST'!$H47)</f>
        <v>Yes</v>
      </c>
      <c r="P48" s="45" t="str">
        <f>IF(HILLSBOROUGH!$H47=0," ",HILLSBOROUGH!$H47)</f>
        <v>Yes</v>
      </c>
      <c r="Q48" s="45" t="str">
        <f>IF('INDIAN RIVER'!$H47=0," ",'INDIAN RIVER'!$H47)</f>
        <v>Partial</v>
      </c>
      <c r="R48" s="45" t="str">
        <f>IF(GATEWAY!$H47=0," ",GATEWAY!$H47)</f>
        <v>Yes</v>
      </c>
      <c r="S48" s="45" t="str">
        <f>IF('LAKE SUMTER'!$H47=0," ",'LAKE SUMTER'!$H47)</f>
        <v>Yes</v>
      </c>
      <c r="T48" s="45" t="str">
        <f>IF('SCF MANATEE'!$H47=0," ",'SCF MANATEE'!$H47)</f>
        <v>Partial</v>
      </c>
      <c r="U48" s="45" t="str">
        <f>IF(MIAMI!$H47=0," ",MIAMI!$H47)</f>
        <v>Yes</v>
      </c>
      <c r="V48" s="45" t="str">
        <f>IF('NORTH FLORIDA'!$H47=0," ",'NORTH FLORIDA'!$H47)</f>
        <v>Yes</v>
      </c>
      <c r="W48" s="45" t="str">
        <f>IF('NORTHWEST FLORIDA'!$H47=0," ",'NORTHWEST FLORIDA'!$H47)</f>
        <v>Yes</v>
      </c>
      <c r="X48" s="45" t="str">
        <f>IF('PALM BEACH'!$H47=0," ",'PALM BEACH'!$H47)</f>
        <v>Yes</v>
      </c>
      <c r="Y48" s="45" t="str">
        <f>IF(PASCO!$H47=0," ",PASCO!$H47)</f>
        <v>Yes</v>
      </c>
      <c r="Z48" s="45" t="str">
        <f>IF(PENSACOLA!$H47=0," ",PENSACOLA!$H47)</f>
        <v>yes</v>
      </c>
      <c r="AA48" s="45" t="str">
        <f>IF(POLK!$H47=0," ",POLK!$H47)</f>
        <v>Yes</v>
      </c>
      <c r="AB48" s="45" t="str">
        <f>IF('ST JOHNS'!$H47=0," ",'ST JOHNS'!$H47)</f>
        <v>Yes</v>
      </c>
      <c r="AC48" s="45" t="str">
        <f>IF('ST PETE'!$H47=0," ",'ST PETE'!$H47)</f>
        <v>Partial</v>
      </c>
      <c r="AD48" s="45" t="str">
        <f>IF('SANTA FE'!$H47=0," ",'SANTA FE'!$H47)</f>
        <v>Partial</v>
      </c>
      <c r="AE48" s="45" t="str">
        <f>IF(SEMINOLE!$H47=0," ",SEMINOLE!$H47)</f>
        <v>Partial</v>
      </c>
      <c r="AF48" s="45" t="str">
        <f>IF('SOUTH FLORIDA'!$H47=0," ",'SOUTH FLORIDA'!$H47)</f>
        <v>Yes</v>
      </c>
      <c r="AG48" s="45" t="str">
        <f>IF(TALLAHASSEE!$H47=0," ",TALLAHASSEE!$H47)</f>
        <v>Yes</v>
      </c>
      <c r="AH48" s="45" t="str">
        <f>IF(VALENCIA!$H47=0," ",VALENCIA!$H47)</f>
        <v>Yes</v>
      </c>
      <c r="AI48" s="43" t="s">
        <v>15</v>
      </c>
      <c r="AK48" s="29">
        <f t="shared" si="1"/>
        <v>21</v>
      </c>
      <c r="AL48" s="29">
        <f t="shared" si="2"/>
        <v>0</v>
      </c>
      <c r="AM48" s="29">
        <f t="shared" si="3"/>
        <v>7</v>
      </c>
      <c r="AN48" s="29">
        <f t="shared" si="4"/>
        <v>28</v>
      </c>
      <c r="AO48" s="49">
        <f t="shared" si="5"/>
        <v>0.75</v>
      </c>
      <c r="AP48" s="50">
        <f t="shared" si="6"/>
        <v>0</v>
      </c>
      <c r="AQ48" s="50">
        <f t="shared" si="7"/>
        <v>0.25</v>
      </c>
    </row>
    <row r="49" spans="1:43" x14ac:dyDescent="0.35">
      <c r="A49" s="9"/>
      <c r="B49" s="9"/>
      <c r="C49" s="10" t="s">
        <v>94</v>
      </c>
      <c r="D49" s="9"/>
      <c r="E49" s="9"/>
      <c r="F49" s="9" t="s">
        <v>95</v>
      </c>
      <c r="G49" s="45" t="str">
        <f>IF(EASTERN!H48=0," ",EASTERN!H48)</f>
        <v xml:space="preserve"> </v>
      </c>
      <c r="H49" s="45" t="str">
        <f>IF(BROWARD!$H48=0," ",BROWARD!$H48)</f>
        <v xml:space="preserve"> </v>
      </c>
      <c r="I49" s="45" t="str">
        <f>IF(CENTRAL!$H48=0," ",CENTRAL!$H48)</f>
        <v xml:space="preserve"> </v>
      </c>
      <c r="J49" s="45" t="str">
        <f>IF(CHIPOLA!$H48=0," ",CHIPOLA!$H48)</f>
        <v xml:space="preserve"> </v>
      </c>
      <c r="K49" s="45" t="str">
        <f>IF(DAYTONA!$H48=0," ",DAYTONA!$H48)</f>
        <v xml:space="preserve"> </v>
      </c>
      <c r="L49" s="45" t="str">
        <f>IF(SOUTHWESTERN!$H48=0," ",SOUTHWESTERN!$H48)</f>
        <v xml:space="preserve"> </v>
      </c>
      <c r="M49" s="45" t="str">
        <f>IF('FSC JAX'!$H48=0," ",'FSC JAX'!$H48)</f>
        <v>No</v>
      </c>
      <c r="N49" s="45" t="str">
        <f>IF('FL KEYS'!$H48=0," ",'FL KEYS'!$H48)</f>
        <v xml:space="preserve"> </v>
      </c>
      <c r="O49" s="45" t="str">
        <f>IF('GULF COAST'!$H48=0," ",'GULF COAST'!$H48)</f>
        <v xml:space="preserve"> </v>
      </c>
      <c r="P49" s="45" t="str">
        <f>IF(HILLSBOROUGH!$H48=0," ",HILLSBOROUGH!$H48)</f>
        <v xml:space="preserve"> </v>
      </c>
      <c r="Q49" s="45" t="str">
        <f>IF('INDIAN RIVER'!$H48=0," ",'INDIAN RIVER'!$H48)</f>
        <v xml:space="preserve"> </v>
      </c>
      <c r="R49" s="45" t="str">
        <f>IF(GATEWAY!$H48=0," ",GATEWAY!$H48)</f>
        <v xml:space="preserve"> </v>
      </c>
      <c r="S49" s="45" t="str">
        <f>IF('LAKE SUMTER'!$H48=0," ",'LAKE SUMTER'!$H48)</f>
        <v xml:space="preserve"> </v>
      </c>
      <c r="T49" s="45" t="str">
        <f>IF('SCF MANATEE'!$H48=0," ",'SCF MANATEE'!$H48)</f>
        <v xml:space="preserve"> </v>
      </c>
      <c r="U49" s="45" t="str">
        <f>IF(MIAMI!$H48=0," ",MIAMI!$H48)</f>
        <v>Yes</v>
      </c>
      <c r="V49" s="45" t="str">
        <f>IF('NORTH FLORIDA'!$H48=0," ",'NORTH FLORIDA'!$H48)</f>
        <v xml:space="preserve"> </v>
      </c>
      <c r="W49" s="45" t="str">
        <f>IF('NORTHWEST FLORIDA'!$H48=0," ",'NORTHWEST FLORIDA'!$H48)</f>
        <v>No</v>
      </c>
      <c r="X49" s="45" t="str">
        <f>IF('PALM BEACH'!$H48=0," ",'PALM BEACH'!$H48)</f>
        <v xml:space="preserve"> </v>
      </c>
      <c r="Y49" s="45" t="str">
        <f>IF(PASCO!$H48=0," ",PASCO!$H48)</f>
        <v xml:space="preserve"> </v>
      </c>
      <c r="Z49" s="45" t="str">
        <f>IF(PENSACOLA!$H48=0," ",PENSACOLA!$H48)</f>
        <v xml:space="preserve"> </v>
      </c>
      <c r="AA49" s="45" t="str">
        <f>IF(POLK!$H48=0," ",POLK!$H48)</f>
        <v>No</v>
      </c>
      <c r="AB49" s="45" t="str">
        <f>IF('ST JOHNS'!$H48=0," ",'ST JOHNS'!$H48)</f>
        <v xml:space="preserve"> </v>
      </c>
      <c r="AC49" s="45" t="str">
        <f>IF('ST PETE'!$H48=0," ",'ST PETE'!$H48)</f>
        <v xml:space="preserve"> </v>
      </c>
      <c r="AD49" s="45" t="str">
        <f>IF('SANTA FE'!$H48=0," ",'SANTA FE'!$H48)</f>
        <v xml:space="preserve"> </v>
      </c>
      <c r="AE49" s="45" t="str">
        <f>IF(SEMINOLE!$H48=0," ",SEMINOLE!$H48)</f>
        <v xml:space="preserve"> </v>
      </c>
      <c r="AF49" s="45" t="str">
        <f>IF('SOUTH FLORIDA'!$H48=0," ",'SOUTH FLORIDA'!$H48)</f>
        <v xml:space="preserve"> </v>
      </c>
      <c r="AG49" s="45" t="str">
        <f>IF(TALLAHASSEE!$H48=0," ",TALLAHASSEE!$H48)</f>
        <v xml:space="preserve"> </v>
      </c>
      <c r="AH49" s="45" t="str">
        <f>IF(VALENCIA!$H48=0," ",VALENCIA!$H48)</f>
        <v xml:space="preserve"> </v>
      </c>
      <c r="AI49" s="43" t="s">
        <v>15</v>
      </c>
      <c r="AK49" s="29">
        <f t="shared" si="1"/>
        <v>1</v>
      </c>
      <c r="AL49" s="29">
        <f t="shared" si="2"/>
        <v>3</v>
      </c>
      <c r="AM49" s="29">
        <f t="shared" si="3"/>
        <v>0</v>
      </c>
      <c r="AN49" s="29">
        <f t="shared" si="4"/>
        <v>4</v>
      </c>
      <c r="AO49" s="49">
        <f t="shared" si="5"/>
        <v>0.25</v>
      </c>
      <c r="AP49" s="50">
        <f t="shared" si="6"/>
        <v>0.75</v>
      </c>
      <c r="AQ49" s="50">
        <f t="shared" si="7"/>
        <v>0</v>
      </c>
    </row>
    <row r="50" spans="1:43" x14ac:dyDescent="0.35">
      <c r="A50" s="9"/>
      <c r="B50" s="9"/>
      <c r="C50" s="10" t="s">
        <v>96</v>
      </c>
      <c r="D50" s="9"/>
      <c r="E50" s="9"/>
      <c r="F50" s="9" t="s">
        <v>97</v>
      </c>
      <c r="G50" s="45" t="str">
        <f>IF(EASTERN!H49=0," ",EASTERN!H49)</f>
        <v>Yes</v>
      </c>
      <c r="H50" s="45" t="str">
        <f>IF(BROWARD!$H49=0," ",BROWARD!$H49)</f>
        <v>Partial</v>
      </c>
      <c r="I50" s="45" t="str">
        <f>IF(CENTRAL!$H49=0," ",CENTRAL!$H49)</f>
        <v>yes</v>
      </c>
      <c r="J50" s="45" t="str">
        <f>IF(CHIPOLA!$H49=0," ",CHIPOLA!$H49)</f>
        <v xml:space="preserve"> </v>
      </c>
      <c r="K50" s="45" t="str">
        <f>IF(DAYTONA!$H49=0," ",DAYTONA!$H49)</f>
        <v>Yes</v>
      </c>
      <c r="L50" s="45" t="str">
        <f>IF(SOUTHWESTERN!$H49=0," ",SOUTHWESTERN!$H49)</f>
        <v>Yes</v>
      </c>
      <c r="M50" s="45" t="str">
        <f>IF('FSC JAX'!$H49=0," ",'FSC JAX'!$H49)</f>
        <v>Yes</v>
      </c>
      <c r="N50" s="45" t="str">
        <f>IF('FL KEYS'!$H49=0," ",'FL KEYS'!$H49)</f>
        <v>Yes</v>
      </c>
      <c r="O50" s="45" t="str">
        <f>IF('GULF COAST'!$H49=0," ",'GULF COAST'!$H49)</f>
        <v>Yes</v>
      </c>
      <c r="P50" s="45" t="str">
        <f>IF(HILLSBOROUGH!$H49=0," ",HILLSBOROUGH!$H49)</f>
        <v>Yes</v>
      </c>
      <c r="Q50" s="45" t="str">
        <f>IF('INDIAN RIVER'!$H49=0," ",'INDIAN RIVER'!$H49)</f>
        <v>Yes</v>
      </c>
      <c r="R50" s="45" t="str">
        <f>IF(GATEWAY!$H49=0," ",GATEWAY!$H49)</f>
        <v>Yes</v>
      </c>
      <c r="S50" s="45" t="str">
        <f>IF('LAKE SUMTER'!$H49=0," ",'LAKE SUMTER'!$H49)</f>
        <v>Yes</v>
      </c>
      <c r="T50" s="45" t="str">
        <f>IF('SCF MANATEE'!$H49=0," ",'SCF MANATEE'!$H49)</f>
        <v>Partial</v>
      </c>
      <c r="U50" s="45" t="str">
        <f>IF(MIAMI!$H49=0," ",MIAMI!$H49)</f>
        <v>Yes</v>
      </c>
      <c r="V50" s="45" t="str">
        <f>IF('NORTH FLORIDA'!$H49=0," ",'NORTH FLORIDA'!$H49)</f>
        <v>Yes</v>
      </c>
      <c r="W50" s="45" t="str">
        <f>IF('NORTHWEST FLORIDA'!$H49=0," ",'NORTHWEST FLORIDA'!$H49)</f>
        <v>Yes</v>
      </c>
      <c r="X50" s="45" t="str">
        <f>IF('PALM BEACH'!$H49=0," ",'PALM BEACH'!$H49)</f>
        <v>Yes</v>
      </c>
      <c r="Y50" s="45" t="str">
        <f>IF(PASCO!$H49=0," ",PASCO!$H49)</f>
        <v>Yes</v>
      </c>
      <c r="Z50" s="45" t="str">
        <f>IF(PENSACOLA!$H49=0," ",PENSACOLA!$H49)</f>
        <v>yes</v>
      </c>
      <c r="AA50" s="45" t="str">
        <f>IF(POLK!$H49=0," ",POLK!$H49)</f>
        <v>Yes</v>
      </c>
      <c r="AB50" s="45" t="str">
        <f>IF('ST JOHNS'!$H49=0," ",'ST JOHNS'!$H49)</f>
        <v xml:space="preserve"> </v>
      </c>
      <c r="AC50" s="45" t="str">
        <f>IF('ST PETE'!$H49=0," ",'ST PETE'!$H49)</f>
        <v>Yes</v>
      </c>
      <c r="AD50" s="45" t="str">
        <f>IF('SANTA FE'!$H49=0," ",'SANTA FE'!$H49)</f>
        <v>Yes</v>
      </c>
      <c r="AE50" s="45" t="str">
        <f>IF(SEMINOLE!$H49=0," ",SEMINOLE!$H49)</f>
        <v>Yes</v>
      </c>
      <c r="AF50" s="45" t="str">
        <f>IF('SOUTH FLORIDA'!$H49=0," ",'SOUTH FLORIDA'!$H49)</f>
        <v>Yes</v>
      </c>
      <c r="AG50" s="45" t="str">
        <f>IF(TALLAHASSEE!$H49=0," ",TALLAHASSEE!$H49)</f>
        <v>Yes</v>
      </c>
      <c r="AH50" s="45" t="str">
        <f>IF(VALENCIA!$H49=0," ",VALENCIA!$H49)</f>
        <v>Yes</v>
      </c>
      <c r="AI50" s="43" t="s">
        <v>15</v>
      </c>
      <c r="AK50" s="29">
        <f t="shared" si="1"/>
        <v>24</v>
      </c>
      <c r="AL50" s="29">
        <f t="shared" si="2"/>
        <v>0</v>
      </c>
      <c r="AM50" s="29">
        <f t="shared" si="3"/>
        <v>2</v>
      </c>
      <c r="AN50" s="29">
        <f t="shared" si="4"/>
        <v>26</v>
      </c>
      <c r="AO50" s="49">
        <f t="shared" si="5"/>
        <v>0.92307692307692313</v>
      </c>
      <c r="AP50" s="50">
        <f t="shared" si="6"/>
        <v>0</v>
      </c>
      <c r="AQ50" s="50">
        <f t="shared" si="7"/>
        <v>7.6923076923076927E-2</v>
      </c>
    </row>
    <row r="51" spans="1:43" x14ac:dyDescent="0.35">
      <c r="A51" s="9"/>
      <c r="B51" s="9"/>
      <c r="C51" s="10" t="s">
        <v>98</v>
      </c>
      <c r="D51" s="9"/>
      <c r="E51" s="9"/>
      <c r="F51" s="9" t="s">
        <v>99</v>
      </c>
      <c r="G51" s="45" t="str">
        <f>IF(EASTERN!H50=0," ",EASTERN!H50)</f>
        <v xml:space="preserve"> </v>
      </c>
      <c r="H51" s="45" t="str">
        <f>IF(BROWARD!$H50=0," ",BROWARD!$H50)</f>
        <v>Partial</v>
      </c>
      <c r="I51" s="45" t="str">
        <f>IF(CENTRAL!$H50=0," ",CENTRAL!$H50)</f>
        <v>no</v>
      </c>
      <c r="J51" s="45" t="str">
        <f>IF(CHIPOLA!$H50=0," ",CHIPOLA!$H50)</f>
        <v xml:space="preserve"> </v>
      </c>
      <c r="K51" s="45" t="str">
        <f>IF(DAYTONA!$H50=0," ",DAYTONA!$H50)</f>
        <v>Yes</v>
      </c>
      <c r="L51" s="45" t="str">
        <f>IF(SOUTHWESTERN!$H50=0," ",SOUTHWESTERN!$H50)</f>
        <v xml:space="preserve"> </v>
      </c>
      <c r="M51" s="45" t="str">
        <f>IF('FSC JAX'!$H50=0," ",'FSC JAX'!$H50)</f>
        <v xml:space="preserve"> </v>
      </c>
      <c r="N51" s="45" t="str">
        <f>IF('FL KEYS'!$H50=0," ",'FL KEYS'!$H50)</f>
        <v xml:space="preserve"> </v>
      </c>
      <c r="O51" s="45" t="str">
        <f>IF('GULF COAST'!$H50=0," ",'GULF COAST'!$H50)</f>
        <v>Yes</v>
      </c>
      <c r="P51" s="45" t="str">
        <f>IF(HILLSBOROUGH!$H50=0," ",HILLSBOROUGH!$H50)</f>
        <v>No</v>
      </c>
      <c r="Q51" s="45" t="str">
        <f>IF('INDIAN RIVER'!$H50=0," ",'INDIAN RIVER'!$H50)</f>
        <v xml:space="preserve"> </v>
      </c>
      <c r="R51" s="45" t="str">
        <f>IF(GATEWAY!$H50=0," ",GATEWAY!$H50)</f>
        <v xml:space="preserve"> </v>
      </c>
      <c r="S51" s="45" t="str">
        <f>IF('LAKE SUMTER'!$H50=0," ",'LAKE SUMTER'!$H50)</f>
        <v xml:space="preserve"> </v>
      </c>
      <c r="T51" s="45" t="str">
        <f>IF('SCF MANATEE'!$H50=0," ",'SCF MANATEE'!$H50)</f>
        <v xml:space="preserve"> </v>
      </c>
      <c r="U51" s="45" t="str">
        <f>IF(MIAMI!$H50=0," ",MIAMI!$H50)</f>
        <v xml:space="preserve"> </v>
      </c>
      <c r="V51" s="45" t="str">
        <f>IF('NORTH FLORIDA'!$H50=0," ",'NORTH FLORIDA'!$H50)</f>
        <v xml:space="preserve"> </v>
      </c>
      <c r="W51" s="45" t="str">
        <f>IF('NORTHWEST FLORIDA'!$H50=0," ",'NORTHWEST FLORIDA'!$H50)</f>
        <v xml:space="preserve"> </v>
      </c>
      <c r="X51" s="45" t="str">
        <f>IF('PALM BEACH'!$H50=0," ",'PALM BEACH'!$H50)</f>
        <v>Yes</v>
      </c>
      <c r="Y51" s="45" t="str">
        <f>IF(PASCO!$H50=0," ",PASCO!$H50)</f>
        <v xml:space="preserve"> </v>
      </c>
      <c r="Z51" s="45" t="str">
        <f>IF(PENSACOLA!$H50=0," ",PENSACOLA!$H50)</f>
        <v>yes</v>
      </c>
      <c r="AA51" s="45" t="str">
        <f>IF(POLK!$H50=0," ",POLK!$H50)</f>
        <v xml:space="preserve"> </v>
      </c>
      <c r="AB51" s="45" t="str">
        <f>IF('ST JOHNS'!$H50=0," ",'ST JOHNS'!$H50)</f>
        <v>No</v>
      </c>
      <c r="AC51" s="45" t="str">
        <f>IF('ST PETE'!$H50=0," ",'ST PETE'!$H50)</f>
        <v>Yes</v>
      </c>
      <c r="AD51" s="45" t="str">
        <f>IF('SANTA FE'!$H50=0," ",'SANTA FE'!$H50)</f>
        <v xml:space="preserve"> </v>
      </c>
      <c r="AE51" s="45" t="str">
        <f>IF(SEMINOLE!$H50=0," ",SEMINOLE!$H50)</f>
        <v>No</v>
      </c>
      <c r="AF51" s="45" t="str">
        <f>IF('SOUTH FLORIDA'!$H50=0," ",'SOUTH FLORIDA'!$H50)</f>
        <v xml:space="preserve"> </v>
      </c>
      <c r="AG51" s="45" t="str">
        <f>IF(TALLAHASSEE!$H50=0," ",TALLAHASSEE!$H50)</f>
        <v xml:space="preserve"> </v>
      </c>
      <c r="AH51" s="45" t="str">
        <f>IF(VALENCIA!$H50=0," ",VALENCIA!$H50)</f>
        <v xml:space="preserve"> </v>
      </c>
      <c r="AI51" s="43" t="s">
        <v>15</v>
      </c>
      <c r="AK51" s="29">
        <f t="shared" si="1"/>
        <v>5</v>
      </c>
      <c r="AL51" s="29">
        <f t="shared" si="2"/>
        <v>4</v>
      </c>
      <c r="AM51" s="29">
        <f t="shared" si="3"/>
        <v>1</v>
      </c>
      <c r="AN51" s="29">
        <f t="shared" si="4"/>
        <v>10</v>
      </c>
      <c r="AO51" s="49">
        <f t="shared" si="5"/>
        <v>0.5</v>
      </c>
      <c r="AP51" s="50">
        <f t="shared" si="6"/>
        <v>0.4</v>
      </c>
      <c r="AQ51" s="50">
        <f t="shared" si="7"/>
        <v>0.1</v>
      </c>
    </row>
    <row r="52" spans="1:43" x14ac:dyDescent="0.35">
      <c r="A52" s="9"/>
      <c r="B52" s="9"/>
      <c r="C52" s="10" t="s">
        <v>100</v>
      </c>
      <c r="D52" s="9"/>
      <c r="E52" s="9"/>
      <c r="F52" s="9" t="s">
        <v>101</v>
      </c>
      <c r="G52" s="45" t="str">
        <f>IF(EASTERN!H51=0," ",EASTERN!H51)</f>
        <v xml:space="preserve"> </v>
      </c>
      <c r="H52" s="45" t="str">
        <f>IF(BROWARD!$H51=0," ",BROWARD!$H51)</f>
        <v xml:space="preserve"> </v>
      </c>
      <c r="I52" s="45" t="str">
        <f>IF(CENTRAL!$H51=0," ",CENTRAL!$H51)</f>
        <v xml:space="preserve"> </v>
      </c>
      <c r="J52" s="45" t="str">
        <f>IF(CHIPOLA!$H51=0," ",CHIPOLA!$H51)</f>
        <v xml:space="preserve"> </v>
      </c>
      <c r="K52" s="45" t="str">
        <f>IF(DAYTONA!$H51=0," ",DAYTONA!$H51)</f>
        <v xml:space="preserve"> </v>
      </c>
      <c r="L52" s="45" t="str">
        <f>IF(SOUTHWESTERN!$H51=0," ",SOUTHWESTERN!$H51)</f>
        <v xml:space="preserve"> </v>
      </c>
      <c r="M52" s="45" t="str">
        <f>IF('FSC JAX'!$H51=0," ",'FSC JAX'!$H51)</f>
        <v xml:space="preserve"> </v>
      </c>
      <c r="N52" s="45" t="str">
        <f>IF('FL KEYS'!$H51=0," ",'FL KEYS'!$H51)</f>
        <v xml:space="preserve"> </v>
      </c>
      <c r="O52" s="45" t="str">
        <f>IF('GULF COAST'!$H51=0," ",'GULF COAST'!$H51)</f>
        <v xml:space="preserve"> </v>
      </c>
      <c r="P52" s="45" t="str">
        <f>IF(HILLSBOROUGH!$H51=0," ",HILLSBOROUGH!$H51)</f>
        <v xml:space="preserve"> </v>
      </c>
      <c r="Q52" s="45" t="str">
        <f>IF('INDIAN RIVER'!$H51=0," ",'INDIAN RIVER'!$H51)</f>
        <v xml:space="preserve"> </v>
      </c>
      <c r="R52" s="45" t="str">
        <f>IF(GATEWAY!$H51=0," ",GATEWAY!$H51)</f>
        <v xml:space="preserve"> </v>
      </c>
      <c r="S52" s="45" t="str">
        <f>IF('LAKE SUMTER'!$H51=0," ",'LAKE SUMTER'!$H51)</f>
        <v xml:space="preserve"> </v>
      </c>
      <c r="T52" s="45" t="str">
        <f>IF('SCF MANATEE'!$H51=0," ",'SCF MANATEE'!$H51)</f>
        <v xml:space="preserve"> </v>
      </c>
      <c r="U52" s="45" t="str">
        <f>IF(MIAMI!$H51=0," ",MIAMI!$H51)</f>
        <v xml:space="preserve"> </v>
      </c>
      <c r="V52" s="45" t="str">
        <f>IF('NORTH FLORIDA'!$H51=0," ",'NORTH FLORIDA'!$H51)</f>
        <v xml:space="preserve"> </v>
      </c>
      <c r="W52" s="45" t="str">
        <f>IF('NORTHWEST FLORIDA'!$H51=0," ",'NORTHWEST FLORIDA'!$H51)</f>
        <v xml:space="preserve"> </v>
      </c>
      <c r="X52" s="45" t="str">
        <f>IF('PALM BEACH'!$H51=0," ",'PALM BEACH'!$H51)</f>
        <v xml:space="preserve"> </v>
      </c>
      <c r="Y52" s="45" t="str">
        <f>IF(PASCO!$H51=0," ",PASCO!$H51)</f>
        <v xml:space="preserve"> </v>
      </c>
      <c r="Z52" s="45" t="str">
        <f>IF(PENSACOLA!$H51=0," ",PENSACOLA!$H51)</f>
        <v xml:space="preserve"> </v>
      </c>
      <c r="AA52" s="45" t="str">
        <f>IF(POLK!$H51=0," ",POLK!$H51)</f>
        <v xml:space="preserve"> </v>
      </c>
      <c r="AB52" s="45" t="str">
        <f>IF('ST JOHNS'!$H51=0," ",'ST JOHNS'!$H51)</f>
        <v xml:space="preserve"> </v>
      </c>
      <c r="AC52" s="45" t="str">
        <f>IF('ST PETE'!$H51=0," ",'ST PETE'!$H51)</f>
        <v xml:space="preserve"> </v>
      </c>
      <c r="AD52" s="45" t="str">
        <f>IF('SANTA FE'!$H51=0," ",'SANTA FE'!$H51)</f>
        <v xml:space="preserve"> </v>
      </c>
      <c r="AE52" s="45" t="str">
        <f>IF(SEMINOLE!$H51=0," ",SEMINOLE!$H51)</f>
        <v xml:space="preserve"> </v>
      </c>
      <c r="AF52" s="45" t="str">
        <f>IF('SOUTH FLORIDA'!$H51=0," ",'SOUTH FLORIDA'!$H51)</f>
        <v xml:space="preserve"> </v>
      </c>
      <c r="AG52" s="45" t="str">
        <f>IF(TALLAHASSEE!$H51=0," ",TALLAHASSEE!$H51)</f>
        <v xml:space="preserve"> </v>
      </c>
      <c r="AH52" s="45" t="str">
        <f>IF(VALENCIA!$H51=0," ",VALENCIA!$H51)</f>
        <v xml:space="preserve"> </v>
      </c>
      <c r="AI52" s="43"/>
      <c r="AK52" s="29">
        <f t="shared" si="1"/>
        <v>0</v>
      </c>
      <c r="AL52" s="29">
        <f t="shared" si="2"/>
        <v>0</v>
      </c>
      <c r="AM52" s="29">
        <f t="shared" si="3"/>
        <v>0</v>
      </c>
      <c r="AN52" s="29">
        <f t="shared" si="4"/>
        <v>0</v>
      </c>
      <c r="AO52" s="50">
        <f t="shared" si="5"/>
        <v>0</v>
      </c>
      <c r="AP52" s="50">
        <f t="shared" si="6"/>
        <v>0</v>
      </c>
      <c r="AQ52" s="50">
        <f t="shared" si="7"/>
        <v>0</v>
      </c>
    </row>
    <row r="53" spans="1:43" x14ac:dyDescent="0.35">
      <c r="A53" s="9"/>
      <c r="B53" s="9"/>
      <c r="C53" s="10" t="s">
        <v>102</v>
      </c>
      <c r="D53" s="9"/>
      <c r="E53" s="9"/>
      <c r="F53" s="9" t="s">
        <v>103</v>
      </c>
      <c r="G53" s="45" t="str">
        <f>IF(EASTERN!H52=0," ",EASTERN!H52)</f>
        <v xml:space="preserve"> </v>
      </c>
      <c r="H53" s="45" t="str">
        <f>IF(BROWARD!$H52=0," ",BROWARD!$H52)</f>
        <v>Partial</v>
      </c>
      <c r="I53" s="45" t="str">
        <f>IF(CENTRAL!$H52=0," ",CENTRAL!$H52)</f>
        <v xml:space="preserve"> </v>
      </c>
      <c r="J53" s="45" t="str">
        <f>IF(CHIPOLA!$H52=0," ",CHIPOLA!$H52)</f>
        <v xml:space="preserve"> </v>
      </c>
      <c r="K53" s="45" t="str">
        <f>IF(DAYTONA!$H52=0," ",DAYTONA!$H52)</f>
        <v xml:space="preserve"> </v>
      </c>
      <c r="L53" s="45" t="str">
        <f>IF(SOUTHWESTERN!$H52=0," ",SOUTHWESTERN!$H52)</f>
        <v xml:space="preserve"> </v>
      </c>
      <c r="M53" s="45" t="str">
        <f>IF('FSC JAX'!$H52=0," ",'FSC JAX'!$H52)</f>
        <v>No</v>
      </c>
      <c r="N53" s="45" t="str">
        <f>IF('FL KEYS'!$H52=0," ",'FL KEYS'!$H52)</f>
        <v xml:space="preserve"> </v>
      </c>
      <c r="O53" s="45" t="str">
        <f>IF('GULF COAST'!$H52=0," ",'GULF COAST'!$H52)</f>
        <v xml:space="preserve"> </v>
      </c>
      <c r="P53" s="45" t="str">
        <f>IF(HILLSBOROUGH!$H52=0," ",HILLSBOROUGH!$H52)</f>
        <v xml:space="preserve"> </v>
      </c>
      <c r="Q53" s="45" t="str">
        <f>IF('INDIAN RIVER'!$H52=0," ",'INDIAN RIVER'!$H52)</f>
        <v xml:space="preserve"> </v>
      </c>
      <c r="R53" s="45" t="str">
        <f>IF(GATEWAY!$H52=0," ",GATEWAY!$H52)</f>
        <v xml:space="preserve"> </v>
      </c>
      <c r="S53" s="45" t="str">
        <f>IF('LAKE SUMTER'!$H52=0," ",'LAKE SUMTER'!$H52)</f>
        <v xml:space="preserve"> </v>
      </c>
      <c r="T53" s="45" t="str">
        <f>IF('SCF MANATEE'!$H52=0," ",'SCF MANATEE'!$H52)</f>
        <v>Yes</v>
      </c>
      <c r="U53" s="45" t="str">
        <f>IF(MIAMI!$H52=0," ",MIAMI!$H52)</f>
        <v xml:space="preserve"> </v>
      </c>
      <c r="V53" s="45" t="str">
        <f>IF('NORTH FLORIDA'!$H52=0," ",'NORTH FLORIDA'!$H52)</f>
        <v xml:space="preserve"> </v>
      </c>
      <c r="W53" s="45" t="str">
        <f>IF('NORTHWEST FLORIDA'!$H52=0," ",'NORTHWEST FLORIDA'!$H52)</f>
        <v xml:space="preserve"> </v>
      </c>
      <c r="X53" s="45" t="str">
        <f>IF('PALM BEACH'!$H52=0," ",'PALM BEACH'!$H52)</f>
        <v xml:space="preserve"> </v>
      </c>
      <c r="Y53" s="45" t="str">
        <f>IF(PASCO!$H52=0," ",PASCO!$H52)</f>
        <v xml:space="preserve"> </v>
      </c>
      <c r="Z53" s="45" t="str">
        <f>IF(PENSACOLA!$H52=0," ",PENSACOLA!$H52)</f>
        <v xml:space="preserve"> </v>
      </c>
      <c r="AA53" s="45" t="str">
        <f>IF(POLK!$H52=0," ",POLK!$H52)</f>
        <v xml:space="preserve"> </v>
      </c>
      <c r="AB53" s="45" t="str">
        <f>IF('ST JOHNS'!$H52=0," ",'ST JOHNS'!$H52)</f>
        <v xml:space="preserve"> </v>
      </c>
      <c r="AC53" s="45" t="str">
        <f>IF('ST PETE'!$H52=0," ",'ST PETE'!$H52)</f>
        <v>Yes</v>
      </c>
      <c r="AD53" s="45" t="str">
        <f>IF('SANTA FE'!$H52=0," ",'SANTA FE'!$H52)</f>
        <v xml:space="preserve"> </v>
      </c>
      <c r="AE53" s="45" t="str">
        <f>IF(SEMINOLE!$H52=0," ",SEMINOLE!$H52)</f>
        <v>No</v>
      </c>
      <c r="AF53" s="45" t="str">
        <f>IF('SOUTH FLORIDA'!$H52=0," ",'SOUTH FLORIDA'!$H52)</f>
        <v xml:space="preserve"> </v>
      </c>
      <c r="AG53" s="45" t="str">
        <f>IF(TALLAHASSEE!$H52=0," ",TALLAHASSEE!$H52)</f>
        <v xml:space="preserve"> </v>
      </c>
      <c r="AH53" s="45" t="str">
        <f>IF(VALENCIA!$H52=0," ",VALENCIA!$H52)</f>
        <v xml:space="preserve"> </v>
      </c>
      <c r="AI53" s="43" t="s">
        <v>15</v>
      </c>
      <c r="AK53" s="29">
        <f t="shared" si="1"/>
        <v>2</v>
      </c>
      <c r="AL53" s="29">
        <f t="shared" si="2"/>
        <v>2</v>
      </c>
      <c r="AM53" s="29">
        <f t="shared" si="3"/>
        <v>1</v>
      </c>
      <c r="AN53" s="29">
        <f t="shared" si="4"/>
        <v>5</v>
      </c>
      <c r="AO53" s="49">
        <f t="shared" si="5"/>
        <v>0.4</v>
      </c>
      <c r="AP53" s="50">
        <f t="shared" si="6"/>
        <v>0.4</v>
      </c>
      <c r="AQ53" s="50">
        <f t="shared" si="7"/>
        <v>0.2</v>
      </c>
    </row>
    <row r="54" spans="1:43" x14ac:dyDescent="0.35">
      <c r="A54" s="9"/>
      <c r="B54" s="9"/>
      <c r="C54" s="10" t="s">
        <v>104</v>
      </c>
      <c r="D54" s="9"/>
      <c r="E54" s="9"/>
      <c r="F54" s="9" t="s">
        <v>105</v>
      </c>
      <c r="G54" s="45" t="str">
        <f>IF(EASTERN!H53=0," ",EASTERN!H53)</f>
        <v xml:space="preserve"> </v>
      </c>
      <c r="H54" s="45" t="str">
        <f>IF(BROWARD!$H53=0," ",BROWARD!$H53)</f>
        <v xml:space="preserve"> </v>
      </c>
      <c r="I54" s="45" t="str">
        <f>IF(CENTRAL!$H53=0," ",CENTRAL!$H53)</f>
        <v xml:space="preserve"> </v>
      </c>
      <c r="J54" s="45" t="str">
        <f>IF(CHIPOLA!$H53=0," ",CHIPOLA!$H53)</f>
        <v>Yes</v>
      </c>
      <c r="K54" s="45" t="str">
        <f>IF(DAYTONA!$H53=0," ",DAYTONA!$H53)</f>
        <v>Yes</v>
      </c>
      <c r="L54" s="45" t="str">
        <f>IF(SOUTHWESTERN!$H53=0," ",SOUTHWESTERN!$H53)</f>
        <v xml:space="preserve"> </v>
      </c>
      <c r="M54" s="45" t="str">
        <f>IF('FSC JAX'!$H53=0," ",'FSC JAX'!$H53)</f>
        <v xml:space="preserve"> </v>
      </c>
      <c r="N54" s="45" t="str">
        <f>IF('FL KEYS'!$H53=0," ",'FL KEYS'!$H53)</f>
        <v xml:space="preserve"> </v>
      </c>
      <c r="O54" s="45" t="str">
        <f>IF('GULF COAST'!$H53=0," ",'GULF COAST'!$H53)</f>
        <v xml:space="preserve"> </v>
      </c>
      <c r="P54" s="45" t="str">
        <f>IF(HILLSBOROUGH!$H53=0," ",HILLSBOROUGH!$H53)</f>
        <v>No</v>
      </c>
      <c r="Q54" s="45" t="str">
        <f>IF('INDIAN RIVER'!$H53=0," ",'INDIAN RIVER'!$H53)</f>
        <v xml:space="preserve"> </v>
      </c>
      <c r="R54" s="45" t="str">
        <f>IF(GATEWAY!$H53=0," ",GATEWAY!$H53)</f>
        <v xml:space="preserve"> </v>
      </c>
      <c r="S54" s="45" t="str">
        <f>IF('LAKE SUMTER'!$H53=0," ",'LAKE SUMTER'!$H53)</f>
        <v xml:space="preserve"> </v>
      </c>
      <c r="T54" s="45" t="str">
        <f>IF('SCF MANATEE'!$H53=0," ",'SCF MANATEE'!$H53)</f>
        <v>Yes</v>
      </c>
      <c r="U54" s="45" t="str">
        <f>IF(MIAMI!$H53=0," ",MIAMI!$H53)</f>
        <v>Yes</v>
      </c>
      <c r="V54" s="45" t="str">
        <f>IF('NORTH FLORIDA'!$H53=0," ",'NORTH FLORIDA'!$H53)</f>
        <v xml:space="preserve"> </v>
      </c>
      <c r="W54" s="45" t="str">
        <f>IF('NORTHWEST FLORIDA'!$H53=0," ",'NORTHWEST FLORIDA'!$H53)</f>
        <v xml:space="preserve"> </v>
      </c>
      <c r="X54" s="45" t="str">
        <f>IF('PALM BEACH'!$H53=0," ",'PALM BEACH'!$H53)</f>
        <v>Yes</v>
      </c>
      <c r="Y54" s="45" t="str">
        <f>IF(PASCO!$H53=0," ",PASCO!$H53)</f>
        <v xml:space="preserve"> </v>
      </c>
      <c r="Z54" s="45" t="str">
        <f>IF(PENSACOLA!$H53=0," ",PENSACOLA!$H53)</f>
        <v xml:space="preserve"> </v>
      </c>
      <c r="AA54" s="45" t="str">
        <f>IF(POLK!$H53=0," ",POLK!$H53)</f>
        <v xml:space="preserve"> </v>
      </c>
      <c r="AB54" s="45" t="str">
        <f>IF('ST JOHNS'!$H53=0," ",'ST JOHNS'!$H53)</f>
        <v xml:space="preserve"> </v>
      </c>
      <c r="AC54" s="45" t="str">
        <f>IF('ST PETE'!$H53=0," ",'ST PETE'!$H53)</f>
        <v>Yes</v>
      </c>
      <c r="AD54" s="45" t="str">
        <f>IF('SANTA FE'!$H53=0," ",'SANTA FE'!$H53)</f>
        <v xml:space="preserve"> </v>
      </c>
      <c r="AE54" s="45" t="str">
        <f>IF(SEMINOLE!$H53=0," ",SEMINOLE!$H53)</f>
        <v xml:space="preserve"> </v>
      </c>
      <c r="AF54" s="45" t="str">
        <f>IF('SOUTH FLORIDA'!$H53=0," ",'SOUTH FLORIDA'!$H53)</f>
        <v xml:space="preserve"> </v>
      </c>
      <c r="AG54" s="45" t="str">
        <f>IF(TALLAHASSEE!$H53=0," ",TALLAHASSEE!$H53)</f>
        <v xml:space="preserve"> </v>
      </c>
      <c r="AH54" s="45" t="str">
        <f>IF(VALENCIA!$H53=0," ",VALENCIA!$H53)</f>
        <v>Yes</v>
      </c>
      <c r="AI54" s="43" t="s">
        <v>15</v>
      </c>
      <c r="AK54" s="29">
        <f t="shared" si="1"/>
        <v>7</v>
      </c>
      <c r="AL54" s="29">
        <f t="shared" si="2"/>
        <v>1</v>
      </c>
      <c r="AM54" s="29">
        <f t="shared" si="3"/>
        <v>0</v>
      </c>
      <c r="AN54" s="29">
        <f t="shared" si="4"/>
        <v>8</v>
      </c>
      <c r="AO54" s="49">
        <f t="shared" si="5"/>
        <v>0.875</v>
      </c>
      <c r="AP54" s="50">
        <f t="shared" si="6"/>
        <v>0.125</v>
      </c>
      <c r="AQ54" s="50">
        <f t="shared" si="7"/>
        <v>0</v>
      </c>
    </row>
    <row r="55" spans="1:43" x14ac:dyDescent="0.35">
      <c r="A55" s="9"/>
      <c r="B55" s="9"/>
      <c r="C55" s="10" t="s">
        <v>106</v>
      </c>
      <c r="D55" s="9"/>
      <c r="E55" s="9"/>
      <c r="F55" s="9" t="s">
        <v>107</v>
      </c>
      <c r="G55" s="45" t="str">
        <f>IF(EASTERN!H54=0," ",EASTERN!H54)</f>
        <v xml:space="preserve"> </v>
      </c>
      <c r="H55" s="45" t="str">
        <f>IF(BROWARD!$H54=0," ",BROWARD!$H54)</f>
        <v>Partial</v>
      </c>
      <c r="I55" s="45" t="str">
        <f>IF(CENTRAL!$H54=0," ",CENTRAL!$H54)</f>
        <v xml:space="preserve"> </v>
      </c>
      <c r="J55" s="45" t="str">
        <f>IF(CHIPOLA!$H54=0," ",CHIPOLA!$H54)</f>
        <v>No</v>
      </c>
      <c r="K55" s="45" t="str">
        <f>IF(DAYTONA!$H54=0," ",DAYTONA!$H54)</f>
        <v>Yes</v>
      </c>
      <c r="L55" s="45" t="str">
        <f>IF(SOUTHWESTERN!$H54=0," ",SOUTHWESTERN!$H54)</f>
        <v>Yes</v>
      </c>
      <c r="M55" s="45" t="str">
        <f>IF('FSC JAX'!$H54=0," ",'FSC JAX'!$H54)</f>
        <v>No</v>
      </c>
      <c r="N55" s="45" t="str">
        <f>IF('FL KEYS'!$H54=0," ",'FL KEYS'!$H54)</f>
        <v xml:space="preserve"> </v>
      </c>
      <c r="O55" s="45" t="str">
        <f>IF('GULF COAST'!$H54=0," ",'GULF COAST'!$H54)</f>
        <v>No</v>
      </c>
      <c r="P55" s="45" t="str">
        <f>IF(HILLSBOROUGH!$H54=0," ",HILLSBOROUGH!$H54)</f>
        <v>No</v>
      </c>
      <c r="Q55" s="45" t="str">
        <f>IF('INDIAN RIVER'!$H54=0," ",'INDIAN RIVER'!$H54)</f>
        <v>No</v>
      </c>
      <c r="R55" s="45" t="str">
        <f>IF(GATEWAY!$H54=0," ",GATEWAY!$H54)</f>
        <v>No</v>
      </c>
      <c r="S55" s="45" t="str">
        <f>IF('LAKE SUMTER'!$H54=0," ",'LAKE SUMTER'!$H54)</f>
        <v>No</v>
      </c>
      <c r="T55" s="45" t="str">
        <f>IF('SCF MANATEE'!$H54=0," ",'SCF MANATEE'!$H54)</f>
        <v>Partial</v>
      </c>
      <c r="U55" s="45" t="str">
        <f>IF(MIAMI!$H54=0," ",MIAMI!$H54)</f>
        <v>No</v>
      </c>
      <c r="V55" s="45" t="str">
        <f>IF('NORTH FLORIDA'!$H54=0," ",'NORTH FLORIDA'!$H54)</f>
        <v>No</v>
      </c>
      <c r="W55" s="45" t="str">
        <f>IF('NORTHWEST FLORIDA'!$H54=0," ",'NORTHWEST FLORIDA'!$H54)</f>
        <v xml:space="preserve"> </v>
      </c>
      <c r="X55" s="45" t="str">
        <f>IF('PALM BEACH'!$H54=0," ",'PALM BEACH'!$H54)</f>
        <v xml:space="preserve"> </v>
      </c>
      <c r="Y55" s="45" t="str">
        <f>IF(PASCO!$H54=0," ",PASCO!$H54)</f>
        <v>No</v>
      </c>
      <c r="Z55" s="45" t="str">
        <f>IF(PENSACOLA!$H54=0," ",PENSACOLA!$H54)</f>
        <v>yes</v>
      </c>
      <c r="AA55" s="45" t="str">
        <f>IF(POLK!$H54=0," ",POLK!$H54)</f>
        <v>No</v>
      </c>
      <c r="AB55" s="45" t="str">
        <f>IF('ST JOHNS'!$H54=0," ",'ST JOHNS'!$H54)</f>
        <v xml:space="preserve"> </v>
      </c>
      <c r="AC55" s="45" t="str">
        <f>IF('ST PETE'!$H54=0," ",'ST PETE'!$H54)</f>
        <v>Yes</v>
      </c>
      <c r="AD55" s="45" t="str">
        <f>IF('SANTA FE'!$H54=0," ",'SANTA FE'!$H54)</f>
        <v>No</v>
      </c>
      <c r="AE55" s="45" t="str">
        <f>IF(SEMINOLE!$H54=0," ",SEMINOLE!$H54)</f>
        <v xml:space="preserve"> </v>
      </c>
      <c r="AF55" s="45" t="str">
        <f>IF('SOUTH FLORIDA'!$H54=0," ",'SOUTH FLORIDA'!$H54)</f>
        <v>No</v>
      </c>
      <c r="AG55" s="45" t="str">
        <f>IF(TALLAHASSEE!$H54=0," ",TALLAHASSEE!$H54)</f>
        <v>No</v>
      </c>
      <c r="AH55" s="45" t="str">
        <f>IF(VALENCIA!$H54=0," ",VALENCIA!$H54)</f>
        <v>No</v>
      </c>
      <c r="AI55" s="43" t="s">
        <v>24</v>
      </c>
      <c r="AK55" s="29">
        <f t="shared" si="1"/>
        <v>4</v>
      </c>
      <c r="AL55" s="29">
        <f t="shared" si="2"/>
        <v>15</v>
      </c>
      <c r="AM55" s="29">
        <f t="shared" si="3"/>
        <v>2</v>
      </c>
      <c r="AN55" s="29">
        <f t="shared" si="4"/>
        <v>21</v>
      </c>
      <c r="AO55" s="50">
        <f t="shared" si="5"/>
        <v>0.19047619047619047</v>
      </c>
      <c r="AP55" s="49">
        <f t="shared" si="6"/>
        <v>0.7142857142857143</v>
      </c>
      <c r="AQ55" s="50">
        <f t="shared" si="7"/>
        <v>9.5238095238095233E-2</v>
      </c>
    </row>
    <row r="56" spans="1:43" x14ac:dyDescent="0.35">
      <c r="A56" s="9"/>
      <c r="B56" s="9"/>
      <c r="C56" s="10" t="s">
        <v>108</v>
      </c>
      <c r="D56" s="9"/>
      <c r="E56" s="9"/>
      <c r="F56" s="9" t="s">
        <v>109</v>
      </c>
      <c r="G56" s="45" t="str">
        <f>IF(EASTERN!H55=0," ",EASTERN!H55)</f>
        <v xml:space="preserve"> </v>
      </c>
      <c r="H56" s="45" t="str">
        <f>IF(BROWARD!$H55=0," ",BROWARD!$H55)</f>
        <v xml:space="preserve"> </v>
      </c>
      <c r="I56" s="45" t="str">
        <f>IF(CENTRAL!$H55=0," ",CENTRAL!$H55)</f>
        <v>no</v>
      </c>
      <c r="J56" s="45" t="str">
        <f>IF(CHIPOLA!$H55=0," ",CHIPOLA!$H55)</f>
        <v>No</v>
      </c>
      <c r="K56" s="45" t="str">
        <f>IF(DAYTONA!$H55=0," ",DAYTONA!$H55)</f>
        <v xml:space="preserve"> </v>
      </c>
      <c r="L56" s="45" t="str">
        <f>IF(SOUTHWESTERN!$H55=0," ",SOUTHWESTERN!$H55)</f>
        <v>No</v>
      </c>
      <c r="M56" s="45" t="str">
        <f>IF('FSC JAX'!$H55=0," ",'FSC JAX'!$H55)</f>
        <v>No</v>
      </c>
      <c r="N56" s="45" t="str">
        <f>IF('FL KEYS'!$H55=0," ",'FL KEYS'!$H55)</f>
        <v>NO</v>
      </c>
      <c r="O56" s="45" t="str">
        <f>IF('GULF COAST'!$H55=0," ",'GULF COAST'!$H55)</f>
        <v>No</v>
      </c>
      <c r="P56" s="45" t="str">
        <f>IF(HILLSBOROUGH!$H55=0," ",HILLSBOROUGH!$H55)</f>
        <v>No</v>
      </c>
      <c r="Q56" s="45" t="str">
        <f>IF('INDIAN RIVER'!$H55=0," ",'INDIAN RIVER'!$H55)</f>
        <v>No</v>
      </c>
      <c r="R56" s="45" t="str">
        <f>IF(GATEWAY!$H55=0," ",GATEWAY!$H55)</f>
        <v xml:space="preserve"> </v>
      </c>
      <c r="S56" s="45" t="str">
        <f>IF('LAKE SUMTER'!$H55=0," ",'LAKE SUMTER'!$H55)</f>
        <v>No</v>
      </c>
      <c r="T56" s="45" t="str">
        <f>IF('SCF MANATEE'!$H55=0," ",'SCF MANATEE'!$H55)</f>
        <v>Partial</v>
      </c>
      <c r="U56" s="45" t="str">
        <f>IF(MIAMI!$H55=0," ",MIAMI!$H55)</f>
        <v>No</v>
      </c>
      <c r="V56" s="45" t="str">
        <f>IF('NORTH FLORIDA'!$H55=0," ",'NORTH FLORIDA'!$H55)</f>
        <v>No</v>
      </c>
      <c r="W56" s="45" t="str">
        <f>IF('NORTHWEST FLORIDA'!$H55=0," ",'NORTHWEST FLORIDA'!$H55)</f>
        <v xml:space="preserve"> </v>
      </c>
      <c r="X56" s="45" t="str">
        <f>IF('PALM BEACH'!$H55=0," ",'PALM BEACH'!$H55)</f>
        <v xml:space="preserve"> </v>
      </c>
      <c r="Y56" s="45" t="str">
        <f>IF(PASCO!$H55=0," ",PASCO!$H55)</f>
        <v>No</v>
      </c>
      <c r="Z56" s="45" t="str">
        <f>IF(PENSACOLA!$H55=0," ",PENSACOLA!$H55)</f>
        <v xml:space="preserve"> </v>
      </c>
      <c r="AA56" s="45" t="str">
        <f>IF(POLK!$H55=0," ",POLK!$H55)</f>
        <v>No</v>
      </c>
      <c r="AB56" s="45" t="str">
        <f>IF('ST JOHNS'!$H55=0," ",'ST JOHNS'!$H55)</f>
        <v xml:space="preserve"> </v>
      </c>
      <c r="AC56" s="45" t="str">
        <f>IF('ST PETE'!$H55=0," ",'ST PETE'!$H55)</f>
        <v>Yes</v>
      </c>
      <c r="AD56" s="45" t="str">
        <f>IF('SANTA FE'!$H55=0," ",'SANTA FE'!$H55)</f>
        <v>No</v>
      </c>
      <c r="AE56" s="45" t="str">
        <f>IF(SEMINOLE!$H55=0," ",SEMINOLE!$H55)</f>
        <v xml:space="preserve"> </v>
      </c>
      <c r="AF56" s="45" t="str">
        <f>IF('SOUTH FLORIDA'!$H55=0," ",'SOUTH FLORIDA'!$H55)</f>
        <v>No</v>
      </c>
      <c r="AG56" s="45" t="str">
        <f>IF(TALLAHASSEE!$H55=0," ",TALLAHASSEE!$H55)</f>
        <v>No</v>
      </c>
      <c r="AH56" s="45" t="str">
        <f>IF(VALENCIA!$H55=0," ",VALENCIA!$H55)</f>
        <v xml:space="preserve"> </v>
      </c>
      <c r="AI56" s="43" t="s">
        <v>24</v>
      </c>
      <c r="AK56" s="29">
        <f t="shared" si="1"/>
        <v>1</v>
      </c>
      <c r="AL56" s="29">
        <f t="shared" si="2"/>
        <v>16</v>
      </c>
      <c r="AM56" s="29">
        <f t="shared" si="3"/>
        <v>1</v>
      </c>
      <c r="AN56" s="29">
        <f t="shared" si="4"/>
        <v>18</v>
      </c>
      <c r="AO56" s="50">
        <f t="shared" si="5"/>
        <v>5.5555555555555552E-2</v>
      </c>
      <c r="AP56" s="49">
        <f t="shared" si="6"/>
        <v>0.88888888888888884</v>
      </c>
      <c r="AQ56" s="50">
        <f t="shared" si="7"/>
        <v>5.5555555555555552E-2</v>
      </c>
    </row>
    <row r="57" spans="1:43" x14ac:dyDescent="0.35">
      <c r="A57" s="9"/>
      <c r="B57" s="9"/>
      <c r="C57" s="10" t="s">
        <v>110</v>
      </c>
      <c r="D57" s="9"/>
      <c r="E57" s="9"/>
      <c r="F57" s="9" t="s">
        <v>111</v>
      </c>
      <c r="G57" s="45" t="str">
        <f>IF(EASTERN!H56=0," ",EASTERN!H56)</f>
        <v xml:space="preserve"> </v>
      </c>
      <c r="H57" s="45" t="str">
        <f>IF(BROWARD!$H56=0," ",BROWARD!$H56)</f>
        <v xml:space="preserve"> </v>
      </c>
      <c r="I57" s="45" t="str">
        <f>IF(CENTRAL!$H56=0," ",CENTRAL!$H56)</f>
        <v>no</v>
      </c>
      <c r="J57" s="45" t="str">
        <f>IF(CHIPOLA!$H56=0," ",CHIPOLA!$H56)</f>
        <v>No</v>
      </c>
      <c r="K57" s="45" t="str">
        <f>IF(DAYTONA!$H56=0," ",DAYTONA!$H56)</f>
        <v>Yes</v>
      </c>
      <c r="L57" s="45" t="str">
        <f>IF(SOUTHWESTERN!$H56=0," ",SOUTHWESTERN!$H56)</f>
        <v xml:space="preserve"> </v>
      </c>
      <c r="M57" s="45" t="str">
        <f>IF('FSC JAX'!$H56=0," ",'FSC JAX'!$H56)</f>
        <v xml:space="preserve"> </v>
      </c>
      <c r="N57" s="45" t="str">
        <f>IF('FL KEYS'!$H56=0," ",'FL KEYS'!$H56)</f>
        <v>YES</v>
      </c>
      <c r="O57" s="45" t="str">
        <f>IF('GULF COAST'!$H56=0," ",'GULF COAST'!$H56)</f>
        <v xml:space="preserve"> </v>
      </c>
      <c r="P57" s="45" t="str">
        <f>IF(HILLSBOROUGH!$H56=0," ",HILLSBOROUGH!$H56)</f>
        <v>No</v>
      </c>
      <c r="Q57" s="45" t="str">
        <f>IF('INDIAN RIVER'!$H56=0," ",'INDIAN RIVER'!$H56)</f>
        <v xml:space="preserve"> </v>
      </c>
      <c r="R57" s="45" t="str">
        <f>IF(GATEWAY!$H56=0," ",GATEWAY!$H56)</f>
        <v xml:space="preserve"> </v>
      </c>
      <c r="S57" s="45" t="str">
        <f>IF('LAKE SUMTER'!$H56=0," ",'LAKE SUMTER'!$H56)</f>
        <v>No</v>
      </c>
      <c r="T57" s="45" t="str">
        <f>IF('SCF MANATEE'!$H56=0," ",'SCF MANATEE'!$H56)</f>
        <v>Partial</v>
      </c>
      <c r="U57" s="45" t="str">
        <f>IF(MIAMI!$H56=0," ",MIAMI!$H56)</f>
        <v>No</v>
      </c>
      <c r="V57" s="45" t="str">
        <f>IF('NORTH FLORIDA'!$H56=0," ",'NORTH FLORIDA'!$H56)</f>
        <v>No</v>
      </c>
      <c r="W57" s="45" t="str">
        <f>IF('NORTHWEST FLORIDA'!$H56=0," ",'NORTHWEST FLORIDA'!$H56)</f>
        <v>No</v>
      </c>
      <c r="X57" s="45" t="str">
        <f>IF('PALM BEACH'!$H56=0," ",'PALM BEACH'!$H56)</f>
        <v>No</v>
      </c>
      <c r="Y57" s="45" t="str">
        <f>IF(PASCO!$H56=0," ",PASCO!$H56)</f>
        <v>No</v>
      </c>
      <c r="Z57" s="45" t="str">
        <f>IF(PENSACOLA!$H56=0," ",PENSACOLA!$H56)</f>
        <v>no</v>
      </c>
      <c r="AA57" s="45" t="str">
        <f>IF(POLK!$H56=0," ",POLK!$H56)</f>
        <v xml:space="preserve"> </v>
      </c>
      <c r="AB57" s="45" t="str">
        <f>IF('ST JOHNS'!$H56=0," ",'ST JOHNS'!$H56)</f>
        <v xml:space="preserve"> </v>
      </c>
      <c r="AC57" s="45" t="str">
        <f>IF('ST PETE'!$H56=0," ",'ST PETE'!$H56)</f>
        <v>Partial</v>
      </c>
      <c r="AD57" s="45" t="str">
        <f>IF('SANTA FE'!$H56=0," ",'SANTA FE'!$H56)</f>
        <v xml:space="preserve"> </v>
      </c>
      <c r="AE57" s="45" t="str">
        <f>IF(SEMINOLE!$H56=0," ",SEMINOLE!$H56)</f>
        <v xml:space="preserve"> </v>
      </c>
      <c r="AF57" s="45" t="str">
        <f>IF('SOUTH FLORIDA'!$H56=0," ",'SOUTH FLORIDA'!$H56)</f>
        <v xml:space="preserve"> </v>
      </c>
      <c r="AG57" s="45" t="str">
        <f>IF(TALLAHASSEE!$H56=0," ",TALLAHASSEE!$H56)</f>
        <v xml:space="preserve"> </v>
      </c>
      <c r="AH57" s="45" t="str">
        <f>IF(VALENCIA!$H56=0," ",VALENCIA!$H56)</f>
        <v xml:space="preserve"> </v>
      </c>
      <c r="AI57" s="43" t="s">
        <v>24</v>
      </c>
      <c r="AK57" s="29">
        <f t="shared" si="1"/>
        <v>2</v>
      </c>
      <c r="AL57" s="29">
        <f t="shared" si="2"/>
        <v>10</v>
      </c>
      <c r="AM57" s="29">
        <f t="shared" si="3"/>
        <v>2</v>
      </c>
      <c r="AN57" s="29">
        <f t="shared" si="4"/>
        <v>14</v>
      </c>
      <c r="AO57" s="50">
        <f t="shared" si="5"/>
        <v>0.14285714285714285</v>
      </c>
      <c r="AP57" s="49">
        <f t="shared" si="6"/>
        <v>0.7142857142857143</v>
      </c>
      <c r="AQ57" s="50">
        <f t="shared" si="7"/>
        <v>0.14285714285714285</v>
      </c>
    </row>
    <row r="58" spans="1:43" x14ac:dyDescent="0.35">
      <c r="A58" s="9"/>
      <c r="B58" s="9"/>
      <c r="C58" s="10" t="s">
        <v>112</v>
      </c>
      <c r="D58" s="9"/>
      <c r="E58" s="9"/>
      <c r="F58" s="9" t="s">
        <v>113</v>
      </c>
      <c r="G58" s="45" t="str">
        <f>IF(EASTERN!H57=0," ",EASTERN!H57)</f>
        <v>No</v>
      </c>
      <c r="H58" s="45" t="str">
        <f>IF(BROWARD!$H57=0," ",BROWARD!$H57)</f>
        <v xml:space="preserve"> </v>
      </c>
      <c r="I58" s="45" t="str">
        <f>IF(CENTRAL!$H57=0," ",CENTRAL!$H57)</f>
        <v>no</v>
      </c>
      <c r="J58" s="45" t="str">
        <f>IF(CHIPOLA!$H57=0," ",CHIPOLA!$H57)</f>
        <v>No</v>
      </c>
      <c r="K58" s="45" t="str">
        <f>IF(DAYTONA!$H57=0," ",DAYTONA!$H57)</f>
        <v>No</v>
      </c>
      <c r="L58" s="45" t="str">
        <f>IF(SOUTHWESTERN!$H57=0," ",SOUTHWESTERN!$H57)</f>
        <v xml:space="preserve"> </v>
      </c>
      <c r="M58" s="45" t="str">
        <f>IF('FSC JAX'!$H57=0," ",'FSC JAX'!$H57)</f>
        <v xml:space="preserve"> </v>
      </c>
      <c r="N58" s="45" t="str">
        <f>IF('FL KEYS'!$H57=0," ",'FL KEYS'!$H57)</f>
        <v xml:space="preserve"> </v>
      </c>
      <c r="O58" s="45" t="str">
        <f>IF('GULF COAST'!$H57=0," ",'GULF COAST'!$H57)</f>
        <v xml:space="preserve"> </v>
      </c>
      <c r="P58" s="45" t="str">
        <f>IF(HILLSBOROUGH!$H57=0," ",HILLSBOROUGH!$H57)</f>
        <v xml:space="preserve"> </v>
      </c>
      <c r="Q58" s="45" t="str">
        <f>IF('INDIAN RIVER'!$H57=0," ",'INDIAN RIVER'!$H57)</f>
        <v>No</v>
      </c>
      <c r="R58" s="45" t="str">
        <f>IF(GATEWAY!$H57=0," ",GATEWAY!$H57)</f>
        <v xml:space="preserve"> </v>
      </c>
      <c r="S58" s="45" t="str">
        <f>IF('LAKE SUMTER'!$H57=0," ",'LAKE SUMTER'!$H57)</f>
        <v>No</v>
      </c>
      <c r="T58" s="45" t="str">
        <f>IF('SCF MANATEE'!$H57=0," ",'SCF MANATEE'!$H57)</f>
        <v>Partial</v>
      </c>
      <c r="U58" s="45" t="str">
        <f>IF(MIAMI!$H57=0," ",MIAMI!$H57)</f>
        <v>No</v>
      </c>
      <c r="V58" s="45" t="str">
        <f>IF('NORTH FLORIDA'!$H57=0," ",'NORTH FLORIDA'!$H57)</f>
        <v xml:space="preserve"> </v>
      </c>
      <c r="W58" s="45" t="str">
        <f>IF('NORTHWEST FLORIDA'!$H57=0," ",'NORTHWEST FLORIDA'!$H57)</f>
        <v>Partial</v>
      </c>
      <c r="X58" s="45" t="str">
        <f>IF('PALM BEACH'!$H57=0," ",'PALM BEACH'!$H57)</f>
        <v xml:space="preserve"> </v>
      </c>
      <c r="Y58" s="45" t="str">
        <f>IF(PASCO!$H57=0," ",PASCO!$H57)</f>
        <v xml:space="preserve"> </v>
      </c>
      <c r="Z58" s="45" t="str">
        <f>IF(PENSACOLA!$H57=0," ",PENSACOLA!$H57)</f>
        <v>no</v>
      </c>
      <c r="AA58" s="45" t="str">
        <f>IF(POLK!$H57=0," ",POLK!$H57)</f>
        <v xml:space="preserve"> </v>
      </c>
      <c r="AB58" s="45" t="str">
        <f>IF('ST JOHNS'!$H57=0," ",'ST JOHNS'!$H57)</f>
        <v xml:space="preserve"> </v>
      </c>
      <c r="AC58" s="45" t="str">
        <f>IF('ST PETE'!$H57=0," ",'ST PETE'!$H57)</f>
        <v>Yes</v>
      </c>
      <c r="AD58" s="45" t="str">
        <f>IF('SANTA FE'!$H57=0," ",'SANTA FE'!$H57)</f>
        <v xml:space="preserve"> </v>
      </c>
      <c r="AE58" s="45" t="str">
        <f>IF(SEMINOLE!$H57=0," ",SEMINOLE!$H57)</f>
        <v xml:space="preserve"> </v>
      </c>
      <c r="AF58" s="45" t="str">
        <f>IF('SOUTH FLORIDA'!$H57=0," ",'SOUTH FLORIDA'!$H57)</f>
        <v xml:space="preserve"> </v>
      </c>
      <c r="AG58" s="45" t="str">
        <f>IF(TALLAHASSEE!$H57=0," ",TALLAHASSEE!$H57)</f>
        <v xml:space="preserve"> </v>
      </c>
      <c r="AH58" s="45" t="str">
        <f>IF(VALENCIA!$H57=0," ",VALENCIA!$H57)</f>
        <v>No</v>
      </c>
      <c r="AI58" s="43" t="s">
        <v>24</v>
      </c>
      <c r="AK58" s="29">
        <f t="shared" si="1"/>
        <v>1</v>
      </c>
      <c r="AL58" s="29">
        <f t="shared" si="2"/>
        <v>9</v>
      </c>
      <c r="AM58" s="29">
        <f t="shared" si="3"/>
        <v>2</v>
      </c>
      <c r="AN58" s="29">
        <f t="shared" si="4"/>
        <v>12</v>
      </c>
      <c r="AO58" s="50">
        <f t="shared" si="5"/>
        <v>8.3333333333333329E-2</v>
      </c>
      <c r="AP58" s="49">
        <f t="shared" si="6"/>
        <v>0.75</v>
      </c>
      <c r="AQ58" s="50">
        <f t="shared" si="7"/>
        <v>0.16666666666666666</v>
      </c>
    </row>
    <row r="59" spans="1:43" x14ac:dyDescent="0.35">
      <c r="A59" s="9"/>
      <c r="B59" s="9"/>
      <c r="C59" s="10" t="s">
        <v>114</v>
      </c>
      <c r="D59" s="9"/>
      <c r="E59" s="9"/>
      <c r="F59" s="9" t="s">
        <v>115</v>
      </c>
      <c r="G59" s="45" t="str">
        <f>IF(EASTERN!H58=0," ",EASTERN!H58)</f>
        <v xml:space="preserve"> </v>
      </c>
      <c r="H59" s="45" t="str">
        <f>IF(BROWARD!$H58=0," ",BROWARD!$H58)</f>
        <v xml:space="preserve"> </v>
      </c>
      <c r="I59" s="45" t="str">
        <f>IF(CENTRAL!$H58=0," ",CENTRAL!$H58)</f>
        <v xml:space="preserve"> </v>
      </c>
      <c r="J59" s="45" t="str">
        <f>IF(CHIPOLA!$H58=0," ",CHIPOLA!$H58)</f>
        <v xml:space="preserve"> </v>
      </c>
      <c r="K59" s="45" t="str">
        <f>IF(DAYTONA!$H58=0," ",DAYTONA!$H58)</f>
        <v xml:space="preserve"> </v>
      </c>
      <c r="L59" s="45" t="str">
        <f>IF(SOUTHWESTERN!$H58=0," ",SOUTHWESTERN!$H58)</f>
        <v xml:space="preserve"> </v>
      </c>
      <c r="M59" s="45" t="str">
        <f>IF('FSC JAX'!$H58=0," ",'FSC JAX'!$H58)</f>
        <v xml:space="preserve"> </v>
      </c>
      <c r="N59" s="45" t="str">
        <f>IF('FL KEYS'!$H58=0," ",'FL KEYS'!$H58)</f>
        <v xml:space="preserve"> </v>
      </c>
      <c r="O59" s="45" t="str">
        <f>IF('GULF COAST'!$H58=0," ",'GULF COAST'!$H58)</f>
        <v xml:space="preserve"> </v>
      </c>
      <c r="P59" s="45" t="str">
        <f>IF(HILLSBOROUGH!$H58=0," ",HILLSBOROUGH!$H58)</f>
        <v>No</v>
      </c>
      <c r="Q59" s="45" t="str">
        <f>IF('INDIAN RIVER'!$H58=0," ",'INDIAN RIVER'!$H58)</f>
        <v xml:space="preserve"> </v>
      </c>
      <c r="R59" s="45" t="str">
        <f>IF(GATEWAY!$H58=0," ",GATEWAY!$H58)</f>
        <v xml:space="preserve"> </v>
      </c>
      <c r="S59" s="45" t="str">
        <f>IF('LAKE SUMTER'!$H58=0," ",'LAKE SUMTER'!$H58)</f>
        <v xml:space="preserve"> </v>
      </c>
      <c r="T59" s="45" t="str">
        <f>IF('SCF MANATEE'!$H58=0," ",'SCF MANATEE'!$H58)</f>
        <v xml:space="preserve"> </v>
      </c>
      <c r="U59" s="45" t="str">
        <f>IF(MIAMI!$H58=0," ",MIAMI!$H58)</f>
        <v>No</v>
      </c>
      <c r="V59" s="45" t="str">
        <f>IF('NORTH FLORIDA'!$H58=0," ",'NORTH FLORIDA'!$H58)</f>
        <v xml:space="preserve"> </v>
      </c>
      <c r="W59" s="45" t="str">
        <f>IF('NORTHWEST FLORIDA'!$H58=0," ",'NORTHWEST FLORIDA'!$H58)</f>
        <v xml:space="preserve"> </v>
      </c>
      <c r="X59" s="45" t="str">
        <f>IF('PALM BEACH'!$H58=0," ",'PALM BEACH'!$H58)</f>
        <v xml:space="preserve"> </v>
      </c>
      <c r="Y59" s="45" t="str">
        <f>IF(PASCO!$H58=0," ",PASCO!$H58)</f>
        <v xml:space="preserve"> </v>
      </c>
      <c r="Z59" s="45" t="str">
        <f>IF(PENSACOLA!$H58=0," ",PENSACOLA!$H58)</f>
        <v xml:space="preserve"> </v>
      </c>
      <c r="AA59" s="45" t="str">
        <f>IF(POLK!$H58=0," ",POLK!$H58)</f>
        <v xml:space="preserve"> </v>
      </c>
      <c r="AB59" s="45" t="str">
        <f>IF('ST JOHNS'!$H58=0," ",'ST JOHNS'!$H58)</f>
        <v xml:space="preserve"> </v>
      </c>
      <c r="AC59" s="45" t="str">
        <f>IF('ST PETE'!$H58=0," ",'ST PETE'!$H58)</f>
        <v xml:space="preserve"> </v>
      </c>
      <c r="AD59" s="45" t="str">
        <f>IF('SANTA FE'!$H58=0," ",'SANTA FE'!$H58)</f>
        <v xml:space="preserve"> </v>
      </c>
      <c r="AE59" s="45" t="str">
        <f>IF(SEMINOLE!$H58=0," ",SEMINOLE!$H58)</f>
        <v xml:space="preserve"> </v>
      </c>
      <c r="AF59" s="45" t="str">
        <f>IF('SOUTH FLORIDA'!$H58=0," ",'SOUTH FLORIDA'!$H58)</f>
        <v xml:space="preserve"> </v>
      </c>
      <c r="AG59" s="45" t="str">
        <f>IF(TALLAHASSEE!$H58=0," ",TALLAHASSEE!$H58)</f>
        <v xml:space="preserve"> </v>
      </c>
      <c r="AH59" s="45" t="str">
        <f>IF(VALENCIA!$H58=0," ",VALENCIA!$H58)</f>
        <v xml:space="preserve"> </v>
      </c>
      <c r="AI59" s="43" t="s">
        <v>24</v>
      </c>
      <c r="AK59" s="29">
        <f t="shared" si="1"/>
        <v>0</v>
      </c>
      <c r="AL59" s="29">
        <f t="shared" si="2"/>
        <v>2</v>
      </c>
      <c r="AM59" s="29">
        <f t="shared" si="3"/>
        <v>0</v>
      </c>
      <c r="AN59" s="29">
        <f t="shared" si="4"/>
        <v>2</v>
      </c>
      <c r="AO59" s="50">
        <f t="shared" si="5"/>
        <v>0</v>
      </c>
      <c r="AP59" s="49">
        <f t="shared" si="6"/>
        <v>1</v>
      </c>
      <c r="AQ59" s="50">
        <f t="shared" si="7"/>
        <v>0</v>
      </c>
    </row>
    <row r="60" spans="1:43" x14ac:dyDescent="0.35">
      <c r="A60" s="9"/>
      <c r="B60" s="9"/>
      <c r="C60" s="10" t="s">
        <v>116</v>
      </c>
      <c r="D60" s="9"/>
      <c r="E60" s="9"/>
      <c r="F60" s="9" t="s">
        <v>117</v>
      </c>
      <c r="G60" s="45" t="str">
        <f>IF(EASTERN!H59=0," ",EASTERN!H59)</f>
        <v xml:space="preserve"> </v>
      </c>
      <c r="H60" s="45" t="str">
        <f>IF(BROWARD!$H59=0," ",BROWARD!$H59)</f>
        <v xml:space="preserve"> </v>
      </c>
      <c r="I60" s="45" t="str">
        <f>IF(CENTRAL!$H59=0," ",CENTRAL!$H59)</f>
        <v>no</v>
      </c>
      <c r="J60" s="45" t="str">
        <f>IF(CHIPOLA!$H59=0," ",CHIPOLA!$H59)</f>
        <v>No</v>
      </c>
      <c r="K60" s="45" t="str">
        <f>IF(DAYTONA!$H59=0," ",DAYTONA!$H59)</f>
        <v xml:space="preserve"> </v>
      </c>
      <c r="L60" s="45" t="str">
        <f>IF(SOUTHWESTERN!$H59=0," ",SOUTHWESTERN!$H59)</f>
        <v xml:space="preserve"> </v>
      </c>
      <c r="M60" s="45" t="str">
        <f>IF('FSC JAX'!$H59=0," ",'FSC JAX'!$H59)</f>
        <v>No</v>
      </c>
      <c r="N60" s="45" t="str">
        <f>IF('FL KEYS'!$H59=0," ",'FL KEYS'!$H59)</f>
        <v>Partial</v>
      </c>
      <c r="O60" s="45" t="str">
        <f>IF('GULF COAST'!$H59=0," ",'GULF COAST'!$H59)</f>
        <v xml:space="preserve"> </v>
      </c>
      <c r="P60" s="45" t="str">
        <f>IF(HILLSBOROUGH!$H59=0," ",HILLSBOROUGH!$H59)</f>
        <v>No</v>
      </c>
      <c r="Q60" s="45" t="str">
        <f>IF('INDIAN RIVER'!$H59=0," ",'INDIAN RIVER'!$H59)</f>
        <v xml:space="preserve"> </v>
      </c>
      <c r="R60" s="45" t="str">
        <f>IF(GATEWAY!$H59=0," ",GATEWAY!$H59)</f>
        <v xml:space="preserve"> </v>
      </c>
      <c r="S60" s="45" t="str">
        <f>IF('LAKE SUMTER'!$H59=0," ",'LAKE SUMTER'!$H59)</f>
        <v>No</v>
      </c>
      <c r="T60" s="45" t="str">
        <f>IF('SCF MANATEE'!$H59=0," ",'SCF MANATEE'!$H59)</f>
        <v>Partial</v>
      </c>
      <c r="U60" s="45" t="str">
        <f>IF(MIAMI!$H59=0," ",MIAMI!$H59)</f>
        <v>No</v>
      </c>
      <c r="V60" s="45" t="str">
        <f>IF('NORTH FLORIDA'!$H59=0," ",'NORTH FLORIDA'!$H59)</f>
        <v>No</v>
      </c>
      <c r="W60" s="45" t="str">
        <f>IF('NORTHWEST FLORIDA'!$H59=0," ",'NORTHWEST FLORIDA'!$H59)</f>
        <v xml:space="preserve"> </v>
      </c>
      <c r="X60" s="45" t="str">
        <f>IF('PALM BEACH'!$H59=0," ",'PALM BEACH'!$H59)</f>
        <v>No</v>
      </c>
      <c r="Y60" s="45" t="str">
        <f>IF(PASCO!$H59=0," ",PASCO!$H59)</f>
        <v xml:space="preserve"> </v>
      </c>
      <c r="Z60" s="45" t="str">
        <f>IF(PENSACOLA!$H59=0," ",PENSACOLA!$H59)</f>
        <v>no</v>
      </c>
      <c r="AA60" s="45" t="str">
        <f>IF(POLK!$H59=0," ",POLK!$H59)</f>
        <v xml:space="preserve"> </v>
      </c>
      <c r="AB60" s="45" t="str">
        <f>IF('ST JOHNS'!$H59=0," ",'ST JOHNS'!$H59)</f>
        <v xml:space="preserve"> </v>
      </c>
      <c r="AC60" s="45" t="str">
        <f>IF('ST PETE'!$H59=0," ",'ST PETE'!$H59)</f>
        <v xml:space="preserve"> </v>
      </c>
      <c r="AD60" s="45" t="str">
        <f>IF('SANTA FE'!$H59=0," ",'SANTA FE'!$H59)</f>
        <v xml:space="preserve"> </v>
      </c>
      <c r="AE60" s="45" t="str">
        <f>IF(SEMINOLE!$H59=0," ",SEMINOLE!$H59)</f>
        <v>No</v>
      </c>
      <c r="AF60" s="45" t="str">
        <f>IF('SOUTH FLORIDA'!$H59=0," ",'SOUTH FLORIDA'!$H59)</f>
        <v>Yes</v>
      </c>
      <c r="AG60" s="45" t="str">
        <f>IF(TALLAHASSEE!$H59=0," ",TALLAHASSEE!$H59)</f>
        <v>No</v>
      </c>
      <c r="AH60" s="45" t="str">
        <f>IF(VALENCIA!$H59=0," ",VALENCIA!$H59)</f>
        <v>No</v>
      </c>
      <c r="AI60" s="43" t="s">
        <v>24</v>
      </c>
      <c r="AK60" s="29">
        <f t="shared" si="1"/>
        <v>1</v>
      </c>
      <c r="AL60" s="29">
        <f t="shared" si="2"/>
        <v>12</v>
      </c>
      <c r="AM60" s="29">
        <f t="shared" si="3"/>
        <v>2</v>
      </c>
      <c r="AN60" s="29">
        <f t="shared" si="4"/>
        <v>15</v>
      </c>
      <c r="AO60" s="50">
        <f t="shared" si="5"/>
        <v>6.6666666666666666E-2</v>
      </c>
      <c r="AP60" s="49">
        <f t="shared" si="6"/>
        <v>0.8</v>
      </c>
      <c r="AQ60" s="50">
        <f t="shared" si="7"/>
        <v>0.13333333333333333</v>
      </c>
    </row>
    <row r="61" spans="1:43" x14ac:dyDescent="0.35">
      <c r="A61" s="9"/>
      <c r="B61" s="9"/>
      <c r="C61" s="10" t="s">
        <v>118</v>
      </c>
      <c r="D61" s="9"/>
      <c r="E61" s="9"/>
      <c r="F61" s="9" t="s">
        <v>119</v>
      </c>
      <c r="G61" s="45" t="str">
        <f>IF(EASTERN!H60=0," ",EASTERN!H60)</f>
        <v xml:space="preserve"> </v>
      </c>
      <c r="H61" s="45" t="str">
        <f>IF(BROWARD!$H60=0," ",BROWARD!$H60)</f>
        <v>Yes</v>
      </c>
      <c r="I61" s="45" t="str">
        <f>IF(CENTRAL!$H60=0," ",CENTRAL!$H60)</f>
        <v xml:space="preserve"> </v>
      </c>
      <c r="J61" s="45" t="str">
        <f>IF(CHIPOLA!$H60=0," ",CHIPOLA!$H60)</f>
        <v xml:space="preserve"> </v>
      </c>
      <c r="K61" s="45" t="str">
        <f>IF(DAYTONA!$H60=0," ",DAYTONA!$H60)</f>
        <v xml:space="preserve"> </v>
      </c>
      <c r="L61" s="45" t="str">
        <f>IF(SOUTHWESTERN!$H60=0," ",SOUTHWESTERN!$H60)</f>
        <v xml:space="preserve"> </v>
      </c>
      <c r="M61" s="45" t="str">
        <f>IF('FSC JAX'!$H60=0," ",'FSC JAX'!$H60)</f>
        <v>Yes</v>
      </c>
      <c r="N61" s="45" t="str">
        <f>IF('FL KEYS'!$H60=0," ",'FL KEYS'!$H60)</f>
        <v xml:space="preserve"> </v>
      </c>
      <c r="O61" s="45" t="str">
        <f>IF('GULF COAST'!$H60=0," ",'GULF COAST'!$H60)</f>
        <v>No</v>
      </c>
      <c r="P61" s="45" t="str">
        <f>IF(HILLSBOROUGH!$H60=0," ",HILLSBOROUGH!$H60)</f>
        <v>No</v>
      </c>
      <c r="Q61" s="45" t="str">
        <f>IF('INDIAN RIVER'!$H60=0," ",'INDIAN RIVER'!$H60)</f>
        <v xml:space="preserve"> </v>
      </c>
      <c r="R61" s="45" t="str">
        <f>IF(GATEWAY!$H60=0," ",GATEWAY!$H60)</f>
        <v xml:space="preserve"> </v>
      </c>
      <c r="S61" s="45" t="str">
        <f>IF('LAKE SUMTER'!$H60=0," ",'LAKE SUMTER'!$H60)</f>
        <v>No</v>
      </c>
      <c r="T61" s="45" t="str">
        <f>IF('SCF MANATEE'!$H60=0," ",'SCF MANATEE'!$H60)</f>
        <v>Partial</v>
      </c>
      <c r="U61" s="45" t="str">
        <f>IF(MIAMI!$H60=0," ",MIAMI!$H60)</f>
        <v>Yes</v>
      </c>
      <c r="V61" s="45" t="str">
        <f>IF('NORTH FLORIDA'!$H60=0," ",'NORTH FLORIDA'!$H60)</f>
        <v xml:space="preserve"> </v>
      </c>
      <c r="W61" s="45" t="str">
        <f>IF('NORTHWEST FLORIDA'!$H60=0," ",'NORTHWEST FLORIDA'!$H60)</f>
        <v xml:space="preserve"> </v>
      </c>
      <c r="X61" s="45" t="str">
        <f>IF('PALM BEACH'!$H60=0," ",'PALM BEACH'!$H60)</f>
        <v>No</v>
      </c>
      <c r="Y61" s="45" t="str">
        <f>IF(PASCO!$H60=0," ",PASCO!$H60)</f>
        <v>no</v>
      </c>
      <c r="Z61" s="45" t="str">
        <f>IF(PENSACOLA!$H60=0," ",PENSACOLA!$H60)</f>
        <v>no</v>
      </c>
      <c r="AA61" s="45" t="str">
        <f>IF(POLK!$H60=0," ",POLK!$H60)</f>
        <v xml:space="preserve"> </v>
      </c>
      <c r="AB61" s="45" t="str">
        <f>IF('ST JOHNS'!$H60=0," ",'ST JOHNS'!$H60)</f>
        <v xml:space="preserve"> </v>
      </c>
      <c r="AC61" s="45" t="str">
        <f>IF('ST PETE'!$H60=0," ",'ST PETE'!$H60)</f>
        <v xml:space="preserve"> </v>
      </c>
      <c r="AD61" s="45" t="str">
        <f>IF('SANTA FE'!$H60=0," ",'SANTA FE'!$H60)</f>
        <v xml:space="preserve"> </v>
      </c>
      <c r="AE61" s="45" t="str">
        <f>IF(SEMINOLE!$H60=0," ",SEMINOLE!$H60)</f>
        <v>No</v>
      </c>
      <c r="AF61" s="45" t="str">
        <f>IF('SOUTH FLORIDA'!$H60=0," ",'SOUTH FLORIDA'!$H60)</f>
        <v>Yes</v>
      </c>
      <c r="AG61" s="45" t="str">
        <f>IF(TALLAHASSEE!$H60=0," ",TALLAHASSEE!$H60)</f>
        <v xml:space="preserve"> </v>
      </c>
      <c r="AH61" s="45" t="str">
        <f>IF(VALENCIA!$H60=0," ",VALENCIA!$H60)</f>
        <v xml:space="preserve"> </v>
      </c>
      <c r="AI61" s="43" t="s">
        <v>24</v>
      </c>
      <c r="AK61" s="29">
        <f t="shared" si="1"/>
        <v>4</v>
      </c>
      <c r="AL61" s="29">
        <f t="shared" si="2"/>
        <v>7</v>
      </c>
      <c r="AM61" s="29">
        <f t="shared" si="3"/>
        <v>1</v>
      </c>
      <c r="AN61" s="29">
        <f t="shared" si="4"/>
        <v>12</v>
      </c>
      <c r="AO61" s="50">
        <f t="shared" si="5"/>
        <v>0.33333333333333331</v>
      </c>
      <c r="AP61" s="49">
        <f t="shared" si="6"/>
        <v>0.58333333333333337</v>
      </c>
      <c r="AQ61" s="50">
        <f t="shared" si="7"/>
        <v>8.3333333333333329E-2</v>
      </c>
    </row>
    <row r="62" spans="1:43" x14ac:dyDescent="0.35">
      <c r="A62" s="9"/>
      <c r="B62" s="9"/>
      <c r="C62" s="10" t="s">
        <v>120</v>
      </c>
      <c r="D62" s="9"/>
      <c r="E62" s="9"/>
      <c r="F62" s="9" t="s">
        <v>121</v>
      </c>
      <c r="G62" s="45" t="str">
        <f>IF(EASTERN!H61=0," ",EASTERN!H61)</f>
        <v>No</v>
      </c>
      <c r="H62" s="45" t="str">
        <f>IF(BROWARD!$H61=0," ",BROWARD!$H61)</f>
        <v xml:space="preserve"> </v>
      </c>
      <c r="I62" s="45" t="str">
        <f>IF(CENTRAL!$H61=0," ",CENTRAL!$H61)</f>
        <v xml:space="preserve"> </v>
      </c>
      <c r="J62" s="45" t="str">
        <f>IF(CHIPOLA!$H61=0," ",CHIPOLA!$H61)</f>
        <v>Yes</v>
      </c>
      <c r="K62" s="45" t="str">
        <f>IF(DAYTONA!$H61=0," ",DAYTONA!$H61)</f>
        <v>No</v>
      </c>
      <c r="L62" s="45" t="str">
        <f>IF(SOUTHWESTERN!$H61=0," ",SOUTHWESTERN!$H61)</f>
        <v xml:space="preserve"> </v>
      </c>
      <c r="M62" s="45" t="str">
        <f>IF('FSC JAX'!$H61=0," ",'FSC JAX'!$H61)</f>
        <v>No</v>
      </c>
      <c r="N62" s="45" t="str">
        <f>IF('FL KEYS'!$H61=0," ",'FL KEYS'!$H61)</f>
        <v xml:space="preserve"> </v>
      </c>
      <c r="O62" s="45" t="str">
        <f>IF('GULF COAST'!$H61=0," ",'GULF COAST'!$H61)</f>
        <v>Yes</v>
      </c>
      <c r="P62" s="45" t="str">
        <f>IF(HILLSBOROUGH!$H61=0," ",HILLSBOROUGH!$H61)</f>
        <v xml:space="preserve"> </v>
      </c>
      <c r="Q62" s="45" t="str">
        <f>IF('INDIAN RIVER'!$H61=0," ",'INDIAN RIVER'!$H61)</f>
        <v>Yes</v>
      </c>
      <c r="R62" s="45" t="str">
        <f>IF(GATEWAY!$H61=0," ",GATEWAY!$H61)</f>
        <v xml:space="preserve"> </v>
      </c>
      <c r="S62" s="45" t="str">
        <f>IF('LAKE SUMTER'!$H61=0," ",'LAKE SUMTER'!$H61)</f>
        <v>Yes</v>
      </c>
      <c r="T62" s="45" t="str">
        <f>IF('SCF MANATEE'!$H61=0," ",'SCF MANATEE'!$H61)</f>
        <v>Yes</v>
      </c>
      <c r="U62" s="45" t="str">
        <f>IF(MIAMI!$H61=0," ",MIAMI!$H61)</f>
        <v xml:space="preserve"> </v>
      </c>
      <c r="V62" s="45" t="str">
        <f>IF('NORTH FLORIDA'!$H61=0," ",'NORTH FLORIDA'!$H61)</f>
        <v>No</v>
      </c>
      <c r="W62" s="45" t="str">
        <f>IF('NORTHWEST FLORIDA'!$H61=0," ",'NORTHWEST FLORIDA'!$H61)</f>
        <v>No</v>
      </c>
      <c r="X62" s="45" t="str">
        <f>IF('PALM BEACH'!$H61=0," ",'PALM BEACH'!$H61)</f>
        <v>No</v>
      </c>
      <c r="Y62" s="45" t="str">
        <f>IF(PASCO!$H61=0," ",PASCO!$H61)</f>
        <v>Yes</v>
      </c>
      <c r="Z62" s="45" t="str">
        <f>IF(PENSACOLA!$H61=0," ",PENSACOLA!$H61)</f>
        <v>yes</v>
      </c>
      <c r="AA62" s="45" t="str">
        <f>IF(POLK!$H61=0," ",POLK!$H61)</f>
        <v>Yes</v>
      </c>
      <c r="AB62" s="45" t="str">
        <f>IF('ST JOHNS'!$H61=0," ",'ST JOHNS'!$H61)</f>
        <v xml:space="preserve"> </v>
      </c>
      <c r="AC62" s="45" t="str">
        <f>IF('ST PETE'!$H61=0," ",'ST PETE'!$H61)</f>
        <v>Yes</v>
      </c>
      <c r="AD62" s="45" t="str">
        <f>IF('SANTA FE'!$H61=0," ",'SANTA FE'!$H61)</f>
        <v>Yes</v>
      </c>
      <c r="AE62" s="45" t="str">
        <f>IF(SEMINOLE!$H61=0," ",SEMINOLE!$H61)</f>
        <v>Yes</v>
      </c>
      <c r="AF62" s="45" t="str">
        <f>IF('SOUTH FLORIDA'!$H61=0," ",'SOUTH FLORIDA'!$H61)</f>
        <v>Yes</v>
      </c>
      <c r="AG62" s="45" t="str">
        <f>IF(TALLAHASSEE!$H61=0," ",TALLAHASSEE!$H61)</f>
        <v>No</v>
      </c>
      <c r="AH62" s="45" t="str">
        <f>IF(VALENCIA!$H61=0," ",VALENCIA!$H61)</f>
        <v>Yes</v>
      </c>
      <c r="AI62" s="43" t="s">
        <v>15</v>
      </c>
      <c r="AK62" s="29">
        <f t="shared" si="1"/>
        <v>13</v>
      </c>
      <c r="AL62" s="29">
        <f t="shared" si="2"/>
        <v>7</v>
      </c>
      <c r="AM62" s="29">
        <f t="shared" si="3"/>
        <v>0</v>
      </c>
      <c r="AN62" s="29">
        <f t="shared" si="4"/>
        <v>20</v>
      </c>
      <c r="AO62" s="49">
        <f t="shared" si="5"/>
        <v>0.65</v>
      </c>
      <c r="AP62" s="50">
        <f t="shared" si="6"/>
        <v>0.35</v>
      </c>
      <c r="AQ62" s="50">
        <f t="shared" si="7"/>
        <v>0</v>
      </c>
    </row>
    <row r="63" spans="1:43" x14ac:dyDescent="0.35">
      <c r="A63" s="9"/>
      <c r="B63" s="9"/>
      <c r="C63" s="10" t="s">
        <v>122</v>
      </c>
      <c r="D63" s="9"/>
      <c r="E63" s="9"/>
      <c r="F63" s="9" t="s">
        <v>123</v>
      </c>
      <c r="G63" s="45" t="str">
        <f>IF(EASTERN!H62=0," ",EASTERN!H62)</f>
        <v>No</v>
      </c>
      <c r="H63" s="45" t="str">
        <f>IF(BROWARD!$H62=0," ",BROWARD!$H62)</f>
        <v>Partial</v>
      </c>
      <c r="I63" s="45" t="str">
        <f>IF(CENTRAL!$H62=0," ",CENTRAL!$H62)</f>
        <v>no</v>
      </c>
      <c r="J63" s="45" t="str">
        <f>IF(CHIPOLA!$H62=0," ",CHIPOLA!$H62)</f>
        <v>No</v>
      </c>
      <c r="K63" s="45" t="str">
        <f>IF(DAYTONA!$H62=0," ",DAYTONA!$H62)</f>
        <v>No</v>
      </c>
      <c r="L63" s="45" t="str">
        <f>IF(SOUTHWESTERN!$H62=0," ",SOUTHWESTERN!$H62)</f>
        <v>Partial</v>
      </c>
      <c r="M63" s="45" t="str">
        <f>IF('FSC JAX'!$H62=0," ",'FSC JAX'!$H62)</f>
        <v>No</v>
      </c>
      <c r="N63" s="45" t="str">
        <f>IF('FL KEYS'!$H62=0," ",'FL KEYS'!$H62)</f>
        <v xml:space="preserve"> </v>
      </c>
      <c r="O63" s="45" t="str">
        <f>IF('GULF COAST'!$H62=0," ",'GULF COAST'!$H62)</f>
        <v>No</v>
      </c>
      <c r="P63" s="45" t="str">
        <f>IF(HILLSBOROUGH!$H62=0," ",HILLSBOROUGH!$H62)</f>
        <v xml:space="preserve"> </v>
      </c>
      <c r="Q63" s="45" t="str">
        <f>IF('INDIAN RIVER'!$H62=0," ",'INDIAN RIVER'!$H62)</f>
        <v xml:space="preserve"> </v>
      </c>
      <c r="R63" s="45" t="str">
        <f>IF(GATEWAY!$H62=0," ",GATEWAY!$H62)</f>
        <v>No</v>
      </c>
      <c r="S63" s="45" t="str">
        <f>IF('LAKE SUMTER'!$H62=0," ",'LAKE SUMTER'!$H62)</f>
        <v>No</v>
      </c>
      <c r="T63" s="45" t="str">
        <f>IF('SCF MANATEE'!$H62=0," ",'SCF MANATEE'!$H62)</f>
        <v>Partial</v>
      </c>
      <c r="U63" s="45" t="str">
        <f>IF(MIAMI!$H62=0," ",MIAMI!$H62)</f>
        <v>No</v>
      </c>
      <c r="V63" s="45" t="str">
        <f>IF('NORTH FLORIDA'!$H62=0," ",'NORTH FLORIDA'!$H62)</f>
        <v xml:space="preserve"> </v>
      </c>
      <c r="W63" s="45" t="str">
        <f>IF('NORTHWEST FLORIDA'!$H62=0," ",'NORTHWEST FLORIDA'!$H62)</f>
        <v>No</v>
      </c>
      <c r="X63" s="45" t="str">
        <f>IF('PALM BEACH'!$H62=0," ",'PALM BEACH'!$H62)</f>
        <v xml:space="preserve"> </v>
      </c>
      <c r="Y63" s="45" t="str">
        <f>IF(PASCO!$H62=0," ",PASCO!$H62)</f>
        <v>No</v>
      </c>
      <c r="Z63" s="45" t="str">
        <f>IF(PENSACOLA!$H62=0," ",PENSACOLA!$H62)</f>
        <v>no</v>
      </c>
      <c r="AA63" s="45" t="str">
        <f>IF(POLK!$H62=0," ",POLK!$H62)</f>
        <v>No</v>
      </c>
      <c r="AB63" s="45" t="str">
        <f>IF('ST JOHNS'!$H62=0," ",'ST JOHNS'!$H62)</f>
        <v xml:space="preserve"> </v>
      </c>
      <c r="AC63" s="45" t="str">
        <f>IF('ST PETE'!$H62=0," ",'ST PETE'!$H62)</f>
        <v>No</v>
      </c>
      <c r="AD63" s="45" t="str">
        <f>IF('SANTA FE'!$H62=0," ",'SANTA FE'!$H62)</f>
        <v>No</v>
      </c>
      <c r="AE63" s="45" t="str">
        <f>IF(SEMINOLE!$H62=0," ",SEMINOLE!$H62)</f>
        <v>Partial</v>
      </c>
      <c r="AF63" s="45" t="str">
        <f>IF('SOUTH FLORIDA'!$H62=0," ",'SOUTH FLORIDA'!$H62)</f>
        <v>Yes</v>
      </c>
      <c r="AG63" s="45" t="str">
        <f>IF(TALLAHASSEE!$H62=0," ",TALLAHASSEE!$H62)</f>
        <v>Yes</v>
      </c>
      <c r="AH63" s="45" t="str">
        <f>IF(VALENCIA!$H62=0," ",VALENCIA!$H62)</f>
        <v>No</v>
      </c>
      <c r="AI63" s="43" t="s">
        <v>24</v>
      </c>
      <c r="AK63" s="29">
        <f t="shared" si="1"/>
        <v>2</v>
      </c>
      <c r="AL63" s="29">
        <f t="shared" si="2"/>
        <v>16</v>
      </c>
      <c r="AM63" s="29">
        <f t="shared" si="3"/>
        <v>4</v>
      </c>
      <c r="AN63" s="29">
        <f t="shared" si="4"/>
        <v>22</v>
      </c>
      <c r="AO63" s="50">
        <f t="shared" si="5"/>
        <v>9.0909090909090912E-2</v>
      </c>
      <c r="AP63" s="49">
        <f t="shared" si="6"/>
        <v>0.72727272727272729</v>
      </c>
      <c r="AQ63" s="50">
        <f t="shared" si="7"/>
        <v>0.18181818181818182</v>
      </c>
    </row>
    <row r="64" spans="1:43" x14ac:dyDescent="0.35">
      <c r="A64" s="9"/>
      <c r="B64" s="9"/>
      <c r="C64" s="10" t="s">
        <v>124</v>
      </c>
      <c r="D64" s="9"/>
      <c r="E64" s="9"/>
      <c r="F64" s="9" t="s">
        <v>125</v>
      </c>
      <c r="G64" s="45" t="str">
        <f>IF(EASTERN!H63=0," ",EASTERN!H63)</f>
        <v>No</v>
      </c>
      <c r="H64" s="45" t="str">
        <f>IF(BROWARD!$H63=0," ",BROWARD!$H63)</f>
        <v xml:space="preserve"> </v>
      </c>
      <c r="I64" s="45" t="str">
        <f>IF(CENTRAL!$H63=0," ",CENTRAL!$H63)</f>
        <v xml:space="preserve"> </v>
      </c>
      <c r="J64" s="45" t="str">
        <f>IF(CHIPOLA!$H63=0," ",CHIPOLA!$H63)</f>
        <v>No</v>
      </c>
      <c r="K64" s="45" t="str">
        <f>IF(DAYTONA!$H63=0," ",DAYTONA!$H63)</f>
        <v>No</v>
      </c>
      <c r="L64" s="45" t="str">
        <f>IF(SOUTHWESTERN!$H63=0," ",SOUTHWESTERN!$H63)</f>
        <v>No</v>
      </c>
      <c r="M64" s="45" t="str">
        <f>IF('FSC JAX'!$H63=0," ",'FSC JAX'!$H63)</f>
        <v>No</v>
      </c>
      <c r="N64" s="45" t="str">
        <f>IF('FL KEYS'!$H63=0," ",'FL KEYS'!$H63)</f>
        <v xml:space="preserve"> </v>
      </c>
      <c r="O64" s="45" t="str">
        <f>IF('GULF COAST'!$H63=0," ",'GULF COAST'!$H63)</f>
        <v>No</v>
      </c>
      <c r="P64" s="45" t="str">
        <f>IF(HILLSBOROUGH!$H63=0," ",HILLSBOROUGH!$H63)</f>
        <v xml:space="preserve"> </v>
      </c>
      <c r="Q64" s="45" t="str">
        <f>IF('INDIAN RIVER'!$H63=0," ",'INDIAN RIVER'!$H63)</f>
        <v xml:space="preserve"> </v>
      </c>
      <c r="R64" s="45" t="str">
        <f>IF(GATEWAY!$H63=0," ",GATEWAY!$H63)</f>
        <v>No</v>
      </c>
      <c r="S64" s="45" t="str">
        <f>IF('LAKE SUMTER'!$H63=0," ",'LAKE SUMTER'!$H63)</f>
        <v>No</v>
      </c>
      <c r="T64" s="45" t="str">
        <f>IF('SCF MANATEE'!$H63=0," ",'SCF MANATEE'!$H63)</f>
        <v xml:space="preserve"> </v>
      </c>
      <c r="U64" s="45" t="str">
        <f>IF(MIAMI!$H63=0," ",MIAMI!$H63)</f>
        <v xml:space="preserve"> </v>
      </c>
      <c r="V64" s="45" t="str">
        <f>IF('NORTH FLORIDA'!$H63=0," ",'NORTH FLORIDA'!$H63)</f>
        <v>No</v>
      </c>
      <c r="W64" s="45" t="str">
        <f>IF('NORTHWEST FLORIDA'!$H63=0," ",'NORTHWEST FLORIDA'!$H63)</f>
        <v xml:space="preserve"> </v>
      </c>
      <c r="X64" s="45" t="str">
        <f>IF('PALM BEACH'!$H63=0," ",'PALM BEACH'!$H63)</f>
        <v>No</v>
      </c>
      <c r="Y64" s="45" t="str">
        <f>IF(PASCO!$H63=0," ",PASCO!$H63)</f>
        <v>No</v>
      </c>
      <c r="Z64" s="45" t="str">
        <f>IF(PENSACOLA!$H63=0," ",PENSACOLA!$H63)</f>
        <v>no</v>
      </c>
      <c r="AA64" s="45" t="str">
        <f>IF(POLK!$H63=0," ",POLK!$H63)</f>
        <v>No</v>
      </c>
      <c r="AB64" s="45" t="str">
        <f>IF('ST JOHNS'!$H63=0," ",'ST JOHNS'!$H63)</f>
        <v xml:space="preserve"> </v>
      </c>
      <c r="AC64" s="45" t="str">
        <f>IF('ST PETE'!$H63=0," ",'ST PETE'!$H63)</f>
        <v>Partial</v>
      </c>
      <c r="AD64" s="45" t="str">
        <f>IF('SANTA FE'!$H63=0," ",'SANTA FE'!$H63)</f>
        <v xml:space="preserve"> </v>
      </c>
      <c r="AE64" s="45" t="str">
        <f>IF(SEMINOLE!$H63=0," ",SEMINOLE!$H63)</f>
        <v>No</v>
      </c>
      <c r="AF64" s="45" t="str">
        <f>IF('SOUTH FLORIDA'!$H63=0," ",'SOUTH FLORIDA'!$H63)</f>
        <v>No</v>
      </c>
      <c r="AG64" s="45" t="str">
        <f>IF(TALLAHASSEE!$H63=0," ",TALLAHASSEE!$H63)</f>
        <v xml:space="preserve"> </v>
      </c>
      <c r="AH64" s="45" t="str">
        <f>IF(VALENCIA!$H63=0," ",VALENCIA!$H63)</f>
        <v xml:space="preserve"> </v>
      </c>
      <c r="AI64" s="43" t="s">
        <v>24</v>
      </c>
      <c r="AK64" s="29">
        <f t="shared" si="1"/>
        <v>0</v>
      </c>
      <c r="AL64" s="29">
        <f t="shared" si="2"/>
        <v>15</v>
      </c>
      <c r="AM64" s="29">
        <f t="shared" si="3"/>
        <v>1</v>
      </c>
      <c r="AN64" s="29">
        <f t="shared" si="4"/>
        <v>16</v>
      </c>
      <c r="AO64" s="50">
        <f t="shared" si="5"/>
        <v>0</v>
      </c>
      <c r="AP64" s="49">
        <f t="shared" si="6"/>
        <v>0.9375</v>
      </c>
      <c r="AQ64" s="50">
        <f t="shared" si="7"/>
        <v>6.25E-2</v>
      </c>
    </row>
    <row r="65" spans="1:43" x14ac:dyDescent="0.35">
      <c r="A65" s="9"/>
      <c r="B65" s="9" t="s">
        <v>126</v>
      </c>
      <c r="C65" s="10"/>
      <c r="D65" s="9"/>
      <c r="E65" s="9" t="s">
        <v>127</v>
      </c>
      <c r="F65" s="9"/>
      <c r="G65" s="45" t="str">
        <f>IF(EASTERN!H64=0," ",EASTERN!H64)</f>
        <v xml:space="preserve"> </v>
      </c>
      <c r="H65" s="45" t="str">
        <f>IF(BROWARD!$H64=0," ",BROWARD!$H64)</f>
        <v xml:space="preserve"> </v>
      </c>
      <c r="I65" s="45" t="str">
        <f>IF(CENTRAL!$H64=0," ",CENTRAL!$H64)</f>
        <v xml:space="preserve"> </v>
      </c>
      <c r="J65" s="45" t="str">
        <f>IF(CHIPOLA!$H64=0," ",CHIPOLA!$H64)</f>
        <v xml:space="preserve"> </v>
      </c>
      <c r="K65" s="45" t="str">
        <f>IF(DAYTONA!$H64=0," ",DAYTONA!$H64)</f>
        <v xml:space="preserve"> </v>
      </c>
      <c r="L65" s="45" t="str">
        <f>IF(SOUTHWESTERN!$H64=0," ",SOUTHWESTERN!$H64)</f>
        <v xml:space="preserve"> </v>
      </c>
      <c r="M65" s="45" t="str">
        <f>IF('FSC JAX'!$H64=0," ",'FSC JAX'!$H64)</f>
        <v xml:space="preserve"> </v>
      </c>
      <c r="N65" s="45" t="str">
        <f>IF('FL KEYS'!$H64=0," ",'FL KEYS'!$H64)</f>
        <v xml:space="preserve"> </v>
      </c>
      <c r="O65" s="45" t="str">
        <f>IF('GULF COAST'!$H64=0," ",'GULF COAST'!$H64)</f>
        <v xml:space="preserve"> </v>
      </c>
      <c r="P65" s="45" t="str">
        <f>IF(HILLSBOROUGH!$H64=0," ",HILLSBOROUGH!$H64)</f>
        <v xml:space="preserve"> </v>
      </c>
      <c r="Q65" s="45" t="str">
        <f>IF('INDIAN RIVER'!$H64=0," ",'INDIAN RIVER'!$H64)</f>
        <v xml:space="preserve"> </v>
      </c>
      <c r="R65" s="45" t="str">
        <f>IF(GATEWAY!$H64=0," ",GATEWAY!$H64)</f>
        <v xml:space="preserve"> </v>
      </c>
      <c r="S65" s="45" t="str">
        <f>IF('LAKE SUMTER'!$H64=0," ",'LAKE SUMTER'!$H64)</f>
        <v xml:space="preserve"> </v>
      </c>
      <c r="T65" s="45" t="str">
        <f>IF('SCF MANATEE'!$H64=0," ",'SCF MANATEE'!$H64)</f>
        <v xml:space="preserve"> </v>
      </c>
      <c r="U65" s="45" t="str">
        <f>IF(MIAMI!$H64=0," ",MIAMI!$H64)</f>
        <v xml:space="preserve"> </v>
      </c>
      <c r="V65" s="45" t="str">
        <f>IF('NORTH FLORIDA'!$H64=0," ",'NORTH FLORIDA'!$H64)</f>
        <v xml:space="preserve"> </v>
      </c>
      <c r="W65" s="45" t="str">
        <f>IF('NORTHWEST FLORIDA'!$H64=0," ",'NORTHWEST FLORIDA'!$H64)</f>
        <v xml:space="preserve"> </v>
      </c>
      <c r="X65" s="45" t="str">
        <f>IF('PALM BEACH'!$H64=0," ",'PALM BEACH'!$H64)</f>
        <v xml:space="preserve"> </v>
      </c>
      <c r="Y65" s="45" t="str">
        <f>IF(PASCO!$H64=0," ",PASCO!$H64)</f>
        <v xml:space="preserve"> </v>
      </c>
      <c r="Z65" s="45" t="str">
        <f>IF(PENSACOLA!$H64=0," ",PENSACOLA!$H64)</f>
        <v xml:space="preserve"> </v>
      </c>
      <c r="AA65" s="45" t="str">
        <f>IF(POLK!$H64=0," ",POLK!$H64)</f>
        <v xml:space="preserve"> </v>
      </c>
      <c r="AB65" s="45" t="str">
        <f>IF('ST JOHNS'!$H64=0," ",'ST JOHNS'!$H64)</f>
        <v xml:space="preserve"> </v>
      </c>
      <c r="AC65" s="45" t="str">
        <f>IF('ST PETE'!$H64=0," ",'ST PETE'!$H64)</f>
        <v xml:space="preserve"> </v>
      </c>
      <c r="AD65" s="45" t="str">
        <f>IF('SANTA FE'!$H64=0," ",'SANTA FE'!$H64)</f>
        <v xml:space="preserve"> </v>
      </c>
      <c r="AE65" s="45" t="str">
        <f>IF(SEMINOLE!$H64=0," ",SEMINOLE!$H64)</f>
        <v xml:space="preserve"> </v>
      </c>
      <c r="AF65" s="45" t="str">
        <f>IF('SOUTH FLORIDA'!$H64=0," ",'SOUTH FLORIDA'!$H64)</f>
        <v xml:space="preserve"> </v>
      </c>
      <c r="AG65" s="45" t="str">
        <f>IF(TALLAHASSEE!$H64=0," ",TALLAHASSEE!$H64)</f>
        <v xml:space="preserve"> </v>
      </c>
      <c r="AH65" s="45" t="str">
        <f>IF(VALENCIA!$H64=0," ",VALENCIA!$H64)</f>
        <v xml:space="preserve"> </v>
      </c>
      <c r="AI65" s="43"/>
      <c r="AK65" s="29">
        <f t="shared" si="1"/>
        <v>0</v>
      </c>
      <c r="AL65" s="29">
        <f t="shared" si="2"/>
        <v>0</v>
      </c>
      <c r="AM65" s="29">
        <f t="shared" si="3"/>
        <v>0</v>
      </c>
      <c r="AN65" s="29">
        <f t="shared" si="4"/>
        <v>0</v>
      </c>
      <c r="AO65" s="50">
        <f t="shared" si="5"/>
        <v>0</v>
      </c>
      <c r="AP65" s="50">
        <f t="shared" si="6"/>
        <v>0</v>
      </c>
      <c r="AQ65" s="50">
        <f t="shared" si="7"/>
        <v>0</v>
      </c>
    </row>
    <row r="66" spans="1:43" x14ac:dyDescent="0.35">
      <c r="A66" s="9"/>
      <c r="B66" s="9" t="s">
        <v>128</v>
      </c>
      <c r="C66" s="10"/>
      <c r="D66" s="9"/>
      <c r="E66" s="9" t="s">
        <v>127</v>
      </c>
      <c r="F66" s="9"/>
      <c r="G66" s="45" t="str">
        <f>IF(EASTERN!H65=0," ",EASTERN!H65)</f>
        <v xml:space="preserve"> </v>
      </c>
      <c r="H66" s="45" t="str">
        <f>IF(BROWARD!$H65=0," ",BROWARD!$H65)</f>
        <v xml:space="preserve"> </v>
      </c>
      <c r="I66" s="45" t="str">
        <f>IF(CENTRAL!$H65=0," ",CENTRAL!$H65)</f>
        <v xml:space="preserve"> </v>
      </c>
      <c r="J66" s="45" t="str">
        <f>IF(CHIPOLA!$H65=0," ",CHIPOLA!$H65)</f>
        <v xml:space="preserve"> </v>
      </c>
      <c r="K66" s="45" t="str">
        <f>IF(DAYTONA!$H65=0," ",DAYTONA!$H65)</f>
        <v xml:space="preserve"> </v>
      </c>
      <c r="L66" s="45" t="str">
        <f>IF(SOUTHWESTERN!$H65=0," ",SOUTHWESTERN!$H65)</f>
        <v xml:space="preserve"> </v>
      </c>
      <c r="M66" s="45" t="str">
        <f>IF('FSC JAX'!$H65=0," ",'FSC JAX'!$H65)</f>
        <v xml:space="preserve"> </v>
      </c>
      <c r="N66" s="45" t="str">
        <f>IF('FL KEYS'!$H65=0," ",'FL KEYS'!$H65)</f>
        <v xml:space="preserve"> </v>
      </c>
      <c r="O66" s="45" t="str">
        <f>IF('GULF COAST'!$H65=0," ",'GULF COAST'!$H65)</f>
        <v xml:space="preserve"> </v>
      </c>
      <c r="P66" s="45" t="str">
        <f>IF(HILLSBOROUGH!$H65=0," ",HILLSBOROUGH!$H65)</f>
        <v xml:space="preserve"> </v>
      </c>
      <c r="Q66" s="45" t="str">
        <f>IF('INDIAN RIVER'!$H65=0," ",'INDIAN RIVER'!$H65)</f>
        <v xml:space="preserve"> </v>
      </c>
      <c r="R66" s="45" t="str">
        <f>IF(GATEWAY!$H65=0," ",GATEWAY!$H65)</f>
        <v xml:space="preserve"> </v>
      </c>
      <c r="S66" s="45" t="str">
        <f>IF('LAKE SUMTER'!$H65=0," ",'LAKE SUMTER'!$H65)</f>
        <v xml:space="preserve"> </v>
      </c>
      <c r="T66" s="45" t="str">
        <f>IF('SCF MANATEE'!$H65=0," ",'SCF MANATEE'!$H65)</f>
        <v xml:space="preserve"> </v>
      </c>
      <c r="U66" s="45" t="str">
        <f>IF(MIAMI!$H65=0," ",MIAMI!$H65)</f>
        <v xml:space="preserve"> </v>
      </c>
      <c r="V66" s="45" t="str">
        <f>IF('NORTH FLORIDA'!$H65=0," ",'NORTH FLORIDA'!$H65)</f>
        <v xml:space="preserve"> </v>
      </c>
      <c r="W66" s="45" t="str">
        <f>IF('NORTHWEST FLORIDA'!$H65=0," ",'NORTHWEST FLORIDA'!$H65)</f>
        <v xml:space="preserve"> </v>
      </c>
      <c r="X66" s="45" t="str">
        <f>IF('PALM BEACH'!$H65=0," ",'PALM BEACH'!$H65)</f>
        <v xml:space="preserve"> </v>
      </c>
      <c r="Y66" s="45" t="str">
        <f>IF(PASCO!$H65=0," ",PASCO!$H65)</f>
        <v xml:space="preserve"> </v>
      </c>
      <c r="Z66" s="45" t="str">
        <f>IF(PENSACOLA!$H65=0," ",PENSACOLA!$H65)</f>
        <v xml:space="preserve"> </v>
      </c>
      <c r="AA66" s="45" t="str">
        <f>IF(POLK!$H65=0," ",POLK!$H65)</f>
        <v xml:space="preserve"> </v>
      </c>
      <c r="AB66" s="45" t="str">
        <f>IF('ST JOHNS'!$H65=0," ",'ST JOHNS'!$H65)</f>
        <v xml:space="preserve"> </v>
      </c>
      <c r="AC66" s="45" t="str">
        <f>IF('ST PETE'!$H65=0," ",'ST PETE'!$H65)</f>
        <v xml:space="preserve"> </v>
      </c>
      <c r="AD66" s="45" t="str">
        <f>IF('SANTA FE'!$H65=0," ",'SANTA FE'!$H65)</f>
        <v xml:space="preserve"> </v>
      </c>
      <c r="AE66" s="45" t="str">
        <f>IF(SEMINOLE!$H65=0," ",SEMINOLE!$H65)</f>
        <v xml:space="preserve"> </v>
      </c>
      <c r="AF66" s="45" t="str">
        <f>IF('SOUTH FLORIDA'!$H65=0," ",'SOUTH FLORIDA'!$H65)</f>
        <v xml:space="preserve"> </v>
      </c>
      <c r="AG66" s="45" t="str">
        <f>IF(TALLAHASSEE!$H65=0," ",TALLAHASSEE!$H65)</f>
        <v xml:space="preserve"> </v>
      </c>
      <c r="AH66" s="45" t="str">
        <f>IF(VALENCIA!$H65=0," ",VALENCIA!$H65)</f>
        <v xml:space="preserve"> </v>
      </c>
      <c r="AI66" s="43"/>
      <c r="AK66" s="29">
        <f t="shared" si="1"/>
        <v>0</v>
      </c>
      <c r="AL66" s="29">
        <f t="shared" si="2"/>
        <v>0</v>
      </c>
      <c r="AM66" s="29">
        <f t="shared" si="3"/>
        <v>0</v>
      </c>
      <c r="AN66" s="29">
        <f t="shared" si="4"/>
        <v>0</v>
      </c>
      <c r="AO66" s="50">
        <f t="shared" si="5"/>
        <v>0</v>
      </c>
      <c r="AP66" s="50">
        <f t="shared" si="6"/>
        <v>0</v>
      </c>
      <c r="AQ66" s="50">
        <f t="shared" si="7"/>
        <v>0</v>
      </c>
    </row>
    <row r="67" spans="1:43" x14ac:dyDescent="0.35">
      <c r="A67" s="9"/>
      <c r="B67" s="9" t="s">
        <v>129</v>
      </c>
      <c r="C67" s="10"/>
      <c r="D67" s="9"/>
      <c r="E67" s="9" t="s">
        <v>130</v>
      </c>
      <c r="F67" s="9"/>
      <c r="G67" s="45" t="str">
        <f>IF(EASTERN!H66=0," ",EASTERN!H66)</f>
        <v xml:space="preserve"> </v>
      </c>
      <c r="H67" s="45" t="str">
        <f>IF(BROWARD!$H66=0," ",BROWARD!$H66)</f>
        <v xml:space="preserve"> </v>
      </c>
      <c r="I67" s="45" t="str">
        <f>IF(CENTRAL!$H66=0," ",CENTRAL!$H66)</f>
        <v xml:space="preserve"> </v>
      </c>
      <c r="J67" s="45" t="str">
        <f>IF(CHIPOLA!$H66=0," ",CHIPOLA!$H66)</f>
        <v xml:space="preserve"> </v>
      </c>
      <c r="K67" s="45" t="str">
        <f>IF(DAYTONA!$H66=0," ",DAYTONA!$H66)</f>
        <v xml:space="preserve"> </v>
      </c>
      <c r="L67" s="45" t="str">
        <f>IF(SOUTHWESTERN!$H66=0," ",SOUTHWESTERN!$H66)</f>
        <v xml:space="preserve"> </v>
      </c>
      <c r="M67" s="45" t="str">
        <f>IF('FSC JAX'!$H66=0," ",'FSC JAX'!$H66)</f>
        <v xml:space="preserve"> </v>
      </c>
      <c r="N67" s="45" t="str">
        <f>IF('FL KEYS'!$H66=0," ",'FL KEYS'!$H66)</f>
        <v xml:space="preserve"> </v>
      </c>
      <c r="O67" s="45" t="str">
        <f>IF('GULF COAST'!$H66=0," ",'GULF COAST'!$H66)</f>
        <v xml:space="preserve"> </v>
      </c>
      <c r="P67" s="45" t="str">
        <f>IF(HILLSBOROUGH!$H66=0," ",HILLSBOROUGH!$H66)</f>
        <v xml:space="preserve"> </v>
      </c>
      <c r="Q67" s="45" t="str">
        <f>IF('INDIAN RIVER'!$H66=0," ",'INDIAN RIVER'!$H66)</f>
        <v xml:space="preserve"> </v>
      </c>
      <c r="R67" s="45" t="str">
        <f>IF(GATEWAY!$H66=0," ",GATEWAY!$H66)</f>
        <v xml:space="preserve"> </v>
      </c>
      <c r="S67" s="45" t="str">
        <f>IF('LAKE SUMTER'!$H66=0," ",'LAKE SUMTER'!$H66)</f>
        <v xml:space="preserve"> </v>
      </c>
      <c r="T67" s="45" t="str">
        <f>IF('SCF MANATEE'!$H66=0," ",'SCF MANATEE'!$H66)</f>
        <v xml:space="preserve"> </v>
      </c>
      <c r="U67" s="45" t="str">
        <f>IF(MIAMI!$H66=0," ",MIAMI!$H66)</f>
        <v xml:space="preserve"> </v>
      </c>
      <c r="V67" s="45" t="str">
        <f>IF('NORTH FLORIDA'!$H66=0," ",'NORTH FLORIDA'!$H66)</f>
        <v xml:space="preserve"> </v>
      </c>
      <c r="W67" s="45" t="str">
        <f>IF('NORTHWEST FLORIDA'!$H66=0," ",'NORTHWEST FLORIDA'!$H66)</f>
        <v xml:space="preserve"> </v>
      </c>
      <c r="X67" s="45" t="str">
        <f>IF('PALM BEACH'!$H66=0," ",'PALM BEACH'!$H66)</f>
        <v xml:space="preserve"> </v>
      </c>
      <c r="Y67" s="45" t="str">
        <f>IF(PASCO!$H66=0," ",PASCO!$H66)</f>
        <v xml:space="preserve"> </v>
      </c>
      <c r="Z67" s="45" t="str">
        <f>IF(PENSACOLA!$H66=0," ",PENSACOLA!$H66)</f>
        <v xml:space="preserve"> </v>
      </c>
      <c r="AA67" s="45" t="str">
        <f>IF(POLK!$H66=0," ",POLK!$H66)</f>
        <v xml:space="preserve"> </v>
      </c>
      <c r="AB67" s="45" t="str">
        <f>IF('ST JOHNS'!$H66=0," ",'ST JOHNS'!$H66)</f>
        <v xml:space="preserve"> </v>
      </c>
      <c r="AC67" s="45" t="str">
        <f>IF('ST PETE'!$H66=0," ",'ST PETE'!$H66)</f>
        <v xml:space="preserve"> </v>
      </c>
      <c r="AD67" s="45" t="str">
        <f>IF('SANTA FE'!$H66=0," ",'SANTA FE'!$H66)</f>
        <v xml:space="preserve"> </v>
      </c>
      <c r="AE67" s="45" t="str">
        <f>IF(SEMINOLE!$H66=0," ",SEMINOLE!$H66)</f>
        <v xml:space="preserve"> </v>
      </c>
      <c r="AF67" s="45" t="str">
        <f>IF('SOUTH FLORIDA'!$H66=0," ",'SOUTH FLORIDA'!$H66)</f>
        <v xml:space="preserve"> </v>
      </c>
      <c r="AG67" s="45" t="str">
        <f>IF(TALLAHASSEE!$H66=0," ",TALLAHASSEE!$H66)</f>
        <v xml:space="preserve"> </v>
      </c>
      <c r="AH67" s="45" t="str">
        <f>IF(VALENCIA!$H66=0," ",VALENCIA!$H66)</f>
        <v xml:space="preserve"> </v>
      </c>
      <c r="AI67" s="43"/>
      <c r="AK67" s="29">
        <f t="shared" si="1"/>
        <v>0</v>
      </c>
      <c r="AL67" s="29">
        <f t="shared" si="2"/>
        <v>0</v>
      </c>
      <c r="AM67" s="29">
        <f t="shared" si="3"/>
        <v>0</v>
      </c>
      <c r="AN67" s="29">
        <f t="shared" si="4"/>
        <v>0</v>
      </c>
      <c r="AO67" s="50">
        <f t="shared" si="5"/>
        <v>0</v>
      </c>
      <c r="AP67" s="50">
        <f t="shared" si="6"/>
        <v>0</v>
      </c>
      <c r="AQ67" s="50">
        <f t="shared" si="7"/>
        <v>0</v>
      </c>
    </row>
    <row r="68" spans="1:43" x14ac:dyDescent="0.35">
      <c r="A68" s="9"/>
      <c r="B68" s="9"/>
      <c r="C68" s="10" t="s">
        <v>131</v>
      </c>
      <c r="D68" s="9"/>
      <c r="E68" s="9"/>
      <c r="F68" s="9" t="s">
        <v>132</v>
      </c>
      <c r="G68" s="45" t="str">
        <f>IF(EASTERN!H67=0," ",EASTERN!H67)</f>
        <v xml:space="preserve"> </v>
      </c>
      <c r="H68" s="45" t="str">
        <f>IF(BROWARD!$H67=0," ",BROWARD!$H67)</f>
        <v xml:space="preserve"> </v>
      </c>
      <c r="I68" s="45" t="str">
        <f>IF(CENTRAL!$H67=0," ",CENTRAL!$H67)</f>
        <v xml:space="preserve"> </v>
      </c>
      <c r="J68" s="45" t="str">
        <f>IF(CHIPOLA!$H67=0," ",CHIPOLA!$H67)</f>
        <v xml:space="preserve"> </v>
      </c>
      <c r="K68" s="45" t="str">
        <f>IF(DAYTONA!$H67=0," ",DAYTONA!$H67)</f>
        <v xml:space="preserve"> </v>
      </c>
      <c r="L68" s="45" t="str">
        <f>IF(SOUTHWESTERN!$H67=0," ",SOUTHWESTERN!$H67)</f>
        <v xml:space="preserve"> </v>
      </c>
      <c r="M68" s="45" t="str">
        <f>IF('FSC JAX'!$H67=0," ",'FSC JAX'!$H67)</f>
        <v xml:space="preserve"> </v>
      </c>
      <c r="N68" s="45" t="str">
        <f>IF('FL KEYS'!$H67=0," ",'FL KEYS'!$H67)</f>
        <v xml:space="preserve"> </v>
      </c>
      <c r="O68" s="45" t="str">
        <f>IF('GULF COAST'!$H67=0," ",'GULF COAST'!$H67)</f>
        <v xml:space="preserve"> </v>
      </c>
      <c r="P68" s="45" t="str">
        <f>IF(HILLSBOROUGH!$H67=0," ",HILLSBOROUGH!$H67)</f>
        <v>Yes</v>
      </c>
      <c r="Q68" s="45" t="str">
        <f>IF('INDIAN RIVER'!$H67=0," ",'INDIAN RIVER'!$H67)</f>
        <v xml:space="preserve"> </v>
      </c>
      <c r="R68" s="45" t="str">
        <f>IF(GATEWAY!$H67=0," ",GATEWAY!$H67)</f>
        <v xml:space="preserve"> </v>
      </c>
      <c r="S68" s="45" t="str">
        <f>IF('LAKE SUMTER'!$H67=0," ",'LAKE SUMTER'!$H67)</f>
        <v xml:space="preserve"> </v>
      </c>
      <c r="T68" s="45" t="str">
        <f>IF('SCF MANATEE'!$H67=0," ",'SCF MANATEE'!$H67)</f>
        <v xml:space="preserve"> </v>
      </c>
      <c r="U68" s="45" t="str">
        <f>IF(MIAMI!$H67=0," ",MIAMI!$H67)</f>
        <v xml:space="preserve"> </v>
      </c>
      <c r="V68" s="45" t="str">
        <f>IF('NORTH FLORIDA'!$H67=0," ",'NORTH FLORIDA'!$H67)</f>
        <v xml:space="preserve"> </v>
      </c>
      <c r="W68" s="45" t="str">
        <f>IF('NORTHWEST FLORIDA'!$H67=0," ",'NORTHWEST FLORIDA'!$H67)</f>
        <v xml:space="preserve"> </v>
      </c>
      <c r="X68" s="45" t="str">
        <f>IF('PALM BEACH'!$H67=0," ",'PALM BEACH'!$H67)</f>
        <v xml:space="preserve"> </v>
      </c>
      <c r="Y68" s="45" t="str">
        <f>IF(PASCO!$H67=0," ",PASCO!$H67)</f>
        <v xml:space="preserve"> </v>
      </c>
      <c r="Z68" s="45" t="str">
        <f>IF(PENSACOLA!$H67=0," ",PENSACOLA!$H67)</f>
        <v>yes</v>
      </c>
      <c r="AA68" s="45" t="str">
        <f>IF(POLK!$H67=0," ",POLK!$H67)</f>
        <v>Yes</v>
      </c>
      <c r="AB68" s="45" t="str">
        <f>IF('ST JOHNS'!$H67=0," ",'ST JOHNS'!$H67)</f>
        <v xml:space="preserve"> </v>
      </c>
      <c r="AC68" s="45" t="str">
        <f>IF('ST PETE'!$H67=0," ",'ST PETE'!$H67)</f>
        <v>Yes</v>
      </c>
      <c r="AD68" s="45" t="str">
        <f>IF('SANTA FE'!$H67=0," ",'SANTA FE'!$H67)</f>
        <v xml:space="preserve"> </v>
      </c>
      <c r="AE68" s="45" t="str">
        <f>IF(SEMINOLE!$H67=0," ",SEMINOLE!$H67)</f>
        <v xml:space="preserve"> </v>
      </c>
      <c r="AF68" s="45" t="str">
        <f>IF('SOUTH FLORIDA'!$H67=0," ",'SOUTH FLORIDA'!$H67)</f>
        <v xml:space="preserve"> </v>
      </c>
      <c r="AG68" s="45" t="str">
        <f>IF(TALLAHASSEE!$H67=0," ",TALLAHASSEE!$H67)</f>
        <v>No</v>
      </c>
      <c r="AH68" s="45" t="str">
        <f>IF(VALENCIA!$H67=0," ",VALENCIA!$H67)</f>
        <v>Yes</v>
      </c>
      <c r="AI68" s="43" t="s">
        <v>15</v>
      </c>
      <c r="AK68" s="29">
        <f t="shared" si="1"/>
        <v>5</v>
      </c>
      <c r="AL68" s="29">
        <f t="shared" si="2"/>
        <v>1</v>
      </c>
      <c r="AM68" s="29">
        <f t="shared" si="3"/>
        <v>0</v>
      </c>
      <c r="AN68" s="29">
        <f t="shared" si="4"/>
        <v>6</v>
      </c>
      <c r="AO68" s="49">
        <f t="shared" si="5"/>
        <v>0.83333333333333337</v>
      </c>
      <c r="AP68" s="50">
        <f t="shared" si="6"/>
        <v>0.16666666666666666</v>
      </c>
      <c r="AQ68" s="50">
        <f t="shared" si="7"/>
        <v>0</v>
      </c>
    </row>
    <row r="69" spans="1:43" x14ac:dyDescent="0.35">
      <c r="A69" s="9"/>
      <c r="B69" s="9"/>
      <c r="C69" s="10" t="s">
        <v>133</v>
      </c>
      <c r="D69" s="9"/>
      <c r="E69" s="9"/>
      <c r="F69" s="9" t="s">
        <v>134</v>
      </c>
      <c r="G69" s="45" t="str">
        <f>IF(EASTERN!H68=0," ",EASTERN!H68)</f>
        <v xml:space="preserve"> </v>
      </c>
      <c r="H69" s="45" t="str">
        <f>IF(BROWARD!$H68=0," ",BROWARD!$H68)</f>
        <v xml:space="preserve"> </v>
      </c>
      <c r="I69" s="45" t="str">
        <f>IF(CENTRAL!$H68=0," ",CENTRAL!$H68)</f>
        <v xml:space="preserve"> </v>
      </c>
      <c r="J69" s="45" t="str">
        <f>IF(CHIPOLA!$H68=0," ",CHIPOLA!$H68)</f>
        <v xml:space="preserve"> </v>
      </c>
      <c r="K69" s="45" t="str">
        <f>IF(DAYTONA!$H68=0," ",DAYTONA!$H68)</f>
        <v xml:space="preserve"> </v>
      </c>
      <c r="L69" s="45" t="str">
        <f>IF(SOUTHWESTERN!$H68=0," ",SOUTHWESTERN!$H68)</f>
        <v xml:space="preserve"> </v>
      </c>
      <c r="M69" s="45" t="str">
        <f>IF('FSC JAX'!$H68=0," ",'FSC JAX'!$H68)</f>
        <v xml:space="preserve"> </v>
      </c>
      <c r="N69" s="45" t="str">
        <f>IF('FL KEYS'!$H68=0," ",'FL KEYS'!$H68)</f>
        <v xml:space="preserve"> </v>
      </c>
      <c r="O69" s="45" t="str">
        <f>IF('GULF COAST'!$H68=0," ",'GULF COAST'!$H68)</f>
        <v xml:space="preserve"> </v>
      </c>
      <c r="P69" s="45" t="str">
        <f>IF(HILLSBOROUGH!$H68=0," ",HILLSBOROUGH!$H68)</f>
        <v xml:space="preserve"> </v>
      </c>
      <c r="Q69" s="45" t="str">
        <f>IF('INDIAN RIVER'!$H68=0," ",'INDIAN RIVER'!$H68)</f>
        <v xml:space="preserve"> </v>
      </c>
      <c r="R69" s="45" t="str">
        <f>IF(GATEWAY!$H68=0," ",GATEWAY!$H68)</f>
        <v xml:space="preserve"> </v>
      </c>
      <c r="S69" s="45" t="str">
        <f>IF('LAKE SUMTER'!$H68=0," ",'LAKE SUMTER'!$H68)</f>
        <v xml:space="preserve"> </v>
      </c>
      <c r="T69" s="45" t="str">
        <f>IF('SCF MANATEE'!$H68=0," ",'SCF MANATEE'!$H68)</f>
        <v xml:space="preserve"> </v>
      </c>
      <c r="U69" s="45" t="str">
        <f>IF(MIAMI!$H68=0," ",MIAMI!$H68)</f>
        <v xml:space="preserve"> </v>
      </c>
      <c r="V69" s="45" t="str">
        <f>IF('NORTH FLORIDA'!$H68=0," ",'NORTH FLORIDA'!$H68)</f>
        <v xml:space="preserve"> </v>
      </c>
      <c r="W69" s="45" t="str">
        <f>IF('NORTHWEST FLORIDA'!$H68=0," ",'NORTHWEST FLORIDA'!$H68)</f>
        <v xml:space="preserve"> </v>
      </c>
      <c r="X69" s="45" t="str">
        <f>IF('PALM BEACH'!$H68=0," ",'PALM BEACH'!$H68)</f>
        <v xml:space="preserve"> </v>
      </c>
      <c r="Y69" s="45" t="str">
        <f>IF(PASCO!$H68=0," ",PASCO!$H68)</f>
        <v xml:space="preserve"> </v>
      </c>
      <c r="Z69" s="45" t="str">
        <f>IF(PENSACOLA!$H68=0," ",PENSACOLA!$H68)</f>
        <v xml:space="preserve"> </v>
      </c>
      <c r="AA69" s="45" t="str">
        <f>IF(POLK!$H68=0," ",POLK!$H68)</f>
        <v xml:space="preserve"> </v>
      </c>
      <c r="AB69" s="45" t="str">
        <f>IF('ST JOHNS'!$H68=0," ",'ST JOHNS'!$H68)</f>
        <v xml:space="preserve"> </v>
      </c>
      <c r="AC69" s="45" t="str">
        <f>IF('ST PETE'!$H68=0," ",'ST PETE'!$H68)</f>
        <v xml:space="preserve"> </v>
      </c>
      <c r="AD69" s="45" t="str">
        <f>IF('SANTA FE'!$H68=0," ",'SANTA FE'!$H68)</f>
        <v xml:space="preserve"> </v>
      </c>
      <c r="AE69" s="45" t="str">
        <f>IF(SEMINOLE!$H68=0," ",SEMINOLE!$H68)</f>
        <v xml:space="preserve"> </v>
      </c>
      <c r="AF69" s="45" t="str">
        <f>IF('SOUTH FLORIDA'!$H68=0," ",'SOUTH FLORIDA'!$H68)</f>
        <v xml:space="preserve"> </v>
      </c>
      <c r="AG69" s="45" t="str">
        <f>IF(TALLAHASSEE!$H68=0," ",TALLAHASSEE!$H68)</f>
        <v xml:space="preserve"> </v>
      </c>
      <c r="AH69" s="45" t="str">
        <f>IF(VALENCIA!$H68=0," ",VALENCIA!$H68)</f>
        <v xml:space="preserve"> </v>
      </c>
      <c r="AI69" s="43"/>
      <c r="AK69" s="29">
        <f t="shared" si="1"/>
        <v>0</v>
      </c>
      <c r="AL69" s="29">
        <f t="shared" si="2"/>
        <v>0</v>
      </c>
      <c r="AM69" s="29">
        <f t="shared" si="3"/>
        <v>0</v>
      </c>
      <c r="AN69" s="29">
        <f t="shared" si="4"/>
        <v>0</v>
      </c>
      <c r="AO69" s="50">
        <f t="shared" si="5"/>
        <v>0</v>
      </c>
      <c r="AP69" s="50">
        <f t="shared" si="6"/>
        <v>0</v>
      </c>
      <c r="AQ69" s="50">
        <f t="shared" si="7"/>
        <v>0</v>
      </c>
    </row>
    <row r="70" spans="1:43" x14ac:dyDescent="0.35">
      <c r="A70" s="9"/>
      <c r="B70" s="9"/>
      <c r="C70" s="10" t="s">
        <v>135</v>
      </c>
      <c r="D70" s="9"/>
      <c r="E70" s="9"/>
      <c r="F70" s="9" t="s">
        <v>136</v>
      </c>
      <c r="G70" s="45" t="str">
        <f>IF(EASTERN!H69=0," ",EASTERN!H69)</f>
        <v xml:space="preserve"> </v>
      </c>
      <c r="H70" s="45" t="str">
        <f>IF(BROWARD!$H69=0," ",BROWARD!$H69)</f>
        <v>Partial</v>
      </c>
      <c r="I70" s="45" t="str">
        <f>IF(CENTRAL!$H69=0," ",CENTRAL!$H69)</f>
        <v>yes</v>
      </c>
      <c r="J70" s="45" t="str">
        <f>IF(CHIPOLA!$H69=0," ",CHIPOLA!$H69)</f>
        <v xml:space="preserve"> </v>
      </c>
      <c r="K70" s="45" t="str">
        <f>IF(DAYTONA!$H69=0," ",DAYTONA!$H69)</f>
        <v xml:space="preserve"> </v>
      </c>
      <c r="L70" s="45" t="str">
        <f>IF(SOUTHWESTERN!$H69=0," ",SOUTHWESTERN!$H69)</f>
        <v xml:space="preserve"> </v>
      </c>
      <c r="M70" s="45" t="str">
        <f>IF('FSC JAX'!$H69=0," ",'FSC JAX'!$H69)</f>
        <v xml:space="preserve"> </v>
      </c>
      <c r="N70" s="45" t="str">
        <f>IF('FL KEYS'!$H69=0," ",'FL KEYS'!$H69)</f>
        <v xml:space="preserve"> </v>
      </c>
      <c r="O70" s="45" t="str">
        <f>IF('GULF COAST'!$H69=0," ",'GULF COAST'!$H69)</f>
        <v xml:space="preserve"> </v>
      </c>
      <c r="P70" s="45" t="str">
        <f>IF(HILLSBOROUGH!$H69=0," ",HILLSBOROUGH!$H69)</f>
        <v xml:space="preserve"> </v>
      </c>
      <c r="Q70" s="45" t="str">
        <f>IF('INDIAN RIVER'!$H69=0," ",'INDIAN RIVER'!$H69)</f>
        <v xml:space="preserve"> </v>
      </c>
      <c r="R70" s="45" t="str">
        <f>IF(GATEWAY!$H69=0," ",GATEWAY!$H69)</f>
        <v xml:space="preserve"> </v>
      </c>
      <c r="S70" s="45" t="str">
        <f>IF('LAKE SUMTER'!$H69=0," ",'LAKE SUMTER'!$H69)</f>
        <v xml:space="preserve"> </v>
      </c>
      <c r="T70" s="45" t="str">
        <f>IF('SCF MANATEE'!$H69=0," ",'SCF MANATEE'!$H69)</f>
        <v xml:space="preserve"> </v>
      </c>
      <c r="U70" s="45" t="str">
        <f>IF(MIAMI!$H69=0," ",MIAMI!$H69)</f>
        <v xml:space="preserve"> </v>
      </c>
      <c r="V70" s="45" t="str">
        <f>IF('NORTH FLORIDA'!$H69=0," ",'NORTH FLORIDA'!$H69)</f>
        <v xml:space="preserve"> </v>
      </c>
      <c r="W70" s="45" t="str">
        <f>IF('NORTHWEST FLORIDA'!$H69=0," ",'NORTHWEST FLORIDA'!$H69)</f>
        <v xml:space="preserve"> </v>
      </c>
      <c r="X70" s="45" t="str">
        <f>IF('PALM BEACH'!$H69=0," ",'PALM BEACH'!$H69)</f>
        <v xml:space="preserve"> </v>
      </c>
      <c r="Y70" s="45" t="str">
        <f>IF(PASCO!$H69=0," ",PASCO!$H69)</f>
        <v xml:space="preserve"> </v>
      </c>
      <c r="Z70" s="45" t="str">
        <f>IF(PENSACOLA!$H69=0," ",PENSACOLA!$H69)</f>
        <v xml:space="preserve"> </v>
      </c>
      <c r="AA70" s="45" t="str">
        <f>IF(POLK!$H69=0," ",POLK!$H69)</f>
        <v xml:space="preserve"> </v>
      </c>
      <c r="AB70" s="45" t="str">
        <f>IF('ST JOHNS'!$H69=0," ",'ST JOHNS'!$H69)</f>
        <v xml:space="preserve"> </v>
      </c>
      <c r="AC70" s="45" t="str">
        <f>IF('ST PETE'!$H69=0," ",'ST PETE'!$H69)</f>
        <v xml:space="preserve"> </v>
      </c>
      <c r="AD70" s="45" t="str">
        <f>IF('SANTA FE'!$H69=0," ",'SANTA FE'!$H69)</f>
        <v>No</v>
      </c>
      <c r="AE70" s="45" t="str">
        <f>IF(SEMINOLE!$H69=0," ",SEMINOLE!$H69)</f>
        <v xml:space="preserve"> </v>
      </c>
      <c r="AF70" s="45" t="str">
        <f>IF('SOUTH FLORIDA'!$H69=0," ",'SOUTH FLORIDA'!$H69)</f>
        <v xml:space="preserve"> </v>
      </c>
      <c r="AG70" s="45" t="str">
        <f>IF(TALLAHASSEE!$H69=0," ",TALLAHASSEE!$H69)</f>
        <v xml:space="preserve"> </v>
      </c>
      <c r="AH70" s="45" t="str">
        <f>IF(VALENCIA!$H69=0," ",VALENCIA!$H69)</f>
        <v>No</v>
      </c>
      <c r="AI70" s="43" t="s">
        <v>24</v>
      </c>
      <c r="AK70" s="29">
        <f t="shared" si="1"/>
        <v>1</v>
      </c>
      <c r="AL70" s="29">
        <f t="shared" si="2"/>
        <v>2</v>
      </c>
      <c r="AM70" s="29">
        <f t="shared" si="3"/>
        <v>1</v>
      </c>
      <c r="AN70" s="29">
        <f t="shared" si="4"/>
        <v>4</v>
      </c>
      <c r="AO70" s="50">
        <f t="shared" si="5"/>
        <v>0.25</v>
      </c>
      <c r="AP70" s="49">
        <f t="shared" si="6"/>
        <v>0.5</v>
      </c>
      <c r="AQ70" s="50">
        <f t="shared" si="7"/>
        <v>0.25</v>
      </c>
    </row>
    <row r="71" spans="1:43" x14ac:dyDescent="0.35">
      <c r="A71" s="9"/>
      <c r="B71" s="9" t="s">
        <v>137</v>
      </c>
      <c r="C71" s="10"/>
      <c r="D71" s="9"/>
      <c r="E71" s="9" t="s">
        <v>138</v>
      </c>
      <c r="F71" s="9"/>
      <c r="G71" s="45" t="str">
        <f>IF(EASTERN!H70=0," ",EASTERN!H70)</f>
        <v xml:space="preserve"> </v>
      </c>
      <c r="H71" s="45" t="str">
        <f>IF(BROWARD!$H70=0," ",BROWARD!$H70)</f>
        <v xml:space="preserve"> </v>
      </c>
      <c r="I71" s="45" t="str">
        <f>IF(CENTRAL!$H70=0," ",CENTRAL!$H70)</f>
        <v xml:space="preserve"> </v>
      </c>
      <c r="J71" s="45" t="str">
        <f>IF(CHIPOLA!$H70=0," ",CHIPOLA!$H70)</f>
        <v xml:space="preserve"> </v>
      </c>
      <c r="K71" s="45" t="str">
        <f>IF(DAYTONA!$H70=0," ",DAYTONA!$H70)</f>
        <v xml:space="preserve"> </v>
      </c>
      <c r="L71" s="45" t="str">
        <f>IF(SOUTHWESTERN!$H70=0," ",SOUTHWESTERN!$H70)</f>
        <v xml:space="preserve"> </v>
      </c>
      <c r="M71" s="45" t="str">
        <f>IF('FSC JAX'!$H70=0," ",'FSC JAX'!$H70)</f>
        <v xml:space="preserve"> </v>
      </c>
      <c r="N71" s="45" t="str">
        <f>IF('FL KEYS'!$H70=0," ",'FL KEYS'!$H70)</f>
        <v xml:space="preserve"> </v>
      </c>
      <c r="O71" s="45" t="str">
        <f>IF('GULF COAST'!$H70=0," ",'GULF COAST'!$H70)</f>
        <v xml:space="preserve"> </v>
      </c>
      <c r="P71" s="45" t="str">
        <f>IF(HILLSBOROUGH!$H70=0," ",HILLSBOROUGH!$H70)</f>
        <v xml:space="preserve"> </v>
      </c>
      <c r="Q71" s="45" t="str">
        <f>IF('INDIAN RIVER'!$H70=0," ",'INDIAN RIVER'!$H70)</f>
        <v xml:space="preserve"> </v>
      </c>
      <c r="R71" s="45" t="str">
        <f>IF(GATEWAY!$H70=0," ",GATEWAY!$H70)</f>
        <v xml:space="preserve"> </v>
      </c>
      <c r="S71" s="45" t="str">
        <f>IF('LAKE SUMTER'!$H70=0," ",'LAKE SUMTER'!$H70)</f>
        <v xml:space="preserve"> </v>
      </c>
      <c r="T71" s="45" t="str">
        <f>IF('SCF MANATEE'!$H70=0," ",'SCF MANATEE'!$H70)</f>
        <v xml:space="preserve"> </v>
      </c>
      <c r="U71" s="45" t="str">
        <f>IF(MIAMI!$H70=0," ",MIAMI!$H70)</f>
        <v xml:space="preserve"> </v>
      </c>
      <c r="V71" s="45" t="str">
        <f>IF('NORTH FLORIDA'!$H70=0," ",'NORTH FLORIDA'!$H70)</f>
        <v xml:space="preserve"> </v>
      </c>
      <c r="W71" s="45" t="str">
        <f>IF('NORTHWEST FLORIDA'!$H70=0," ",'NORTHWEST FLORIDA'!$H70)</f>
        <v xml:space="preserve"> </v>
      </c>
      <c r="X71" s="45" t="str">
        <f>IF('PALM BEACH'!$H70=0," ",'PALM BEACH'!$H70)</f>
        <v xml:space="preserve"> </v>
      </c>
      <c r="Y71" s="45" t="str">
        <f>IF(PASCO!$H70=0," ",PASCO!$H70)</f>
        <v xml:space="preserve"> </v>
      </c>
      <c r="Z71" s="45" t="str">
        <f>IF(PENSACOLA!$H70=0," ",PENSACOLA!$H70)</f>
        <v xml:space="preserve"> </v>
      </c>
      <c r="AA71" s="45" t="str">
        <f>IF(POLK!$H70=0," ",POLK!$H70)</f>
        <v xml:space="preserve"> </v>
      </c>
      <c r="AB71" s="45" t="str">
        <f>IF('ST JOHNS'!$H70=0," ",'ST JOHNS'!$H70)</f>
        <v xml:space="preserve"> </v>
      </c>
      <c r="AC71" s="45" t="str">
        <f>IF('ST PETE'!$H70=0," ",'ST PETE'!$H70)</f>
        <v xml:space="preserve"> </v>
      </c>
      <c r="AD71" s="45" t="str">
        <f>IF('SANTA FE'!$H70=0," ",'SANTA FE'!$H70)</f>
        <v xml:space="preserve"> </v>
      </c>
      <c r="AE71" s="45" t="str">
        <f>IF(SEMINOLE!$H70=0," ",SEMINOLE!$H70)</f>
        <v xml:space="preserve"> </v>
      </c>
      <c r="AF71" s="45" t="str">
        <f>IF('SOUTH FLORIDA'!$H70=0," ",'SOUTH FLORIDA'!$H70)</f>
        <v xml:space="preserve"> </v>
      </c>
      <c r="AG71" s="45" t="str">
        <f>IF(TALLAHASSEE!$H70=0," ",TALLAHASSEE!$H70)</f>
        <v xml:space="preserve"> </v>
      </c>
      <c r="AH71" s="45" t="str">
        <f>IF(VALENCIA!$H70=0," ",VALENCIA!$H70)</f>
        <v xml:space="preserve"> </v>
      </c>
      <c r="AI71" s="43"/>
      <c r="AK71" s="29">
        <f t="shared" si="1"/>
        <v>0</v>
      </c>
      <c r="AL71" s="29">
        <f t="shared" si="2"/>
        <v>0</v>
      </c>
      <c r="AM71" s="29">
        <f t="shared" si="3"/>
        <v>0</v>
      </c>
      <c r="AN71" s="29">
        <f t="shared" si="4"/>
        <v>0</v>
      </c>
      <c r="AO71" s="50">
        <f t="shared" si="5"/>
        <v>0</v>
      </c>
      <c r="AP71" s="50">
        <f t="shared" si="6"/>
        <v>0</v>
      </c>
      <c r="AQ71" s="50">
        <f t="shared" si="7"/>
        <v>0</v>
      </c>
    </row>
    <row r="72" spans="1:43" x14ac:dyDescent="0.35">
      <c r="A72" s="9"/>
      <c r="B72" s="9"/>
      <c r="C72" s="10" t="s">
        <v>139</v>
      </c>
      <c r="D72" s="9"/>
      <c r="E72" s="9"/>
      <c r="F72" s="9" t="s">
        <v>140</v>
      </c>
      <c r="G72" s="45" t="str">
        <f>IF(EASTERN!H71=0," ",EASTERN!H71)</f>
        <v xml:space="preserve"> </v>
      </c>
      <c r="H72" s="45" t="str">
        <f>IF(BROWARD!$H71=0," ",BROWARD!$H71)</f>
        <v>Partial</v>
      </c>
      <c r="I72" s="45" t="str">
        <f>IF(CENTRAL!$H71=0," ",CENTRAL!$H71)</f>
        <v xml:space="preserve"> </v>
      </c>
      <c r="J72" s="45" t="str">
        <f>IF(CHIPOLA!$H71=0," ",CHIPOLA!$H71)</f>
        <v>No</v>
      </c>
      <c r="K72" s="45" t="str">
        <f>IF(DAYTONA!$H71=0," ",DAYTONA!$H71)</f>
        <v>Yes</v>
      </c>
      <c r="L72" s="45" t="str">
        <f>IF(SOUTHWESTERN!$H71=0," ",SOUTHWESTERN!$H71)</f>
        <v xml:space="preserve"> </v>
      </c>
      <c r="M72" s="45" t="str">
        <f>IF('FSC JAX'!$H71=0," ",'FSC JAX'!$H71)</f>
        <v xml:space="preserve"> </v>
      </c>
      <c r="N72" s="45" t="str">
        <f>IF('FL KEYS'!$H71=0," ",'FL KEYS'!$H71)</f>
        <v>No</v>
      </c>
      <c r="O72" s="45" t="str">
        <f>IF('GULF COAST'!$H71=0," ",'GULF COAST'!$H71)</f>
        <v xml:space="preserve"> </v>
      </c>
      <c r="P72" s="45" t="str">
        <f>IF(HILLSBOROUGH!$H71=0," ",HILLSBOROUGH!$H71)</f>
        <v xml:space="preserve"> </v>
      </c>
      <c r="Q72" s="45" t="str">
        <f>IF('INDIAN RIVER'!$H71=0," ",'INDIAN RIVER'!$H71)</f>
        <v xml:space="preserve"> </v>
      </c>
      <c r="R72" s="45" t="str">
        <f>IF(GATEWAY!$H71=0," ",GATEWAY!$H71)</f>
        <v xml:space="preserve"> </v>
      </c>
      <c r="S72" s="45" t="str">
        <f>IF('LAKE SUMTER'!$H71=0," ",'LAKE SUMTER'!$H71)</f>
        <v xml:space="preserve"> </v>
      </c>
      <c r="T72" s="45" t="str">
        <f>IF('SCF MANATEE'!$H71=0," ",'SCF MANATEE'!$H71)</f>
        <v>Partial</v>
      </c>
      <c r="U72" s="45" t="str">
        <f>IF(MIAMI!$H71=0," ",MIAMI!$H71)</f>
        <v xml:space="preserve"> </v>
      </c>
      <c r="V72" s="45" t="str">
        <f>IF('NORTH FLORIDA'!$H71=0," ",'NORTH FLORIDA'!$H71)</f>
        <v xml:space="preserve"> </v>
      </c>
      <c r="W72" s="45" t="str">
        <f>IF('NORTHWEST FLORIDA'!$H71=0," ",'NORTHWEST FLORIDA'!$H71)</f>
        <v xml:space="preserve"> </v>
      </c>
      <c r="X72" s="45" t="str">
        <f>IF('PALM BEACH'!$H71=0," ",'PALM BEACH'!$H71)</f>
        <v xml:space="preserve"> </v>
      </c>
      <c r="Y72" s="45" t="str">
        <f>IF(PASCO!$H71=0," ",PASCO!$H71)</f>
        <v>No</v>
      </c>
      <c r="Z72" s="45" t="str">
        <f>IF(PENSACOLA!$H71=0," ",PENSACOLA!$H71)</f>
        <v>no</v>
      </c>
      <c r="AA72" s="45" t="str">
        <f>IF(POLK!$H71=0," ",POLK!$H71)</f>
        <v xml:space="preserve"> </v>
      </c>
      <c r="AB72" s="45" t="str">
        <f>IF('ST JOHNS'!$H71=0," ",'ST JOHNS'!$H71)</f>
        <v>Partial</v>
      </c>
      <c r="AC72" s="45" t="str">
        <f>IF('ST PETE'!$H71=0," ",'ST PETE'!$H71)</f>
        <v xml:space="preserve"> </v>
      </c>
      <c r="AD72" s="45" t="str">
        <f>IF('SANTA FE'!$H71=0," ",'SANTA FE'!$H71)</f>
        <v xml:space="preserve"> </v>
      </c>
      <c r="AE72" s="45" t="str">
        <f>IF(SEMINOLE!$H71=0," ",SEMINOLE!$H71)</f>
        <v xml:space="preserve"> </v>
      </c>
      <c r="AF72" s="45" t="str">
        <f>IF('SOUTH FLORIDA'!$H71=0," ",'SOUTH FLORIDA'!$H71)</f>
        <v xml:space="preserve"> </v>
      </c>
      <c r="AG72" s="45" t="str">
        <f>IF(TALLAHASSEE!$H71=0," ",TALLAHASSEE!$H71)</f>
        <v xml:space="preserve"> </v>
      </c>
      <c r="AH72" s="45" t="str">
        <f>IF(VALENCIA!$H71=0," ",VALENCIA!$H71)</f>
        <v xml:space="preserve"> </v>
      </c>
      <c r="AI72" s="43" t="s">
        <v>24</v>
      </c>
      <c r="AK72" s="29">
        <f t="shared" si="1"/>
        <v>1</v>
      </c>
      <c r="AL72" s="29">
        <f t="shared" si="2"/>
        <v>4</v>
      </c>
      <c r="AM72" s="29">
        <f t="shared" si="3"/>
        <v>3</v>
      </c>
      <c r="AN72" s="29">
        <f t="shared" si="4"/>
        <v>8</v>
      </c>
      <c r="AO72" s="50">
        <f t="shared" si="5"/>
        <v>0.125</v>
      </c>
      <c r="AP72" s="49">
        <f t="shared" si="6"/>
        <v>0.5</v>
      </c>
      <c r="AQ72" s="50">
        <f t="shared" si="7"/>
        <v>0.375</v>
      </c>
    </row>
    <row r="73" spans="1:43" x14ac:dyDescent="0.35">
      <c r="A73" s="9"/>
      <c r="B73" s="9"/>
      <c r="C73" s="10" t="s">
        <v>141</v>
      </c>
      <c r="D73" s="9"/>
      <c r="E73" s="9"/>
      <c r="F73" s="9" t="s">
        <v>142</v>
      </c>
      <c r="G73" s="45" t="str">
        <f>IF(EASTERN!H72=0," ",EASTERN!H72)</f>
        <v>No</v>
      </c>
      <c r="H73" s="45" t="str">
        <f>IF(BROWARD!$H72=0," ",BROWARD!$H72)</f>
        <v>Partial</v>
      </c>
      <c r="I73" s="45" t="str">
        <f>IF(CENTRAL!$H72=0," ",CENTRAL!$H72)</f>
        <v>no</v>
      </c>
      <c r="J73" s="45" t="str">
        <f>IF(CHIPOLA!$H72=0," ",CHIPOLA!$H72)</f>
        <v>Partial</v>
      </c>
      <c r="K73" s="45" t="str">
        <f>IF(DAYTONA!$H72=0," ",DAYTONA!$H72)</f>
        <v>Yes</v>
      </c>
      <c r="L73" s="45" t="str">
        <f>IF(SOUTHWESTERN!$H72=0," ",SOUTHWESTERN!$H72)</f>
        <v>No</v>
      </c>
      <c r="M73" s="45" t="str">
        <f>IF('FSC JAX'!$H72=0," ",'FSC JAX'!$H72)</f>
        <v>No</v>
      </c>
      <c r="N73" s="45" t="str">
        <f>IF('FL KEYS'!$H72=0," ",'FL KEYS'!$H72)</f>
        <v>No</v>
      </c>
      <c r="O73" s="45" t="str">
        <f>IF('GULF COAST'!$H72=0," ",'GULF COAST'!$H72)</f>
        <v>No</v>
      </c>
      <c r="P73" s="45" t="str">
        <f>IF(HILLSBOROUGH!$H72=0," ",HILLSBOROUGH!$H72)</f>
        <v>Yes</v>
      </c>
      <c r="Q73" s="45" t="str">
        <f>IF('INDIAN RIVER'!$H72=0," ",'INDIAN RIVER'!$H72)</f>
        <v xml:space="preserve"> </v>
      </c>
      <c r="R73" s="45" t="str">
        <f>IF(GATEWAY!$H72=0," ",GATEWAY!$H72)</f>
        <v>No</v>
      </c>
      <c r="S73" s="45" t="str">
        <f>IF('LAKE SUMTER'!$H72=0," ",'LAKE SUMTER'!$H72)</f>
        <v>Partial</v>
      </c>
      <c r="T73" s="45" t="str">
        <f>IF('SCF MANATEE'!$H72=0," ",'SCF MANATEE'!$H72)</f>
        <v xml:space="preserve"> </v>
      </c>
      <c r="U73" s="45" t="str">
        <f>IF(MIAMI!$H72=0," ",MIAMI!$H72)</f>
        <v>Yes</v>
      </c>
      <c r="V73" s="45" t="str">
        <f>IF('NORTH FLORIDA'!$H72=0," ",'NORTH FLORIDA'!$H72)</f>
        <v>No</v>
      </c>
      <c r="W73" s="45" t="str">
        <f>IF('NORTHWEST FLORIDA'!$H72=0," ",'NORTHWEST FLORIDA'!$H72)</f>
        <v>No</v>
      </c>
      <c r="X73" s="45" t="str">
        <f>IF('PALM BEACH'!$H72=0," ",'PALM BEACH'!$H72)</f>
        <v>No</v>
      </c>
      <c r="Y73" s="45" t="str">
        <f>IF(PASCO!$H72=0," ",PASCO!$H72)</f>
        <v>Partial</v>
      </c>
      <c r="Z73" s="45" t="str">
        <f>IF(PENSACOLA!$H72=0," ",PENSACOLA!$H72)</f>
        <v>no</v>
      </c>
      <c r="AA73" s="45" t="str">
        <f>IF(POLK!$H72=0," ",POLK!$H72)</f>
        <v>Partial</v>
      </c>
      <c r="AB73" s="45" t="str">
        <f>IF('ST JOHNS'!$H72=0," ",'ST JOHNS'!$H72)</f>
        <v>Partial</v>
      </c>
      <c r="AC73" s="45" t="str">
        <f>IF('ST PETE'!$H72=0," ",'ST PETE'!$H72)</f>
        <v>Partial</v>
      </c>
      <c r="AD73" s="45" t="str">
        <f>IF('SANTA FE'!$H72=0," ",'SANTA FE'!$H72)</f>
        <v>Partial</v>
      </c>
      <c r="AE73" s="45" t="str">
        <f>IF(SEMINOLE!$H72=0," ",SEMINOLE!$H72)</f>
        <v>Partial</v>
      </c>
      <c r="AF73" s="45" t="str">
        <f>IF('SOUTH FLORIDA'!$H72=0," ",'SOUTH FLORIDA'!$H72)</f>
        <v>Yes</v>
      </c>
      <c r="AG73" s="45" t="str">
        <f>IF(TALLAHASSEE!$H72=0," ",TALLAHASSEE!$H72)</f>
        <v>Partial</v>
      </c>
      <c r="AH73" s="45" t="str">
        <f>IF(VALENCIA!$H72=0," ",VALENCIA!$H72)</f>
        <v>Partial</v>
      </c>
      <c r="AI73" s="43" t="s">
        <v>59</v>
      </c>
      <c r="AK73" s="29">
        <f t="shared" si="1"/>
        <v>4</v>
      </c>
      <c r="AL73" s="29">
        <f t="shared" si="2"/>
        <v>11</v>
      </c>
      <c r="AM73" s="29">
        <f t="shared" si="3"/>
        <v>11</v>
      </c>
      <c r="AN73" s="29">
        <f t="shared" si="4"/>
        <v>26</v>
      </c>
      <c r="AO73" s="50">
        <f t="shared" si="5"/>
        <v>0.15384615384615385</v>
      </c>
      <c r="AP73" s="50">
        <f t="shared" si="6"/>
        <v>0.42307692307692307</v>
      </c>
      <c r="AQ73" s="49">
        <f t="shared" si="7"/>
        <v>0.42307692307692307</v>
      </c>
    </row>
    <row r="74" spans="1:43" x14ac:dyDescent="0.35">
      <c r="A74" s="9"/>
      <c r="B74" s="9"/>
      <c r="C74" s="10" t="s">
        <v>143</v>
      </c>
      <c r="D74" s="9"/>
      <c r="E74" s="9"/>
      <c r="F74" s="9" t="s">
        <v>144</v>
      </c>
      <c r="G74" s="45" t="str">
        <f>IF(EASTERN!H73=0," ",EASTERN!H73)</f>
        <v>No</v>
      </c>
      <c r="H74" s="45" t="str">
        <f>IF(BROWARD!$H73=0," ",BROWARD!$H73)</f>
        <v>Partial</v>
      </c>
      <c r="I74" s="45" t="str">
        <f>IF(CENTRAL!$H73=0," ",CENTRAL!$H73)</f>
        <v>Partial</v>
      </c>
      <c r="J74" s="45" t="str">
        <f>IF(CHIPOLA!$H73=0," ",CHIPOLA!$H73)</f>
        <v xml:space="preserve"> </v>
      </c>
      <c r="K74" s="45" t="str">
        <f>IF(DAYTONA!$H73=0," ",DAYTONA!$H73)</f>
        <v>No</v>
      </c>
      <c r="L74" s="45" t="str">
        <f>IF(SOUTHWESTERN!$H73=0," ",SOUTHWESTERN!$H73)</f>
        <v>No</v>
      </c>
      <c r="M74" s="45" t="str">
        <f>IF('FSC JAX'!$H73=0," ",'FSC JAX'!$H73)</f>
        <v>No</v>
      </c>
      <c r="N74" s="45" t="str">
        <f>IF('FL KEYS'!$H73=0," ",'FL KEYS'!$H73)</f>
        <v xml:space="preserve"> </v>
      </c>
      <c r="O74" s="45" t="str">
        <f>IF('GULF COAST'!$H73=0," ",'GULF COAST'!$H73)</f>
        <v xml:space="preserve"> </v>
      </c>
      <c r="P74" s="45" t="str">
        <f>IF(HILLSBOROUGH!$H73=0," ",HILLSBOROUGH!$H73)</f>
        <v>Yes</v>
      </c>
      <c r="Q74" s="45" t="str">
        <f>IF('INDIAN RIVER'!$H73=0," ",'INDIAN RIVER'!$H73)</f>
        <v>No</v>
      </c>
      <c r="R74" s="45" t="str">
        <f>IF(GATEWAY!$H73=0," ",GATEWAY!$H73)</f>
        <v>No</v>
      </c>
      <c r="S74" s="45" t="str">
        <f>IF('LAKE SUMTER'!$H73=0," ",'LAKE SUMTER'!$H73)</f>
        <v>No</v>
      </c>
      <c r="T74" s="45" t="str">
        <f>IF('SCF MANATEE'!$H73=0," ",'SCF MANATEE'!$H73)</f>
        <v xml:space="preserve"> </v>
      </c>
      <c r="U74" s="45" t="str">
        <f>IF(MIAMI!$H73=0," ",MIAMI!$H73)</f>
        <v xml:space="preserve"> </v>
      </c>
      <c r="V74" s="45" t="str">
        <f>IF('NORTH FLORIDA'!$H73=0," ",'NORTH FLORIDA'!$H73)</f>
        <v>No</v>
      </c>
      <c r="W74" s="45" t="str">
        <f>IF('NORTHWEST FLORIDA'!$H73=0," ",'NORTHWEST FLORIDA'!$H73)</f>
        <v>No</v>
      </c>
      <c r="X74" s="45" t="str">
        <f>IF('PALM BEACH'!$H73=0," ",'PALM BEACH'!$H73)</f>
        <v>No</v>
      </c>
      <c r="Y74" s="45" t="str">
        <f>IF(PASCO!$H73=0," ",PASCO!$H73)</f>
        <v>No</v>
      </c>
      <c r="Z74" s="45" t="str">
        <f>IF(PENSACOLA!$H73=0," ",PENSACOLA!$H73)</f>
        <v>no</v>
      </c>
      <c r="AA74" s="45" t="str">
        <f>IF(POLK!$H73=0," ",POLK!$H73)</f>
        <v>No</v>
      </c>
      <c r="AB74" s="45" t="str">
        <f>IF('ST JOHNS'!$H73=0," ",'ST JOHNS'!$H73)</f>
        <v>No</v>
      </c>
      <c r="AC74" s="45" t="str">
        <f>IF('ST PETE'!$H73=0," ",'ST PETE'!$H73)</f>
        <v xml:space="preserve"> </v>
      </c>
      <c r="AD74" s="45" t="str">
        <f>IF('SANTA FE'!$H73=0," ",'SANTA FE'!$H73)</f>
        <v>No</v>
      </c>
      <c r="AE74" s="45" t="str">
        <f>IF(SEMINOLE!$H73=0," ",SEMINOLE!$H73)</f>
        <v>No</v>
      </c>
      <c r="AF74" s="45" t="str">
        <f>IF('SOUTH FLORIDA'!$H73=0," ",'SOUTH FLORIDA'!$H73)</f>
        <v>No</v>
      </c>
      <c r="AG74" s="45" t="str">
        <f>IF(TALLAHASSEE!$H73=0," ",TALLAHASSEE!$H73)</f>
        <v>No</v>
      </c>
      <c r="AH74" s="45" t="str">
        <f>IF(VALENCIA!$H73=0," ",VALENCIA!$H73)</f>
        <v>Yes</v>
      </c>
      <c r="AI74" s="43" t="s">
        <v>24</v>
      </c>
      <c r="AK74" s="29">
        <f t="shared" si="1"/>
        <v>2</v>
      </c>
      <c r="AL74" s="29">
        <f t="shared" si="2"/>
        <v>18</v>
      </c>
      <c r="AM74" s="29">
        <f t="shared" si="3"/>
        <v>2</v>
      </c>
      <c r="AN74" s="29">
        <f t="shared" si="4"/>
        <v>22</v>
      </c>
      <c r="AO74" s="50">
        <f t="shared" si="5"/>
        <v>9.0909090909090912E-2</v>
      </c>
      <c r="AP74" s="49">
        <f t="shared" si="6"/>
        <v>0.81818181818181823</v>
      </c>
      <c r="AQ74" s="50">
        <f t="shared" si="7"/>
        <v>9.0909090909090912E-2</v>
      </c>
    </row>
    <row r="75" spans="1:43" x14ac:dyDescent="0.35">
      <c r="A75" s="9"/>
      <c r="B75" s="9" t="s">
        <v>145</v>
      </c>
      <c r="C75" s="10"/>
      <c r="D75" s="9"/>
      <c r="E75" s="9" t="s">
        <v>127</v>
      </c>
      <c r="F75" s="9"/>
      <c r="G75" s="45" t="str">
        <f>IF(EASTERN!H74=0," ",EASTERN!H74)</f>
        <v xml:space="preserve"> </v>
      </c>
      <c r="H75" s="45" t="str">
        <f>IF(BROWARD!$H74=0," ",BROWARD!$H74)</f>
        <v xml:space="preserve"> </v>
      </c>
      <c r="I75" s="45" t="str">
        <f>IF(CENTRAL!$H74=0," ",CENTRAL!$H74)</f>
        <v xml:space="preserve"> </v>
      </c>
      <c r="J75" s="45" t="str">
        <f>IF(CHIPOLA!$H74=0," ",CHIPOLA!$H74)</f>
        <v xml:space="preserve"> </v>
      </c>
      <c r="K75" s="45" t="str">
        <f>IF(DAYTONA!$H74=0," ",DAYTONA!$H74)</f>
        <v xml:space="preserve"> </v>
      </c>
      <c r="L75" s="45" t="str">
        <f>IF(SOUTHWESTERN!$H74=0," ",SOUTHWESTERN!$H74)</f>
        <v xml:space="preserve"> </v>
      </c>
      <c r="M75" s="45" t="str">
        <f>IF('FSC JAX'!$H74=0," ",'FSC JAX'!$H74)</f>
        <v xml:space="preserve"> </v>
      </c>
      <c r="N75" s="45" t="str">
        <f>IF('FL KEYS'!$H74=0," ",'FL KEYS'!$H74)</f>
        <v xml:space="preserve"> </v>
      </c>
      <c r="O75" s="45" t="str">
        <f>IF('GULF COAST'!$H74=0," ",'GULF COAST'!$H74)</f>
        <v xml:space="preserve"> </v>
      </c>
      <c r="P75" s="45" t="str">
        <f>IF(HILLSBOROUGH!$H74=0," ",HILLSBOROUGH!$H74)</f>
        <v xml:space="preserve"> </v>
      </c>
      <c r="Q75" s="45" t="str">
        <f>IF('INDIAN RIVER'!$H74=0," ",'INDIAN RIVER'!$H74)</f>
        <v xml:space="preserve"> </v>
      </c>
      <c r="R75" s="45" t="str">
        <f>IF(GATEWAY!$H74=0," ",GATEWAY!$H74)</f>
        <v xml:space="preserve"> </v>
      </c>
      <c r="S75" s="45" t="str">
        <f>IF('LAKE SUMTER'!$H74=0," ",'LAKE SUMTER'!$H74)</f>
        <v xml:space="preserve"> </v>
      </c>
      <c r="T75" s="45" t="str">
        <f>IF('SCF MANATEE'!$H74=0," ",'SCF MANATEE'!$H74)</f>
        <v xml:space="preserve"> </v>
      </c>
      <c r="U75" s="45" t="str">
        <f>IF(MIAMI!$H74=0," ",MIAMI!$H74)</f>
        <v xml:space="preserve"> </v>
      </c>
      <c r="V75" s="45" t="str">
        <f>IF('NORTH FLORIDA'!$H74=0," ",'NORTH FLORIDA'!$H74)</f>
        <v xml:space="preserve"> </v>
      </c>
      <c r="W75" s="45" t="str">
        <f>IF('NORTHWEST FLORIDA'!$H74=0," ",'NORTHWEST FLORIDA'!$H74)</f>
        <v xml:space="preserve"> </v>
      </c>
      <c r="X75" s="45" t="str">
        <f>IF('PALM BEACH'!$H74=0," ",'PALM BEACH'!$H74)</f>
        <v xml:space="preserve"> </v>
      </c>
      <c r="Y75" s="45" t="str">
        <f>IF(PASCO!$H74=0," ",PASCO!$H74)</f>
        <v xml:space="preserve"> </v>
      </c>
      <c r="Z75" s="45" t="str">
        <f>IF(PENSACOLA!$H74=0," ",PENSACOLA!$H74)</f>
        <v xml:space="preserve"> </v>
      </c>
      <c r="AA75" s="45" t="str">
        <f>IF(POLK!$H74=0," ",POLK!$H74)</f>
        <v xml:space="preserve"> </v>
      </c>
      <c r="AB75" s="45" t="str">
        <f>IF('ST JOHNS'!$H74=0," ",'ST JOHNS'!$H74)</f>
        <v xml:space="preserve"> </v>
      </c>
      <c r="AC75" s="45" t="str">
        <f>IF('ST PETE'!$H74=0," ",'ST PETE'!$H74)</f>
        <v xml:space="preserve"> </v>
      </c>
      <c r="AD75" s="45" t="str">
        <f>IF('SANTA FE'!$H74=0," ",'SANTA FE'!$H74)</f>
        <v xml:space="preserve"> </v>
      </c>
      <c r="AE75" s="45" t="str">
        <f>IF(SEMINOLE!$H74=0," ",SEMINOLE!$H74)</f>
        <v xml:space="preserve"> </v>
      </c>
      <c r="AF75" s="45" t="str">
        <f>IF('SOUTH FLORIDA'!$H74=0," ",'SOUTH FLORIDA'!$H74)</f>
        <v xml:space="preserve"> </v>
      </c>
      <c r="AG75" s="45" t="str">
        <f>IF(TALLAHASSEE!$H74=0," ",TALLAHASSEE!$H74)</f>
        <v xml:space="preserve"> </v>
      </c>
      <c r="AH75" s="45" t="str">
        <f>IF(VALENCIA!$H74=0," ",VALENCIA!$H74)</f>
        <v xml:space="preserve"> </v>
      </c>
      <c r="AI75" s="43"/>
      <c r="AK75" s="29">
        <f t="shared" ref="AK75:AK76" si="8">COUNTIF(G75:AH75,"Yes")</f>
        <v>0</v>
      </c>
      <c r="AL75" s="29">
        <f t="shared" ref="AL75:AL76" si="9">COUNTIF(G75:AH75,"No")</f>
        <v>0</v>
      </c>
      <c r="AM75" s="29">
        <f t="shared" ref="AM75:AM76" si="10">COUNTIF(G75:AH75,"Partial")</f>
        <v>0</v>
      </c>
      <c r="AN75" s="29">
        <f t="shared" ref="AN75:AN76" si="11">SUM(AK75:AM75)</f>
        <v>0</v>
      </c>
      <c r="AO75" s="50">
        <f t="shared" ref="AO75:AO76" si="12">IFERROR(AK75/$AN75,0)</f>
        <v>0</v>
      </c>
      <c r="AP75" s="50">
        <f t="shared" ref="AP75:AP76" si="13">IFERROR(AL75/$AN75,0)</f>
        <v>0</v>
      </c>
      <c r="AQ75" s="50">
        <f t="shared" ref="AQ75:AQ76" si="14">IFERROR(AM75/$AN75,0)</f>
        <v>0</v>
      </c>
    </row>
    <row r="76" spans="1:43" x14ac:dyDescent="0.35">
      <c r="A76" s="9"/>
      <c r="B76" s="9" t="s">
        <v>146</v>
      </c>
      <c r="C76" s="10"/>
      <c r="D76" s="9"/>
      <c r="E76" s="9" t="s">
        <v>127</v>
      </c>
      <c r="F76" s="9"/>
      <c r="G76" s="45" t="str">
        <f>IF(EASTERN!H75=0," ",EASTERN!H75)</f>
        <v xml:space="preserve"> </v>
      </c>
      <c r="H76" s="45" t="str">
        <f>IF(BROWARD!$H75=0," ",BROWARD!$H75)</f>
        <v xml:space="preserve"> </v>
      </c>
      <c r="I76" s="45" t="str">
        <f>IF(CENTRAL!$H75=0," ",CENTRAL!$H75)</f>
        <v xml:space="preserve"> </v>
      </c>
      <c r="J76" s="45" t="str">
        <f>IF(CHIPOLA!$H75=0," ",CHIPOLA!$H75)</f>
        <v xml:space="preserve"> </v>
      </c>
      <c r="K76" s="45" t="str">
        <f>IF(DAYTONA!$H75=0," ",DAYTONA!$H75)</f>
        <v xml:space="preserve"> </v>
      </c>
      <c r="L76" s="45" t="str">
        <f>IF(SOUTHWESTERN!$H75=0," ",SOUTHWESTERN!$H75)</f>
        <v xml:space="preserve"> </v>
      </c>
      <c r="M76" s="45" t="str">
        <f>IF('FSC JAX'!$H75=0," ",'FSC JAX'!$H75)</f>
        <v xml:space="preserve"> </v>
      </c>
      <c r="N76" s="45" t="str">
        <f>IF('FL KEYS'!$H75=0," ",'FL KEYS'!$H75)</f>
        <v xml:space="preserve"> </v>
      </c>
      <c r="O76" s="45" t="str">
        <f>IF('GULF COAST'!$H75=0," ",'GULF COAST'!$H75)</f>
        <v xml:space="preserve"> </v>
      </c>
      <c r="P76" s="45" t="str">
        <f>IF(HILLSBOROUGH!$H75=0," ",HILLSBOROUGH!$H75)</f>
        <v xml:space="preserve"> </v>
      </c>
      <c r="Q76" s="45" t="str">
        <f>IF('INDIAN RIVER'!$H75=0," ",'INDIAN RIVER'!$H75)</f>
        <v xml:space="preserve"> </v>
      </c>
      <c r="R76" s="45" t="str">
        <f>IF(GATEWAY!$H75=0," ",GATEWAY!$H75)</f>
        <v xml:space="preserve"> </v>
      </c>
      <c r="S76" s="45" t="str">
        <f>IF('LAKE SUMTER'!$H75=0," ",'LAKE SUMTER'!$H75)</f>
        <v xml:space="preserve"> </v>
      </c>
      <c r="T76" s="45" t="str">
        <f>IF('SCF MANATEE'!$H75=0," ",'SCF MANATEE'!$H75)</f>
        <v xml:space="preserve"> </v>
      </c>
      <c r="U76" s="45" t="str">
        <f>IF(MIAMI!$H75=0," ",MIAMI!$H75)</f>
        <v xml:space="preserve"> </v>
      </c>
      <c r="V76" s="45" t="str">
        <f>IF('NORTH FLORIDA'!$H75=0," ",'NORTH FLORIDA'!$H75)</f>
        <v xml:space="preserve"> </v>
      </c>
      <c r="W76" s="45" t="str">
        <f>IF('NORTHWEST FLORIDA'!$H75=0," ",'NORTHWEST FLORIDA'!$H75)</f>
        <v xml:space="preserve"> </v>
      </c>
      <c r="X76" s="45" t="str">
        <f>IF('PALM BEACH'!$H75=0," ",'PALM BEACH'!$H75)</f>
        <v xml:space="preserve"> </v>
      </c>
      <c r="Y76" s="45" t="str">
        <f>IF(PASCO!$H75=0," ",PASCO!$H75)</f>
        <v xml:space="preserve"> </v>
      </c>
      <c r="Z76" s="45" t="str">
        <f>IF(PENSACOLA!$H75=0," ",PENSACOLA!$H75)</f>
        <v xml:space="preserve"> </v>
      </c>
      <c r="AA76" s="45" t="str">
        <f>IF(POLK!$H75=0," ",POLK!$H75)</f>
        <v xml:space="preserve"> </v>
      </c>
      <c r="AB76" s="45" t="str">
        <f>IF('ST JOHNS'!$H75=0," ",'ST JOHNS'!$H75)</f>
        <v xml:space="preserve"> </v>
      </c>
      <c r="AC76" s="45" t="str">
        <f>IF('ST PETE'!$H75=0," ",'ST PETE'!$H75)</f>
        <v xml:space="preserve"> </v>
      </c>
      <c r="AD76" s="45" t="str">
        <f>IF('SANTA FE'!$H75=0," ",'SANTA FE'!$H75)</f>
        <v xml:space="preserve"> </v>
      </c>
      <c r="AE76" s="45" t="str">
        <f>IF(SEMINOLE!$H75=0," ",SEMINOLE!$H75)</f>
        <v xml:space="preserve"> </v>
      </c>
      <c r="AF76" s="45" t="str">
        <f>IF('SOUTH FLORIDA'!$H75=0," ",'SOUTH FLORIDA'!$H75)</f>
        <v xml:space="preserve"> </v>
      </c>
      <c r="AG76" s="45" t="str">
        <f>IF(TALLAHASSEE!$H75=0," ",TALLAHASSEE!$H75)</f>
        <v xml:space="preserve"> </v>
      </c>
      <c r="AH76" s="45" t="str">
        <f>IF(VALENCIA!$H75=0," ",VALENCIA!$H75)</f>
        <v xml:space="preserve"> </v>
      </c>
      <c r="AI76" s="43"/>
      <c r="AK76" s="29">
        <f t="shared" si="8"/>
        <v>0</v>
      </c>
      <c r="AL76" s="29">
        <f t="shared" si="9"/>
        <v>0</v>
      </c>
      <c r="AM76" s="29">
        <f t="shared" si="10"/>
        <v>0</v>
      </c>
      <c r="AN76" s="29">
        <f t="shared" si="11"/>
        <v>0</v>
      </c>
      <c r="AO76" s="50">
        <f t="shared" si="12"/>
        <v>0</v>
      </c>
      <c r="AP76" s="50">
        <f t="shared" si="13"/>
        <v>0</v>
      </c>
      <c r="AQ76" s="50">
        <f t="shared" si="14"/>
        <v>0</v>
      </c>
    </row>
    <row r="79" spans="1:43" x14ac:dyDescent="0.35">
      <c r="F79" s="44" t="s">
        <v>181</v>
      </c>
    </row>
    <row r="80" spans="1:43" x14ac:dyDescent="0.35">
      <c r="F80" s="30" t="s">
        <v>175</v>
      </c>
      <c r="G80" s="46" t="s">
        <v>196</v>
      </c>
      <c r="H80" s="46" t="s">
        <v>148</v>
      </c>
      <c r="I80" s="46" t="s">
        <v>149</v>
      </c>
      <c r="J80" s="46" t="s">
        <v>150</v>
      </c>
      <c r="K80" s="46" t="s">
        <v>151</v>
      </c>
      <c r="L80" s="46" t="s">
        <v>207</v>
      </c>
      <c r="M80" s="46" t="s">
        <v>152</v>
      </c>
      <c r="N80" s="46" t="s">
        <v>153</v>
      </c>
      <c r="O80" s="46" t="s">
        <v>154</v>
      </c>
      <c r="P80" s="46" t="s">
        <v>155</v>
      </c>
      <c r="Q80" s="46" t="s">
        <v>156</v>
      </c>
      <c r="R80" s="46" t="s">
        <v>157</v>
      </c>
      <c r="S80" s="46" t="s">
        <v>158</v>
      </c>
      <c r="T80" s="46" t="s">
        <v>159</v>
      </c>
      <c r="U80" s="46" t="s">
        <v>160</v>
      </c>
      <c r="V80" s="46" t="s">
        <v>161</v>
      </c>
      <c r="W80" s="46" t="s">
        <v>162</v>
      </c>
      <c r="X80" s="46" t="s">
        <v>163</v>
      </c>
      <c r="Y80" s="46" t="s">
        <v>208</v>
      </c>
      <c r="Z80" s="46" t="s">
        <v>164</v>
      </c>
      <c r="AA80" s="46" t="s">
        <v>165</v>
      </c>
      <c r="AB80" s="46" t="s">
        <v>166</v>
      </c>
      <c r="AC80" s="46" t="s">
        <v>167</v>
      </c>
      <c r="AD80" s="46" t="s">
        <v>168</v>
      </c>
      <c r="AE80" s="46" t="s">
        <v>169</v>
      </c>
      <c r="AF80" s="46" t="s">
        <v>170</v>
      </c>
      <c r="AG80" s="46" t="s">
        <v>171</v>
      </c>
      <c r="AH80" s="46" t="s">
        <v>172</v>
      </c>
      <c r="AI80" s="46" t="s">
        <v>177</v>
      </c>
    </row>
    <row r="81" spans="1:35" x14ac:dyDescent="0.35">
      <c r="A81" s="8" t="s">
        <v>9</v>
      </c>
      <c r="B81" s="9"/>
      <c r="C81" s="10"/>
      <c r="D81" s="11" t="s">
        <v>10</v>
      </c>
      <c r="E81" s="10"/>
      <c r="F81" s="10"/>
      <c r="G81" s="47"/>
      <c r="H81" s="47"/>
      <c r="I81" s="47"/>
      <c r="J81" s="47"/>
      <c r="K81" s="47"/>
      <c r="L81" s="47"/>
      <c r="M81" s="47"/>
      <c r="N81" s="47"/>
      <c r="O81" s="47"/>
      <c r="P81" s="47"/>
      <c r="Q81" s="47"/>
      <c r="R81" s="47"/>
      <c r="S81" s="47"/>
      <c r="T81" s="47"/>
      <c r="U81" s="47"/>
      <c r="V81" s="47"/>
      <c r="W81" s="47"/>
      <c r="X81" s="47"/>
      <c r="Y81" s="47"/>
      <c r="Z81" s="47"/>
      <c r="AA81" s="47"/>
      <c r="AB81" s="47"/>
      <c r="AC81" s="47"/>
      <c r="AD81" s="47"/>
      <c r="AE81" s="47"/>
      <c r="AF81" s="47"/>
      <c r="AG81" s="47"/>
      <c r="AH81" s="47"/>
      <c r="AI81" s="47"/>
    </row>
    <row r="82" spans="1:35" x14ac:dyDescent="0.35">
      <c r="A82" s="8"/>
      <c r="B82" s="9" t="s">
        <v>11</v>
      </c>
      <c r="C82" s="10"/>
      <c r="D82" s="13"/>
      <c r="E82" s="9" t="s">
        <v>12</v>
      </c>
      <c r="F82" s="10"/>
      <c r="G82" s="47">
        <f>IFERROR(EASTERN!$J8/EASTERN!$G8," ")</f>
        <v>0.32966249588433427</v>
      </c>
      <c r="H82" s="47">
        <f>IFERROR(BROWARD!$J8/BROWARD!$G8," ")</f>
        <v>0.36308563760281259</v>
      </c>
      <c r="I82" s="47">
        <f>IFERROR(CENTRAL!$J8/CENTRAL!$G8," ")</f>
        <v>0.79554593104265781</v>
      </c>
      <c r="J82" s="47">
        <f>IFERROR(CHIPOLA!$J8/CHIPOLA!$G8," ")</f>
        <v>1.7093375440281926E-2</v>
      </c>
      <c r="K82" s="47">
        <f>IFERROR(DAYTONA!$J8/DAYTONA!$G8," ")</f>
        <v>0.17494933125411002</v>
      </c>
      <c r="L82" s="47">
        <f>IFERROR(SOUTHWESTERN!$J8/SOUTHWESTERN!$G8," ")</f>
        <v>0.1793735938063804</v>
      </c>
      <c r="M82" s="47">
        <f>IFERROR('FSC JAX'!$J8/'FSC JAX'!$G8," ")</f>
        <v>0.36510182455254292</v>
      </c>
      <c r="N82" s="47">
        <f>IFERROR('FL KEYS'!$J8/'FL KEYS'!$G8," ")</f>
        <v>0.23246967969455987</v>
      </c>
      <c r="O82" s="47">
        <f>IFERROR('GULF COAST'!$J8/'GULF COAST'!$G8," ")</f>
        <v>0.10165535312066488</v>
      </c>
      <c r="P82" s="47">
        <f>IFERROR(HILLSBOROUGH!$J8/HILLSBOROUGH!$G8," ")</f>
        <v>0.45847023275991589</v>
      </c>
      <c r="Q82" s="47">
        <f>IFERROR('INDIAN RIVER'!$J8/'INDIAN RIVER'!$G8," ")</f>
        <v>0</v>
      </c>
      <c r="R82" s="47">
        <f>IFERROR(GATEWAY!$J8/GATEWAY!$G8," ")</f>
        <v>0.1999522885481127</v>
      </c>
      <c r="S82" s="47">
        <f>IFERROR('LAKE SUMTER'!$J8/'LAKE SUMTER'!$G8," ")</f>
        <v>0.51870187957394753</v>
      </c>
      <c r="T82" s="47">
        <f>IFERROR('SCF MANATEE'!$J8/'SCF MANATEE'!$G8," ")</f>
        <v>0.60371933887761275</v>
      </c>
      <c r="U82" s="47">
        <f>IFERROR(MIAMI!$J8/MIAMI!$G8," ")</f>
        <v>0.54622561822781424</v>
      </c>
      <c r="V82" s="47">
        <f>IFERROR('NORTH FLORIDA'!$J8/'NORTH FLORIDA'!$G8," ")</f>
        <v>0.50305362863266578</v>
      </c>
      <c r="W82" s="47">
        <f>IFERROR('NORTHWEST FLORIDA'!$J8/'NORTHWEST FLORIDA'!$G8," ")</f>
        <v>1.9183292047587838E-2</v>
      </c>
      <c r="X82" s="47">
        <f>IFERROR('PALM BEACH'!$J8/'PALM BEACH'!$G8," ")</f>
        <v>0.43564197056587806</v>
      </c>
      <c r="Y82" s="47">
        <f>IFERROR(PASCO!$J8/PASCO!$G8," ")</f>
        <v>0.61368706548830065</v>
      </c>
      <c r="Z82" s="47">
        <f>IFERROR(PENSACOLA!$J8/PENSACOLA!$G8," ")</f>
        <v>0</v>
      </c>
      <c r="AA82" s="47">
        <f>IFERROR(POLK!$J8/POLK!$G8," ")</f>
        <v>0.30691213761011898</v>
      </c>
      <c r="AB82" s="47">
        <f>IFERROR('ST JOHNS'!$J8/'ST JOHNS'!$G8," ")</f>
        <v>0.41258769081548163</v>
      </c>
      <c r="AC82" s="47">
        <f>IFERROR('ST PETE'!$J8/'ST PETE'!$G8," ")</f>
        <v>0.36359572364413784</v>
      </c>
      <c r="AD82" s="47">
        <f>IFERROR('SANTA FE'!$J8/'SANTA FE'!$G8," ")</f>
        <v>0.51861855766906462</v>
      </c>
      <c r="AE82" s="47">
        <f>IFERROR(SEMINOLE!$J8/SEMINOLE!$G8," ")</f>
        <v>0.2018536221778883</v>
      </c>
      <c r="AF82" s="47">
        <f>IFERROR('SOUTH FLORIDA'!$J8/'SOUTH FLORIDA'!$G8," ")</f>
        <v>0.14508483568411312</v>
      </c>
      <c r="AG82" s="47">
        <f>IFERROR(TALLAHASSEE!$J8/TALLAHASSEE!$G8," ")</f>
        <v>0.5022755157277784</v>
      </c>
      <c r="AH82" s="47">
        <f>IFERROR(VALENCIA!$J8/VALENCIA!$G8," ")</f>
        <v>0.46141523959470737</v>
      </c>
      <c r="AI82" s="47">
        <f>IFERROR('System Summary'!$J8/'System Summary'!$G8," ")</f>
        <v>0.40788446985622628</v>
      </c>
    </row>
    <row r="83" spans="1:35" x14ac:dyDescent="0.35">
      <c r="A83" s="8"/>
      <c r="B83" s="9"/>
      <c r="C83" s="10" t="s">
        <v>13</v>
      </c>
      <c r="D83" s="13"/>
      <c r="E83" s="10"/>
      <c r="F83" s="9" t="s">
        <v>14</v>
      </c>
      <c r="G83" s="47" t="str">
        <f>IFERROR(EASTERN!J9/EASTERN!G9," ")</f>
        <v xml:space="preserve"> </v>
      </c>
      <c r="H83" s="47" t="str">
        <f>IFERROR(BROWARD!$J9/BROWARD!$G9," ")</f>
        <v xml:space="preserve"> </v>
      </c>
      <c r="I83" s="47" t="str">
        <f>IFERROR(CENTRAL!$J9/CENTRAL!$G9," ")</f>
        <v xml:space="preserve"> </v>
      </c>
      <c r="J83" s="47" t="str">
        <f>IFERROR(CHIPOLA!$J9/CHIPOLA!$G9," ")</f>
        <v xml:space="preserve"> </v>
      </c>
      <c r="K83" s="47" t="str">
        <f>IFERROR(DAYTONA!$J9/DAYTONA!$G9," ")</f>
        <v xml:space="preserve"> </v>
      </c>
      <c r="L83" s="47" t="str">
        <f>IFERROR(SOUTHWESTERN!$J9/SOUTHWESTERN!$G9," ")</f>
        <v xml:space="preserve"> </v>
      </c>
      <c r="M83" s="47" t="str">
        <f>IFERROR('FSC JAX'!$J9/'FSC JAX'!$G9," ")</f>
        <v xml:space="preserve"> </v>
      </c>
      <c r="N83" s="47" t="str">
        <f>IFERROR('FL KEYS'!$J9/'FL KEYS'!$G9," ")</f>
        <v xml:space="preserve"> </v>
      </c>
      <c r="O83" s="47">
        <f>IFERROR('GULF COAST'!$J9/'GULF COAST'!$G9," ")</f>
        <v>0.24833381683099309</v>
      </c>
      <c r="P83" s="47" t="str">
        <f>IFERROR(HILLSBOROUGH!$J9/HILLSBOROUGH!$G9," ")</f>
        <v xml:space="preserve"> </v>
      </c>
      <c r="Q83" s="47" t="str">
        <f>IFERROR('INDIAN RIVER'!$J9/'INDIAN RIVER'!$G9," ")</f>
        <v xml:space="preserve"> </v>
      </c>
      <c r="R83" s="47" t="str">
        <f>IFERROR(GATEWAY!$J9/GATEWAY!$G9," ")</f>
        <v xml:space="preserve"> </v>
      </c>
      <c r="S83" s="47" t="str">
        <f>IFERROR('LAKE SUMTER'!$J9/'LAKE SUMTER'!$G9," ")</f>
        <v xml:space="preserve"> </v>
      </c>
      <c r="T83" s="47" t="str">
        <f>IFERROR('SCF MANATEE'!$J9/'SCF MANATEE'!$G9," ")</f>
        <v xml:space="preserve"> </v>
      </c>
      <c r="U83" s="47">
        <f>IFERROR(MIAMI!$J9/MIAMI!$G9," ")</f>
        <v>1</v>
      </c>
      <c r="V83" s="47" t="str">
        <f>IFERROR('NORTH FLORIDA'!$J9/'NORTH FLORIDA'!$G9," ")</f>
        <v xml:space="preserve"> </v>
      </c>
      <c r="W83" s="47" t="str">
        <f>IFERROR('NORTHWEST FLORIDA'!$J9/'NORTHWEST FLORIDA'!$G9," ")</f>
        <v xml:space="preserve"> </v>
      </c>
      <c r="X83" s="47" t="str">
        <f>IFERROR('PALM BEACH'!$J9/'PALM BEACH'!$G9," ")</f>
        <v xml:space="preserve"> </v>
      </c>
      <c r="Y83" s="47" t="str">
        <f>IFERROR(PASCO!$J9/PASCO!$G9," ")</f>
        <v xml:space="preserve"> </v>
      </c>
      <c r="Z83" s="47" t="str">
        <f>IFERROR(PENSACOLA!$J9/PENSACOLA!$G9," ")</f>
        <v xml:space="preserve"> </v>
      </c>
      <c r="AA83" s="47" t="str">
        <f>IFERROR(POLK!$J9/POLK!$G9," ")</f>
        <v xml:space="preserve"> </v>
      </c>
      <c r="AB83" s="47" t="str">
        <f>IFERROR('ST JOHNS'!$J9/'ST JOHNS'!$G9," ")</f>
        <v xml:space="preserve"> </v>
      </c>
      <c r="AC83" s="47" t="str">
        <f>IFERROR('ST PETE'!$J9/'ST PETE'!$G9," ")</f>
        <v xml:space="preserve"> </v>
      </c>
      <c r="AD83" s="47" t="str">
        <f>IFERROR('SANTA FE'!$J9/'SANTA FE'!$G9," ")</f>
        <v xml:space="preserve"> </v>
      </c>
      <c r="AE83" s="47" t="str">
        <f>IFERROR(SEMINOLE!$J9/SEMINOLE!$G9," ")</f>
        <v xml:space="preserve"> </v>
      </c>
      <c r="AF83" s="47" t="str">
        <f>IFERROR('SOUTH FLORIDA'!$J9/'SOUTH FLORIDA'!$G9," ")</f>
        <v xml:space="preserve"> </v>
      </c>
      <c r="AG83" s="47" t="str">
        <f>IFERROR(TALLAHASSEE!$J9/TALLAHASSEE!$G9," ")</f>
        <v xml:space="preserve"> </v>
      </c>
      <c r="AH83" s="47" t="str">
        <f>IFERROR(VALENCIA!$J9/VALENCIA!$G9," ")</f>
        <v xml:space="preserve"> </v>
      </c>
      <c r="AI83" s="47">
        <f>IFERROR('System Summary'!$J9/'System Summary'!$G9," ")</f>
        <v>0.81819030955830763</v>
      </c>
    </row>
    <row r="84" spans="1:35" x14ac:dyDescent="0.35">
      <c r="A84" s="8"/>
      <c r="B84" s="9"/>
      <c r="C84" s="10" t="s">
        <v>16</v>
      </c>
      <c r="D84" s="13"/>
      <c r="E84" s="10"/>
      <c r="F84" s="9" t="s">
        <v>17</v>
      </c>
      <c r="G84" s="47">
        <f>IFERROR(EASTERN!J10/EASTERN!G10," ")</f>
        <v>0</v>
      </c>
      <c r="H84" s="47" t="str">
        <f>IFERROR(BROWARD!$J10/BROWARD!$G10," ")</f>
        <v xml:space="preserve"> </v>
      </c>
      <c r="I84" s="47">
        <f>IFERROR(CENTRAL!$J10/CENTRAL!$G10," ")</f>
        <v>0</v>
      </c>
      <c r="J84" s="47">
        <f>IFERROR(CHIPOLA!$J10/CHIPOLA!$G10," ")</f>
        <v>0</v>
      </c>
      <c r="K84" s="47">
        <f>IFERROR(DAYTONA!$J10/DAYTONA!$G10," ")</f>
        <v>0</v>
      </c>
      <c r="L84" s="47">
        <f>IFERROR(SOUTHWESTERN!$J10/SOUTHWESTERN!$G10," ")</f>
        <v>0</v>
      </c>
      <c r="M84" s="47">
        <f>IFERROR('FSC JAX'!$J10/'FSC JAX'!$G10," ")</f>
        <v>0</v>
      </c>
      <c r="N84" s="47">
        <f>IFERROR('FL KEYS'!$J10/'FL KEYS'!$G10," ")</f>
        <v>0</v>
      </c>
      <c r="O84" s="47">
        <f>IFERROR('GULF COAST'!$J10/'GULF COAST'!$G10," ")</f>
        <v>0</v>
      </c>
      <c r="P84" s="47">
        <f>IFERROR(HILLSBOROUGH!$J10/HILLSBOROUGH!$G10," ")</f>
        <v>0</v>
      </c>
      <c r="Q84" s="47">
        <f>IFERROR('INDIAN RIVER'!$J10/'INDIAN RIVER'!$G10," ")</f>
        <v>0</v>
      </c>
      <c r="R84" s="47">
        <f>IFERROR(GATEWAY!$J10/GATEWAY!$G10," ")</f>
        <v>0</v>
      </c>
      <c r="S84" s="47">
        <f>IFERROR('LAKE SUMTER'!$J10/'LAKE SUMTER'!$G10," ")</f>
        <v>0</v>
      </c>
      <c r="T84" s="47">
        <f>IFERROR('SCF MANATEE'!$J10/'SCF MANATEE'!$G10," ")</f>
        <v>0</v>
      </c>
      <c r="U84" s="47" t="str">
        <f>IFERROR(MIAMI!$J10/MIAMI!$G10," ")</f>
        <v xml:space="preserve"> </v>
      </c>
      <c r="V84" s="47">
        <f>IFERROR('NORTH FLORIDA'!$J10/'NORTH FLORIDA'!$G10," ")</f>
        <v>0</v>
      </c>
      <c r="W84" s="47">
        <f>IFERROR('NORTHWEST FLORIDA'!$J10/'NORTHWEST FLORIDA'!$G10," ")</f>
        <v>0</v>
      </c>
      <c r="X84" s="47">
        <f>IFERROR('PALM BEACH'!$J10/'PALM BEACH'!$G10," ")</f>
        <v>0</v>
      </c>
      <c r="Y84" s="47">
        <f>IFERROR(PASCO!$J10/PASCO!$G10," ")</f>
        <v>0</v>
      </c>
      <c r="Z84" s="47">
        <f>IFERROR(PENSACOLA!$J10/PENSACOLA!$G10," ")</f>
        <v>0</v>
      </c>
      <c r="AA84" s="47">
        <f>IFERROR(POLK!$J10/POLK!$G10," ")</f>
        <v>0</v>
      </c>
      <c r="AB84" s="47">
        <f>IFERROR('ST JOHNS'!$J10/'ST JOHNS'!$G10," ")</f>
        <v>0</v>
      </c>
      <c r="AC84" s="47">
        <f>IFERROR('ST PETE'!$J10/'ST PETE'!$G10," ")</f>
        <v>0</v>
      </c>
      <c r="AD84" s="47">
        <f>IFERROR('SANTA FE'!$J10/'SANTA FE'!$G10," ")</f>
        <v>0</v>
      </c>
      <c r="AE84" s="47">
        <f>IFERROR(SEMINOLE!$J10/SEMINOLE!$G10," ")</f>
        <v>0</v>
      </c>
      <c r="AF84" s="47">
        <f>IFERROR('SOUTH FLORIDA'!$J10/'SOUTH FLORIDA'!$G10," ")</f>
        <v>0</v>
      </c>
      <c r="AG84" s="47">
        <f>IFERROR(TALLAHASSEE!$J10/TALLAHASSEE!$G10," ")</f>
        <v>0</v>
      </c>
      <c r="AH84" s="47">
        <f>IFERROR(VALENCIA!$J10/VALENCIA!$G10," ")</f>
        <v>0</v>
      </c>
      <c r="AI84" s="47">
        <f>IFERROR('System Summary'!$J10/'System Summary'!$G10," ")</f>
        <v>0</v>
      </c>
    </row>
    <row r="85" spans="1:35" x14ac:dyDescent="0.35">
      <c r="A85" s="8"/>
      <c r="B85" s="9"/>
      <c r="C85" s="10" t="s">
        <v>18</v>
      </c>
      <c r="D85" s="13"/>
      <c r="E85" s="10"/>
      <c r="F85" s="9" t="s">
        <v>19</v>
      </c>
      <c r="G85" s="47">
        <f>IFERROR(EASTERN!J11/EASTERN!G11," ")</f>
        <v>0</v>
      </c>
      <c r="H85" s="47">
        <f>IFERROR(BROWARD!$J11/BROWARD!$G11," ")</f>
        <v>0.37861982300327307</v>
      </c>
      <c r="I85" s="47">
        <f>IFERROR(CENTRAL!$J11/CENTRAL!$G11," ")</f>
        <v>0</v>
      </c>
      <c r="J85" s="47">
        <f>IFERROR(CHIPOLA!$J11/CHIPOLA!$G11," ")</f>
        <v>2.7488197890753574E-2</v>
      </c>
      <c r="K85" s="47">
        <f>IFERROR(DAYTONA!$J11/DAYTONA!$G11," ")</f>
        <v>0</v>
      </c>
      <c r="L85" s="47">
        <f>IFERROR(SOUTHWESTERN!$J11/SOUTHWESTERN!$G11," ")</f>
        <v>0</v>
      </c>
      <c r="M85" s="47">
        <f>IFERROR('FSC JAX'!$J11/'FSC JAX'!$G11," ")</f>
        <v>0</v>
      </c>
      <c r="N85" s="47">
        <f>IFERROR('FL KEYS'!$J11/'FL KEYS'!$G11," ")</f>
        <v>8.7727741188372857E-2</v>
      </c>
      <c r="O85" s="47">
        <f>IFERROR('GULF COAST'!$J11/'GULF COAST'!$G11," ")</f>
        <v>0</v>
      </c>
      <c r="P85" s="47">
        <f>IFERROR(HILLSBOROUGH!$J11/HILLSBOROUGH!$G11," ")</f>
        <v>1</v>
      </c>
      <c r="Q85" s="47">
        <f>IFERROR('INDIAN RIVER'!$J11/'INDIAN RIVER'!$G11," ")</f>
        <v>0</v>
      </c>
      <c r="R85" s="47">
        <f>IFERROR(GATEWAY!$J11/GATEWAY!$G11," ")</f>
        <v>0</v>
      </c>
      <c r="S85" s="47">
        <f>IFERROR('LAKE SUMTER'!$J11/'LAKE SUMTER'!$G11," ")</f>
        <v>0</v>
      </c>
      <c r="T85" s="47">
        <f>IFERROR('SCF MANATEE'!$J11/'SCF MANATEE'!$G11," ")</f>
        <v>0.49999999058311018</v>
      </c>
      <c r="U85" s="47">
        <f>IFERROR(MIAMI!$J11/MIAMI!$G11," ")</f>
        <v>0</v>
      </c>
      <c r="V85" s="47">
        <f>IFERROR('NORTH FLORIDA'!$J11/'NORTH FLORIDA'!$G11," ")</f>
        <v>0</v>
      </c>
      <c r="W85" s="47">
        <f>IFERROR('NORTHWEST FLORIDA'!$J11/'NORTHWEST FLORIDA'!$G11," ")</f>
        <v>0</v>
      </c>
      <c r="X85" s="47">
        <f>IFERROR('PALM BEACH'!$J11/'PALM BEACH'!$G11," ")</f>
        <v>0</v>
      </c>
      <c r="Y85" s="47">
        <f>IFERROR(PASCO!$J11/PASCO!$G11," ")</f>
        <v>0</v>
      </c>
      <c r="Z85" s="47">
        <f>IFERROR(PENSACOLA!$J11/PENSACOLA!$G11," ")</f>
        <v>0</v>
      </c>
      <c r="AA85" s="47">
        <f>IFERROR(POLK!$J11/POLK!$G11," ")</f>
        <v>0</v>
      </c>
      <c r="AB85" s="47">
        <f>IFERROR('ST JOHNS'!$J11/'ST JOHNS'!$G11," ")</f>
        <v>0</v>
      </c>
      <c r="AC85" s="47">
        <f>IFERROR('ST PETE'!$J11/'ST PETE'!$G11," ")</f>
        <v>0.27122734064324405</v>
      </c>
      <c r="AD85" s="47">
        <f>IFERROR('SANTA FE'!$J11/'SANTA FE'!$G11," ")</f>
        <v>0</v>
      </c>
      <c r="AE85" s="47">
        <f>IFERROR(SEMINOLE!$J11/SEMINOLE!$G11," ")</f>
        <v>0</v>
      </c>
      <c r="AF85" s="47">
        <f>IFERROR('SOUTH FLORIDA'!$J11/'SOUTH FLORIDA'!$G11," ")</f>
        <v>0</v>
      </c>
      <c r="AG85" s="47">
        <f>IFERROR(TALLAHASSEE!$J11/TALLAHASSEE!$G11," ")</f>
        <v>0</v>
      </c>
      <c r="AH85" s="47">
        <f>IFERROR(VALENCIA!$J11/VALENCIA!$G11," ")</f>
        <v>0</v>
      </c>
      <c r="AI85" s="47">
        <f>IFERROR('System Summary'!$J11/'System Summary'!$G11," ")</f>
        <v>9.1171928356020157E-2</v>
      </c>
    </row>
    <row r="86" spans="1:35" x14ac:dyDescent="0.35">
      <c r="A86" s="8"/>
      <c r="B86" s="9"/>
      <c r="C86" s="10" t="s">
        <v>20</v>
      </c>
      <c r="D86" s="13"/>
      <c r="E86" s="10"/>
      <c r="F86" s="9" t="s">
        <v>21</v>
      </c>
      <c r="G86" s="47" t="str">
        <f>IFERROR(EASTERN!J12/EASTERN!G12," ")</f>
        <v xml:space="preserve"> </v>
      </c>
      <c r="H86" s="47">
        <f>IFERROR(BROWARD!$J12/BROWARD!$G12," ")</f>
        <v>0.26861457008211909</v>
      </c>
      <c r="I86" s="47" t="str">
        <f>IFERROR(CENTRAL!$J12/CENTRAL!$G12," ")</f>
        <v xml:space="preserve"> </v>
      </c>
      <c r="J86" s="47" t="str">
        <f>IFERROR(CHIPOLA!$J12/CHIPOLA!$G12," ")</f>
        <v xml:space="preserve"> </v>
      </c>
      <c r="K86" s="47">
        <f>IFERROR(DAYTONA!$J12/DAYTONA!$G12," ")</f>
        <v>0</v>
      </c>
      <c r="L86" s="47" t="str">
        <f>IFERROR(SOUTHWESTERN!$J12/SOUTHWESTERN!$G12," ")</f>
        <v xml:space="preserve"> </v>
      </c>
      <c r="M86" s="47" t="str">
        <f>IFERROR('FSC JAX'!$J12/'FSC JAX'!$G12," ")</f>
        <v xml:space="preserve"> </v>
      </c>
      <c r="N86" s="47">
        <f>IFERROR('FL KEYS'!$J12/'FL KEYS'!$G12," ")</f>
        <v>0</v>
      </c>
      <c r="O86" s="47" t="str">
        <f>IFERROR('GULF COAST'!$J12/'GULF COAST'!$G12," ")</f>
        <v xml:space="preserve"> </v>
      </c>
      <c r="P86" s="47" t="str">
        <f>IFERROR(HILLSBOROUGH!$J12/HILLSBOROUGH!$G12," ")</f>
        <v xml:space="preserve"> </v>
      </c>
      <c r="Q86" s="47" t="str">
        <f>IFERROR('INDIAN RIVER'!$J12/'INDIAN RIVER'!$G12," ")</f>
        <v xml:space="preserve"> </v>
      </c>
      <c r="R86" s="47" t="str">
        <f>IFERROR(GATEWAY!$J12/GATEWAY!$G12," ")</f>
        <v xml:space="preserve"> </v>
      </c>
      <c r="S86" s="47" t="str">
        <f>IFERROR('LAKE SUMTER'!$J12/'LAKE SUMTER'!$G12," ")</f>
        <v xml:space="preserve"> </v>
      </c>
      <c r="T86" s="47" t="str">
        <f>IFERROR('SCF MANATEE'!$J12/'SCF MANATEE'!$G12," ")</f>
        <v xml:space="preserve"> </v>
      </c>
      <c r="U86" s="47" t="str">
        <f>IFERROR(MIAMI!$J12/MIAMI!$G12," ")</f>
        <v xml:space="preserve"> </v>
      </c>
      <c r="V86" s="47">
        <f>IFERROR('NORTH FLORIDA'!$J12/'NORTH FLORIDA'!$G12," ")</f>
        <v>0</v>
      </c>
      <c r="W86" s="47" t="str">
        <f>IFERROR('NORTHWEST FLORIDA'!$J12/'NORTHWEST FLORIDA'!$G12," ")</f>
        <v xml:space="preserve"> </v>
      </c>
      <c r="X86" s="47" t="str">
        <f>IFERROR('PALM BEACH'!$J12/'PALM BEACH'!$G12," ")</f>
        <v xml:space="preserve"> </v>
      </c>
      <c r="Y86" s="47">
        <f>IFERROR(PASCO!$J12/PASCO!$G12," ")</f>
        <v>1</v>
      </c>
      <c r="Z86" s="47">
        <f>IFERROR(PENSACOLA!$J12/PENSACOLA!$G12," ")</f>
        <v>0</v>
      </c>
      <c r="AA86" s="47" t="str">
        <f>IFERROR(POLK!$J12/POLK!$G12," ")</f>
        <v xml:space="preserve"> </v>
      </c>
      <c r="AB86" s="47" t="str">
        <f>IFERROR('ST JOHNS'!$J12/'ST JOHNS'!$G12," ")</f>
        <v xml:space="preserve"> </v>
      </c>
      <c r="AC86" s="47" t="str">
        <f>IFERROR('ST PETE'!$J12/'ST PETE'!$G12," ")</f>
        <v xml:space="preserve"> </v>
      </c>
      <c r="AD86" s="47" t="str">
        <f>IFERROR('SANTA FE'!$J12/'SANTA FE'!$G12," ")</f>
        <v xml:space="preserve"> </v>
      </c>
      <c r="AE86" s="47">
        <f>IFERROR(SEMINOLE!$J12/SEMINOLE!$G12," ")</f>
        <v>0</v>
      </c>
      <c r="AF86" s="47" t="str">
        <f>IFERROR('SOUTH FLORIDA'!$J12/'SOUTH FLORIDA'!$G12," ")</f>
        <v xml:space="preserve"> </v>
      </c>
      <c r="AG86" s="47" t="str">
        <f>IFERROR(TALLAHASSEE!$J12/TALLAHASSEE!$G12," ")</f>
        <v xml:space="preserve"> </v>
      </c>
      <c r="AH86" s="47" t="str">
        <f>IFERROR(VALENCIA!$J12/VALENCIA!$G12," ")</f>
        <v xml:space="preserve"> </v>
      </c>
      <c r="AI86" s="47">
        <f>IFERROR('System Summary'!$J12/'System Summary'!$G12," ")</f>
        <v>0.26808795786720202</v>
      </c>
    </row>
    <row r="87" spans="1:35" x14ac:dyDescent="0.35">
      <c r="A87" s="8"/>
      <c r="B87" s="9"/>
      <c r="C87" s="10" t="s">
        <v>22</v>
      </c>
      <c r="D87" s="13"/>
      <c r="E87" s="10"/>
      <c r="F87" s="9" t="s">
        <v>23</v>
      </c>
      <c r="G87" s="47" t="str">
        <f>IFERROR(EASTERN!J13/EASTERN!G13," ")</f>
        <v xml:space="preserve"> </v>
      </c>
      <c r="H87" s="47">
        <f>IFERROR(BROWARD!$J13/BROWARD!$G13," ")</f>
        <v>0.16867628086068406</v>
      </c>
      <c r="I87" s="47">
        <f>IFERROR(CENTRAL!$J13/CENTRAL!$G13," ")</f>
        <v>0.98933004609754382</v>
      </c>
      <c r="J87" s="47" t="str">
        <f>IFERROR(CHIPOLA!$J13/CHIPOLA!$G13," ")</f>
        <v xml:space="preserve"> </v>
      </c>
      <c r="K87" s="47">
        <f>IFERROR(DAYTONA!$J13/DAYTONA!$G13," ")</f>
        <v>0</v>
      </c>
      <c r="L87" s="47">
        <f>IFERROR(SOUTHWESTERN!$J13/SOUTHWESTERN!$G13," ")</f>
        <v>0</v>
      </c>
      <c r="M87" s="47">
        <f>IFERROR('FSC JAX'!$J13/'FSC JAX'!$G13," ")</f>
        <v>0</v>
      </c>
      <c r="N87" s="47" t="str">
        <f>IFERROR('FL KEYS'!$J13/'FL KEYS'!$G13," ")</f>
        <v xml:space="preserve"> </v>
      </c>
      <c r="O87" s="47">
        <f>IFERROR('GULF COAST'!$J13/'GULF COAST'!$G13," ")</f>
        <v>0</v>
      </c>
      <c r="P87" s="47">
        <f>IFERROR(HILLSBOROUGH!$J13/HILLSBOROUGH!$G13," ")</f>
        <v>0</v>
      </c>
      <c r="Q87" s="47">
        <f>IFERROR('INDIAN RIVER'!$J13/'INDIAN RIVER'!$G13," ")</f>
        <v>0</v>
      </c>
      <c r="R87" s="47">
        <f>IFERROR(GATEWAY!$J13/GATEWAY!$G13," ")</f>
        <v>0.39999999489978655</v>
      </c>
      <c r="S87" s="47">
        <f>IFERROR('LAKE SUMTER'!$J13/'LAKE SUMTER'!$G13," ")</f>
        <v>0.6598727608503745</v>
      </c>
      <c r="T87" s="47">
        <f>IFERROR('SCF MANATEE'!$J13/'SCF MANATEE'!$G13," ")</f>
        <v>0.59268455619324045</v>
      </c>
      <c r="U87" s="47">
        <f>IFERROR(MIAMI!$J13/MIAMI!$G13," ")</f>
        <v>0.10001696833177112</v>
      </c>
      <c r="V87" s="47" t="str">
        <f>IFERROR('NORTH FLORIDA'!$J13/'NORTH FLORIDA'!$G13," ")</f>
        <v xml:space="preserve"> </v>
      </c>
      <c r="W87" s="47">
        <f>IFERROR('NORTHWEST FLORIDA'!$J13/'NORTHWEST FLORIDA'!$G13," ")</f>
        <v>0</v>
      </c>
      <c r="X87" s="47">
        <f>IFERROR('PALM BEACH'!$J13/'PALM BEACH'!$G13," ")</f>
        <v>0</v>
      </c>
      <c r="Y87" s="47" t="str">
        <f>IFERROR(PASCO!$J13/PASCO!$G13," ")</f>
        <v xml:space="preserve"> </v>
      </c>
      <c r="Z87" s="47">
        <f>IFERROR(PENSACOLA!$J13/PENSACOLA!$G13," ")</f>
        <v>0</v>
      </c>
      <c r="AA87" s="47" t="str">
        <f>IFERROR(POLK!$J13/POLK!$G13," ")</f>
        <v xml:space="preserve"> </v>
      </c>
      <c r="AB87" s="47">
        <f>IFERROR('ST JOHNS'!$J13/'ST JOHNS'!$G13," ")</f>
        <v>0</v>
      </c>
      <c r="AC87" s="47">
        <f>IFERROR('ST PETE'!$J13/'ST PETE'!$G13," ")</f>
        <v>0.11011703901837284</v>
      </c>
      <c r="AD87" s="47">
        <f>IFERROR('SANTA FE'!$J13/'SANTA FE'!$G13," ")</f>
        <v>0.69481068681473546</v>
      </c>
      <c r="AE87" s="47">
        <f>IFERROR(SEMINOLE!$J13/SEMINOLE!$G13," ")</f>
        <v>0</v>
      </c>
      <c r="AF87" s="47">
        <f>IFERROR('SOUTH FLORIDA'!$J13/'SOUTH FLORIDA'!$G13," ")</f>
        <v>0</v>
      </c>
      <c r="AG87" s="47" t="str">
        <f>IFERROR(TALLAHASSEE!$J13/TALLAHASSEE!$G13," ")</f>
        <v xml:space="preserve"> </v>
      </c>
      <c r="AH87" s="47">
        <f>IFERROR(VALENCIA!$J13/VALENCIA!$G13," ")</f>
        <v>0</v>
      </c>
      <c r="AI87" s="47">
        <f>IFERROR('System Summary'!$J13/'System Summary'!$G13," ")</f>
        <v>0.22366312622752926</v>
      </c>
    </row>
    <row r="88" spans="1:35" x14ac:dyDescent="0.35">
      <c r="A88" s="8"/>
      <c r="B88" s="9"/>
      <c r="C88" s="10" t="s">
        <v>25</v>
      </c>
      <c r="D88" s="13"/>
      <c r="E88" s="10"/>
      <c r="F88" s="9" t="s">
        <v>26</v>
      </c>
      <c r="G88" s="47">
        <f>IFERROR(EASTERN!J14/EASTERN!G14," ")</f>
        <v>1</v>
      </c>
      <c r="H88" s="47">
        <f>IFERROR(BROWARD!$J14/BROWARD!$G14," ")</f>
        <v>0.29080429070431951</v>
      </c>
      <c r="I88" s="47" t="str">
        <f>IFERROR(CENTRAL!$J14/CENTRAL!$G14," ")</f>
        <v xml:space="preserve"> </v>
      </c>
      <c r="J88" s="47" t="str">
        <f>IFERROR(CHIPOLA!$J14/CHIPOLA!$G14," ")</f>
        <v xml:space="preserve"> </v>
      </c>
      <c r="K88" s="47" t="str">
        <f>IFERROR(DAYTONA!$J14/DAYTONA!$G14," ")</f>
        <v xml:space="preserve"> </v>
      </c>
      <c r="L88" s="47" t="str">
        <f>IFERROR(SOUTHWESTERN!$J14/SOUTHWESTERN!$G14," ")</f>
        <v xml:space="preserve"> </v>
      </c>
      <c r="M88" s="47">
        <f>IFERROR('FSC JAX'!$J14/'FSC JAX'!$G14," ")</f>
        <v>1</v>
      </c>
      <c r="N88" s="47" t="str">
        <f>IFERROR('FL KEYS'!$J14/'FL KEYS'!$G14," ")</f>
        <v xml:space="preserve"> </v>
      </c>
      <c r="O88" s="47" t="str">
        <f>IFERROR('GULF COAST'!$J14/'GULF COAST'!$G14," ")</f>
        <v xml:space="preserve"> </v>
      </c>
      <c r="P88" s="47">
        <f>IFERROR(HILLSBOROUGH!$J14/HILLSBOROUGH!$G14," ")</f>
        <v>1</v>
      </c>
      <c r="Q88" s="47" t="str">
        <f>IFERROR('INDIAN RIVER'!$J14/'INDIAN RIVER'!$G14," ")</f>
        <v xml:space="preserve"> </v>
      </c>
      <c r="R88" s="47" t="str">
        <f>IFERROR(GATEWAY!$J14/GATEWAY!$G14," ")</f>
        <v xml:space="preserve"> </v>
      </c>
      <c r="S88" s="47">
        <f>IFERROR('LAKE SUMTER'!$J14/'LAKE SUMTER'!$G14," ")</f>
        <v>1</v>
      </c>
      <c r="T88" s="47">
        <f>IFERROR('SCF MANATEE'!$J14/'SCF MANATEE'!$G14," ")</f>
        <v>0.89999999999999991</v>
      </c>
      <c r="U88" s="47">
        <f>IFERROR(MIAMI!$J14/MIAMI!$G14," ")</f>
        <v>1</v>
      </c>
      <c r="V88" s="47" t="str">
        <f>IFERROR('NORTH FLORIDA'!$J14/'NORTH FLORIDA'!$G14," ")</f>
        <v xml:space="preserve"> </v>
      </c>
      <c r="W88" s="47" t="str">
        <f>IFERROR('NORTHWEST FLORIDA'!$J14/'NORTHWEST FLORIDA'!$G14," ")</f>
        <v xml:space="preserve"> </v>
      </c>
      <c r="X88" s="47" t="str">
        <f>IFERROR('PALM BEACH'!$J14/'PALM BEACH'!$G14," ")</f>
        <v xml:space="preserve"> </v>
      </c>
      <c r="Y88" s="47">
        <f>IFERROR(PASCO!$J14/PASCO!$G14," ")</f>
        <v>1</v>
      </c>
      <c r="Z88" s="47" t="str">
        <f>IFERROR(PENSACOLA!$J14/PENSACOLA!$G14," ")</f>
        <v xml:space="preserve"> </v>
      </c>
      <c r="AA88" s="47" t="str">
        <f>IFERROR(POLK!$J14/POLK!$G14," ")</f>
        <v xml:space="preserve"> </v>
      </c>
      <c r="AB88" s="47">
        <f>IFERROR('ST JOHNS'!$J14/'ST JOHNS'!$G14," ")</f>
        <v>1</v>
      </c>
      <c r="AC88" s="47">
        <f>IFERROR('ST PETE'!$J14/'ST PETE'!$G14," ")</f>
        <v>0</v>
      </c>
      <c r="AD88" s="47">
        <f>IFERROR('SANTA FE'!$J14/'SANTA FE'!$G14," ")</f>
        <v>1</v>
      </c>
      <c r="AE88" s="47" t="str">
        <f>IFERROR(SEMINOLE!$J14/SEMINOLE!$G14," ")</f>
        <v xml:space="preserve"> </v>
      </c>
      <c r="AF88" s="47" t="str">
        <f>IFERROR('SOUTH FLORIDA'!$J14/'SOUTH FLORIDA'!$G14," ")</f>
        <v xml:space="preserve"> </v>
      </c>
      <c r="AG88" s="47" t="str">
        <f>IFERROR(TALLAHASSEE!$J14/TALLAHASSEE!$G14," ")</f>
        <v xml:space="preserve"> </v>
      </c>
      <c r="AH88" s="47">
        <f>IFERROR(VALENCIA!$J14/VALENCIA!$G14," ")</f>
        <v>0.99999999999999989</v>
      </c>
      <c r="AI88" s="47">
        <f>IFERROR('System Summary'!$J14/'System Summary'!$G14," ")</f>
        <v>0.95455651632187488</v>
      </c>
    </row>
    <row r="89" spans="1:35" x14ac:dyDescent="0.35">
      <c r="A89" s="8"/>
      <c r="B89" s="9"/>
      <c r="C89" s="10" t="s">
        <v>27</v>
      </c>
      <c r="D89" s="13"/>
      <c r="E89" s="10"/>
      <c r="F89" s="9" t="s">
        <v>28</v>
      </c>
      <c r="G89" s="47" t="str">
        <f>IFERROR(EASTERN!J15/EASTERN!G15," ")</f>
        <v xml:space="preserve"> </v>
      </c>
      <c r="H89" s="47" t="str">
        <f>IFERROR(BROWARD!$J15/BROWARD!$G15," ")</f>
        <v xml:space="preserve"> </v>
      </c>
      <c r="I89" s="47" t="str">
        <f>IFERROR(CENTRAL!$J15/CENTRAL!$G15," ")</f>
        <v xml:space="preserve"> </v>
      </c>
      <c r="J89" s="47" t="str">
        <f>IFERROR(CHIPOLA!$J15/CHIPOLA!$G15," ")</f>
        <v xml:space="preserve"> </v>
      </c>
      <c r="K89" s="47">
        <f>IFERROR(DAYTONA!$J15/DAYTONA!$G15," ")</f>
        <v>0</v>
      </c>
      <c r="L89" s="47" t="str">
        <f>IFERROR(SOUTHWESTERN!$J15/SOUTHWESTERN!$G15," ")</f>
        <v xml:space="preserve"> </v>
      </c>
      <c r="M89" s="47">
        <f>IFERROR('FSC JAX'!$J15/'FSC JAX'!$G15," ")</f>
        <v>0</v>
      </c>
      <c r="N89" s="47" t="str">
        <f>IFERROR('FL KEYS'!$J15/'FL KEYS'!$G15," ")</f>
        <v xml:space="preserve"> </v>
      </c>
      <c r="O89" s="47" t="str">
        <f>IFERROR('GULF COAST'!$J15/'GULF COAST'!$G15," ")</f>
        <v xml:space="preserve"> </v>
      </c>
      <c r="P89" s="47">
        <f>IFERROR(HILLSBOROUGH!$J15/HILLSBOROUGH!$G15," ")</f>
        <v>0</v>
      </c>
      <c r="Q89" s="47" t="str">
        <f>IFERROR('INDIAN RIVER'!$J15/'INDIAN RIVER'!$G15," ")</f>
        <v xml:space="preserve"> </v>
      </c>
      <c r="R89" s="47" t="str">
        <f>IFERROR(GATEWAY!$J15/GATEWAY!$G15," ")</f>
        <v xml:space="preserve"> </v>
      </c>
      <c r="S89" s="47" t="str">
        <f>IFERROR('LAKE SUMTER'!$J15/'LAKE SUMTER'!$G15," ")</f>
        <v xml:space="preserve"> </v>
      </c>
      <c r="T89" s="47">
        <f>IFERROR('SCF MANATEE'!$J15/'SCF MANATEE'!$G15," ")</f>
        <v>0.5</v>
      </c>
      <c r="U89" s="47">
        <f>IFERROR(MIAMI!$J15/MIAMI!$G15," ")</f>
        <v>0</v>
      </c>
      <c r="V89" s="47" t="str">
        <f>IFERROR('NORTH FLORIDA'!$J15/'NORTH FLORIDA'!$G15," ")</f>
        <v xml:space="preserve"> </v>
      </c>
      <c r="W89" s="47">
        <f>IFERROR('NORTHWEST FLORIDA'!$J15/'NORTHWEST FLORIDA'!$G15," ")</f>
        <v>1</v>
      </c>
      <c r="X89" s="47" t="str">
        <f>IFERROR('PALM BEACH'!$J15/'PALM BEACH'!$G15," ")</f>
        <v xml:space="preserve"> </v>
      </c>
      <c r="Y89" s="47" t="str">
        <f>IFERROR(PASCO!$J15/PASCO!$G15," ")</f>
        <v xml:space="preserve"> </v>
      </c>
      <c r="Z89" s="47" t="str">
        <f>IFERROR(PENSACOLA!$J15/PENSACOLA!$G15," ")</f>
        <v xml:space="preserve"> </v>
      </c>
      <c r="AA89" s="47">
        <f>IFERROR(POLK!$J15/POLK!$G15," ")</f>
        <v>0</v>
      </c>
      <c r="AB89" s="47" t="str">
        <f>IFERROR('ST JOHNS'!$J15/'ST JOHNS'!$G15," ")</f>
        <v xml:space="preserve"> </v>
      </c>
      <c r="AC89" s="47" t="str">
        <f>IFERROR('ST PETE'!$J15/'ST PETE'!$G15," ")</f>
        <v xml:space="preserve"> </v>
      </c>
      <c r="AD89" s="47">
        <f>IFERROR('SANTA FE'!$J15/'SANTA FE'!$G15," ")</f>
        <v>1</v>
      </c>
      <c r="AE89" s="47">
        <f>IFERROR(SEMINOLE!$J15/SEMINOLE!$G15," ")</f>
        <v>0</v>
      </c>
      <c r="AF89" s="47" t="str">
        <f>IFERROR('SOUTH FLORIDA'!$J15/'SOUTH FLORIDA'!$G15," ")</f>
        <v xml:space="preserve"> </v>
      </c>
      <c r="AG89" s="47">
        <f>IFERROR(TALLAHASSEE!$J15/TALLAHASSEE!$G15," ")</f>
        <v>0</v>
      </c>
      <c r="AH89" s="47" t="str">
        <f>IFERROR(VALENCIA!$J15/VALENCIA!$G15," ")</f>
        <v xml:space="preserve"> </v>
      </c>
      <c r="AI89" s="47">
        <f>IFERROR('System Summary'!$J15/'System Summary'!$G15," ")</f>
        <v>6.8062739908058223E-2</v>
      </c>
    </row>
    <row r="90" spans="1:35" x14ac:dyDescent="0.35">
      <c r="A90" s="8"/>
      <c r="B90" s="9"/>
      <c r="C90" s="10" t="s">
        <v>29</v>
      </c>
      <c r="D90" s="13"/>
      <c r="E90" s="10"/>
      <c r="F90" s="9" t="s">
        <v>30</v>
      </c>
      <c r="G90" s="47" t="str">
        <f>IFERROR(EASTERN!J16/EASTERN!G16," ")</f>
        <v xml:space="preserve"> </v>
      </c>
      <c r="H90" s="47" t="str">
        <f>IFERROR(BROWARD!$J16/BROWARD!$G16," ")</f>
        <v xml:space="preserve"> </v>
      </c>
      <c r="I90" s="47" t="str">
        <f>IFERROR(CENTRAL!$J16/CENTRAL!$G16," ")</f>
        <v xml:space="preserve"> </v>
      </c>
      <c r="J90" s="47" t="str">
        <f>IFERROR(CHIPOLA!$J16/CHIPOLA!$G16," ")</f>
        <v xml:space="preserve"> </v>
      </c>
      <c r="K90" s="47" t="str">
        <f>IFERROR(DAYTONA!$J16/DAYTONA!$G16," ")</f>
        <v xml:space="preserve"> </v>
      </c>
      <c r="L90" s="47">
        <f>IFERROR(SOUTHWESTERN!$J16/SOUTHWESTERN!$G16," ")</f>
        <v>1</v>
      </c>
      <c r="M90" s="47" t="str">
        <f>IFERROR('FSC JAX'!$J16/'FSC JAX'!$G16," ")</f>
        <v xml:space="preserve"> </v>
      </c>
      <c r="N90" s="47" t="str">
        <f>IFERROR('FL KEYS'!$J16/'FL KEYS'!$G16," ")</f>
        <v xml:space="preserve"> </v>
      </c>
      <c r="O90" s="47" t="str">
        <f>IFERROR('GULF COAST'!$J16/'GULF COAST'!$G16," ")</f>
        <v xml:space="preserve"> </v>
      </c>
      <c r="P90" s="47" t="str">
        <f>IFERROR(HILLSBOROUGH!$J16/HILLSBOROUGH!$G16," ")</f>
        <v xml:space="preserve"> </v>
      </c>
      <c r="Q90" s="47" t="str">
        <f>IFERROR('INDIAN RIVER'!$J16/'INDIAN RIVER'!$G16," ")</f>
        <v xml:space="preserve"> </v>
      </c>
      <c r="R90" s="47" t="str">
        <f>IFERROR(GATEWAY!$J16/GATEWAY!$G16," ")</f>
        <v xml:space="preserve"> </v>
      </c>
      <c r="S90" s="47" t="str">
        <f>IFERROR('LAKE SUMTER'!$J16/'LAKE SUMTER'!$G16," ")</f>
        <v xml:space="preserve"> </v>
      </c>
      <c r="T90" s="47" t="str">
        <f>IFERROR('SCF MANATEE'!$J16/'SCF MANATEE'!$G16," ")</f>
        <v xml:space="preserve"> </v>
      </c>
      <c r="U90" s="47" t="str">
        <f>IFERROR(MIAMI!$J16/MIAMI!$G16," ")</f>
        <v xml:space="preserve"> </v>
      </c>
      <c r="V90" s="47" t="str">
        <f>IFERROR('NORTH FLORIDA'!$J16/'NORTH FLORIDA'!$G16," ")</f>
        <v xml:space="preserve"> </v>
      </c>
      <c r="W90" s="47" t="str">
        <f>IFERROR('NORTHWEST FLORIDA'!$J16/'NORTHWEST FLORIDA'!$G16," ")</f>
        <v xml:space="preserve"> </v>
      </c>
      <c r="X90" s="47" t="str">
        <f>IFERROR('PALM BEACH'!$J16/'PALM BEACH'!$G16," ")</f>
        <v xml:space="preserve"> </v>
      </c>
      <c r="Y90" s="47" t="str">
        <f>IFERROR(PASCO!$J16/PASCO!$G16," ")</f>
        <v xml:space="preserve"> </v>
      </c>
      <c r="Z90" s="47" t="str">
        <f>IFERROR(PENSACOLA!$J16/PENSACOLA!$G16," ")</f>
        <v xml:space="preserve"> </v>
      </c>
      <c r="AA90" s="47" t="str">
        <f>IFERROR(POLK!$J16/POLK!$G16," ")</f>
        <v xml:space="preserve"> </v>
      </c>
      <c r="AB90" s="47" t="str">
        <f>IFERROR('ST JOHNS'!$J16/'ST JOHNS'!$G16," ")</f>
        <v xml:space="preserve"> </v>
      </c>
      <c r="AC90" s="47" t="str">
        <f>IFERROR('ST PETE'!$J16/'ST PETE'!$G16," ")</f>
        <v xml:space="preserve"> </v>
      </c>
      <c r="AD90" s="47" t="str">
        <f>IFERROR('SANTA FE'!$J16/'SANTA FE'!$G16," ")</f>
        <v xml:space="preserve"> </v>
      </c>
      <c r="AE90" s="47" t="str">
        <f>IFERROR(SEMINOLE!$J16/SEMINOLE!$G16," ")</f>
        <v xml:space="preserve"> </v>
      </c>
      <c r="AF90" s="47" t="str">
        <f>IFERROR('SOUTH FLORIDA'!$J16/'SOUTH FLORIDA'!$G16," ")</f>
        <v xml:space="preserve"> </v>
      </c>
      <c r="AG90" s="47" t="str">
        <f>IFERROR(TALLAHASSEE!$J16/TALLAHASSEE!$G16," ")</f>
        <v xml:space="preserve"> </v>
      </c>
      <c r="AH90" s="47">
        <f>IFERROR(VALENCIA!$J16/VALENCIA!$G16," ")</f>
        <v>0</v>
      </c>
      <c r="AI90" s="47">
        <f>IFERROR('System Summary'!$J16/'System Summary'!$G16," ")</f>
        <v>6.1824449266968578E-3</v>
      </c>
    </row>
    <row r="91" spans="1:35" x14ac:dyDescent="0.35">
      <c r="A91" s="8"/>
      <c r="B91" s="9"/>
      <c r="C91" s="10" t="s">
        <v>31</v>
      </c>
      <c r="D91" s="13"/>
      <c r="E91" s="10"/>
      <c r="F91" s="9" t="s">
        <v>32</v>
      </c>
      <c r="G91" s="47" t="str">
        <f>IFERROR(EASTERN!J17/EASTERN!G17," ")</f>
        <v xml:space="preserve"> </v>
      </c>
      <c r="H91" s="47" t="str">
        <f>IFERROR(BROWARD!$J17/BROWARD!$G17," ")</f>
        <v xml:space="preserve"> </v>
      </c>
      <c r="I91" s="47" t="str">
        <f>IFERROR(CENTRAL!$J17/CENTRAL!$G17," ")</f>
        <v xml:space="preserve"> </v>
      </c>
      <c r="J91" s="47">
        <f>IFERROR(CHIPOLA!$J17/CHIPOLA!$G17," ")</f>
        <v>0</v>
      </c>
      <c r="K91" s="47">
        <f>IFERROR(DAYTONA!$J17/DAYTONA!$G17," ")</f>
        <v>1</v>
      </c>
      <c r="L91" s="47" t="str">
        <f>IFERROR(SOUTHWESTERN!$J17/SOUTHWESTERN!$G17," ")</f>
        <v xml:space="preserve"> </v>
      </c>
      <c r="M91" s="47">
        <f>IFERROR('FSC JAX'!$J17/'FSC JAX'!$G17," ")</f>
        <v>1</v>
      </c>
      <c r="N91" s="47" t="str">
        <f>IFERROR('FL KEYS'!$J17/'FL KEYS'!$G17," ")</f>
        <v xml:space="preserve"> </v>
      </c>
      <c r="O91" s="47" t="str">
        <f>IFERROR('GULF COAST'!$J17/'GULF COAST'!$G17," ")</f>
        <v xml:space="preserve"> </v>
      </c>
      <c r="P91" s="47" t="str">
        <f>IFERROR(HILLSBOROUGH!$J17/HILLSBOROUGH!$G17," ")</f>
        <v xml:space="preserve"> </v>
      </c>
      <c r="Q91" s="47" t="str">
        <f>IFERROR('INDIAN RIVER'!$J17/'INDIAN RIVER'!$G17," ")</f>
        <v xml:space="preserve"> </v>
      </c>
      <c r="R91" s="47" t="str">
        <f>IFERROR(GATEWAY!$J17/GATEWAY!$G17," ")</f>
        <v xml:space="preserve"> </v>
      </c>
      <c r="S91" s="47" t="str">
        <f>IFERROR('LAKE SUMTER'!$J17/'LAKE SUMTER'!$G17," ")</f>
        <v xml:space="preserve"> </v>
      </c>
      <c r="T91" s="47">
        <f>IFERROR('SCF MANATEE'!$J17/'SCF MANATEE'!$G17," ")</f>
        <v>0.29335071744423363</v>
      </c>
      <c r="U91" s="47">
        <f>IFERROR(MIAMI!$J17/MIAMI!$G17," ")</f>
        <v>0</v>
      </c>
      <c r="V91" s="47" t="str">
        <f>IFERROR('NORTH FLORIDA'!$J17/'NORTH FLORIDA'!$G17," ")</f>
        <v xml:space="preserve"> </v>
      </c>
      <c r="W91" s="47" t="str">
        <f>IFERROR('NORTHWEST FLORIDA'!$J17/'NORTHWEST FLORIDA'!$G17," ")</f>
        <v xml:space="preserve"> </v>
      </c>
      <c r="X91" s="47" t="str">
        <f>IFERROR('PALM BEACH'!$J17/'PALM BEACH'!$G17," ")</f>
        <v xml:space="preserve"> </v>
      </c>
      <c r="Y91" s="47" t="str">
        <f>IFERROR(PASCO!$J17/PASCO!$G17," ")</f>
        <v xml:space="preserve"> </v>
      </c>
      <c r="Z91" s="47">
        <f>IFERROR(PENSACOLA!$J17/PENSACOLA!$G17," ")</f>
        <v>0</v>
      </c>
      <c r="AA91" s="47">
        <f>IFERROR(POLK!$J17/POLK!$G17," ")</f>
        <v>1</v>
      </c>
      <c r="AB91" s="47" t="str">
        <f>IFERROR('ST JOHNS'!$J17/'ST JOHNS'!$G17," ")</f>
        <v xml:space="preserve"> </v>
      </c>
      <c r="AC91" s="47" t="str">
        <f>IFERROR('ST PETE'!$J17/'ST PETE'!$G17," ")</f>
        <v xml:space="preserve"> </v>
      </c>
      <c r="AD91" s="47" t="str">
        <f>IFERROR('SANTA FE'!$J17/'SANTA FE'!$G17," ")</f>
        <v xml:space="preserve"> </v>
      </c>
      <c r="AE91" s="47">
        <f>IFERROR(SEMINOLE!$J17/SEMINOLE!$G17," ")</f>
        <v>1</v>
      </c>
      <c r="AF91" s="47" t="str">
        <f>IFERROR('SOUTH FLORIDA'!$J17/'SOUTH FLORIDA'!$G17," ")</f>
        <v xml:space="preserve"> </v>
      </c>
      <c r="AG91" s="47" t="str">
        <f>IFERROR(TALLAHASSEE!$J17/TALLAHASSEE!$G17," ")</f>
        <v xml:space="preserve"> </v>
      </c>
      <c r="AH91" s="47" t="str">
        <f>IFERROR(VALENCIA!$J17/VALENCIA!$G17," ")</f>
        <v xml:space="preserve"> </v>
      </c>
      <c r="AI91" s="47">
        <f>IFERROR('System Summary'!$J17/'System Summary'!$G17," ")</f>
        <v>0.26212737253571561</v>
      </c>
    </row>
    <row r="92" spans="1:35" x14ac:dyDescent="0.35">
      <c r="A92" s="8"/>
      <c r="B92" s="9"/>
      <c r="C92" s="10" t="s">
        <v>33</v>
      </c>
      <c r="D92" s="13"/>
      <c r="E92" s="10"/>
      <c r="F92" s="9" t="s">
        <v>34</v>
      </c>
      <c r="G92" s="47">
        <f>IFERROR(EASTERN!J18/EASTERN!G18," ")</f>
        <v>1</v>
      </c>
      <c r="H92" s="47">
        <f>IFERROR(BROWARD!$J18/BROWARD!$G18," ")</f>
        <v>0.40556925102988151</v>
      </c>
      <c r="I92" s="47">
        <f>IFERROR(CENTRAL!$J18/CENTRAL!$G18," ")</f>
        <v>1</v>
      </c>
      <c r="J92" s="47" t="str">
        <f>IFERROR(CHIPOLA!$J18/CHIPOLA!$G18," ")</f>
        <v xml:space="preserve"> </v>
      </c>
      <c r="K92" s="47">
        <f>IFERROR(DAYTONA!$J18/DAYTONA!$G18," ")</f>
        <v>1</v>
      </c>
      <c r="L92" s="47">
        <f>IFERROR(SOUTHWESTERN!$J18/SOUTHWESTERN!$G18," ")</f>
        <v>1</v>
      </c>
      <c r="M92" s="47">
        <f>IFERROR('FSC JAX'!$J18/'FSC JAX'!$G18," ")</f>
        <v>1</v>
      </c>
      <c r="N92" s="47">
        <f>IFERROR('FL KEYS'!$J18/'FL KEYS'!$G18," ")</f>
        <v>1</v>
      </c>
      <c r="O92" s="47" t="str">
        <f>IFERROR('GULF COAST'!$J18/'GULF COAST'!$G18," ")</f>
        <v xml:space="preserve"> </v>
      </c>
      <c r="P92" s="47">
        <f>IFERROR(HILLSBOROUGH!$J18/HILLSBOROUGH!$G18," ")</f>
        <v>0</v>
      </c>
      <c r="Q92" s="47" t="str">
        <f>IFERROR('INDIAN RIVER'!$J18/'INDIAN RIVER'!$G18," ")</f>
        <v xml:space="preserve"> </v>
      </c>
      <c r="R92" s="47">
        <f>IFERROR(GATEWAY!$J18/GATEWAY!$G18," ")</f>
        <v>4.9999966035373482E-2</v>
      </c>
      <c r="S92" s="47">
        <f>IFERROR('LAKE SUMTER'!$J18/'LAKE SUMTER'!$G18," ")</f>
        <v>1</v>
      </c>
      <c r="T92" s="47">
        <f>IFERROR('SCF MANATEE'!$J18/'SCF MANATEE'!$G18," ")</f>
        <v>0.5</v>
      </c>
      <c r="U92" s="47">
        <f>IFERROR(MIAMI!$J18/MIAMI!$G18," ")</f>
        <v>1</v>
      </c>
      <c r="V92" s="47">
        <f>IFERROR('NORTH FLORIDA'!$J18/'NORTH FLORIDA'!$G18," ")</f>
        <v>1</v>
      </c>
      <c r="W92" s="47">
        <f>IFERROR('NORTHWEST FLORIDA'!$J18/'NORTHWEST FLORIDA'!$G18," ")</f>
        <v>0</v>
      </c>
      <c r="X92" s="47">
        <f>IFERROR('PALM BEACH'!$J18/'PALM BEACH'!$G18," ")</f>
        <v>1</v>
      </c>
      <c r="Y92" s="47">
        <f>IFERROR(PASCO!$J18/PASCO!$G18," ")</f>
        <v>1</v>
      </c>
      <c r="Z92" s="47">
        <f>IFERROR(PENSACOLA!$J18/PENSACOLA!$G18," ")</f>
        <v>0</v>
      </c>
      <c r="AA92" s="47" t="str">
        <f>IFERROR(POLK!$J18/POLK!$G18," ")</f>
        <v xml:space="preserve"> </v>
      </c>
      <c r="AB92" s="47">
        <f>IFERROR('ST JOHNS'!$J18/'ST JOHNS'!$G18," ")</f>
        <v>1</v>
      </c>
      <c r="AC92" s="47">
        <f>IFERROR('ST PETE'!$J18/'ST PETE'!$G18," ")</f>
        <v>1</v>
      </c>
      <c r="AD92" s="47">
        <f>IFERROR('SANTA FE'!$J18/'SANTA FE'!$G18," ")</f>
        <v>1</v>
      </c>
      <c r="AE92" s="47">
        <f>IFERROR(SEMINOLE!$J18/SEMINOLE!$G18," ")</f>
        <v>1</v>
      </c>
      <c r="AF92" s="47">
        <f>IFERROR('SOUTH FLORIDA'!$J18/'SOUTH FLORIDA'!$G18," ")</f>
        <v>1</v>
      </c>
      <c r="AG92" s="47">
        <f>IFERROR(TALLAHASSEE!$J18/TALLAHASSEE!$G18," ")</f>
        <v>1</v>
      </c>
      <c r="AH92" s="47">
        <f>IFERROR(VALENCIA!$J18/VALENCIA!$G18," ")</f>
        <v>1</v>
      </c>
      <c r="AI92" s="47">
        <f>IFERROR('System Summary'!$J18/'System Summary'!$G18," ")</f>
        <v>0.86016689170093374</v>
      </c>
    </row>
    <row r="93" spans="1:35" x14ac:dyDescent="0.35">
      <c r="A93" s="8"/>
      <c r="B93" s="9"/>
      <c r="C93" s="10" t="s">
        <v>35</v>
      </c>
      <c r="D93" s="13"/>
      <c r="E93" s="10"/>
      <c r="F93" s="9" t="s">
        <v>36</v>
      </c>
      <c r="G93" s="47" t="str">
        <f>IFERROR(EASTERN!J19/EASTERN!G19," ")</f>
        <v xml:space="preserve"> </v>
      </c>
      <c r="H93" s="47">
        <f>IFERROR(BROWARD!$J19/BROWARD!$G19," ")</f>
        <v>0.94067399850796229</v>
      </c>
      <c r="I93" s="47" t="str">
        <f>IFERROR(CENTRAL!$J19/CENTRAL!$G19," ")</f>
        <v xml:space="preserve"> </v>
      </c>
      <c r="J93" s="47" t="str">
        <f>IFERROR(CHIPOLA!$J19/CHIPOLA!$G19," ")</f>
        <v xml:space="preserve"> </v>
      </c>
      <c r="K93" s="47" t="str">
        <f>IFERROR(DAYTONA!$J19/DAYTONA!$G19," ")</f>
        <v xml:space="preserve"> </v>
      </c>
      <c r="L93" s="47" t="str">
        <f>IFERROR(SOUTHWESTERN!$J19/SOUTHWESTERN!$G19," ")</f>
        <v xml:space="preserve"> </v>
      </c>
      <c r="M93" s="47" t="str">
        <f>IFERROR('FSC JAX'!$J19/'FSC JAX'!$G19," ")</f>
        <v xml:space="preserve"> </v>
      </c>
      <c r="N93" s="47" t="str">
        <f>IFERROR('FL KEYS'!$J19/'FL KEYS'!$G19," ")</f>
        <v xml:space="preserve"> </v>
      </c>
      <c r="O93" s="47" t="str">
        <f>IFERROR('GULF COAST'!$J19/'GULF COAST'!$G19," ")</f>
        <v xml:space="preserve"> </v>
      </c>
      <c r="P93" s="47">
        <f>IFERROR(HILLSBOROUGH!$J19/HILLSBOROUGH!$G19," ")</f>
        <v>0</v>
      </c>
      <c r="Q93" s="47" t="str">
        <f>IFERROR('INDIAN RIVER'!$J19/'INDIAN RIVER'!$G19," ")</f>
        <v xml:space="preserve"> </v>
      </c>
      <c r="R93" s="47" t="str">
        <f>IFERROR(GATEWAY!$J19/GATEWAY!$G19," ")</f>
        <v xml:space="preserve"> </v>
      </c>
      <c r="S93" s="47" t="str">
        <f>IFERROR('LAKE SUMTER'!$J19/'LAKE SUMTER'!$G19," ")</f>
        <v xml:space="preserve"> </v>
      </c>
      <c r="T93" s="47" t="str">
        <f>IFERROR('SCF MANATEE'!$J19/'SCF MANATEE'!$G19," ")</f>
        <v xml:space="preserve"> </v>
      </c>
      <c r="U93" s="47">
        <f>IFERROR(MIAMI!$J19/MIAMI!$G19," ")</f>
        <v>1</v>
      </c>
      <c r="V93" s="47" t="str">
        <f>IFERROR('NORTH FLORIDA'!$J19/'NORTH FLORIDA'!$G19," ")</f>
        <v xml:space="preserve"> </v>
      </c>
      <c r="W93" s="47" t="str">
        <f>IFERROR('NORTHWEST FLORIDA'!$J19/'NORTHWEST FLORIDA'!$G19," ")</f>
        <v xml:space="preserve"> </v>
      </c>
      <c r="X93" s="47" t="str">
        <f>IFERROR('PALM BEACH'!$J19/'PALM BEACH'!$G19," ")</f>
        <v xml:space="preserve"> </v>
      </c>
      <c r="Y93" s="47">
        <f>IFERROR(PASCO!$J19/PASCO!$G19," ")</f>
        <v>1</v>
      </c>
      <c r="Z93" s="47" t="str">
        <f>IFERROR(PENSACOLA!$J19/PENSACOLA!$G19," ")</f>
        <v xml:space="preserve"> </v>
      </c>
      <c r="AA93" s="47" t="str">
        <f>IFERROR(POLK!$J19/POLK!$G19," ")</f>
        <v xml:space="preserve"> </v>
      </c>
      <c r="AB93" s="47">
        <f>IFERROR('ST JOHNS'!$J19/'ST JOHNS'!$G19," ")</f>
        <v>1</v>
      </c>
      <c r="AC93" s="47" t="str">
        <f>IFERROR('ST PETE'!$J19/'ST PETE'!$G19," ")</f>
        <v xml:space="preserve"> </v>
      </c>
      <c r="AD93" s="47" t="str">
        <f>IFERROR('SANTA FE'!$J19/'SANTA FE'!$G19," ")</f>
        <v xml:space="preserve"> </v>
      </c>
      <c r="AE93" s="47">
        <f>IFERROR(SEMINOLE!$J19/SEMINOLE!$G19," ")</f>
        <v>0</v>
      </c>
      <c r="AF93" s="47" t="str">
        <f>IFERROR('SOUTH FLORIDA'!$J19/'SOUTH FLORIDA'!$G19," ")</f>
        <v xml:space="preserve"> </v>
      </c>
      <c r="AG93" s="47" t="str">
        <f>IFERROR(TALLAHASSEE!$J19/TALLAHASSEE!$G19," ")</f>
        <v xml:space="preserve"> </v>
      </c>
      <c r="AH93" s="47" t="str">
        <f>IFERROR(VALENCIA!$J19/VALENCIA!$G19," ")</f>
        <v xml:space="preserve"> </v>
      </c>
      <c r="AI93" s="47">
        <f>IFERROR('System Summary'!$J19/'System Summary'!$G19," ")</f>
        <v>0.85065375291410494</v>
      </c>
    </row>
    <row r="94" spans="1:35" x14ac:dyDescent="0.35">
      <c r="A94" s="8"/>
      <c r="B94" s="9"/>
      <c r="C94" s="10" t="s">
        <v>37</v>
      </c>
      <c r="D94" s="13"/>
      <c r="E94" s="10"/>
      <c r="F94" s="9" t="s">
        <v>38</v>
      </c>
      <c r="G94" s="47">
        <f>IFERROR(EASTERN!J20/EASTERN!G20," ")</f>
        <v>0</v>
      </c>
      <c r="H94" s="47">
        <f>IFERROR(BROWARD!$J20/BROWARD!$G20," ")</f>
        <v>0.27859184117641494</v>
      </c>
      <c r="I94" s="47">
        <f>IFERROR(CENTRAL!$J20/CENTRAL!$G20," ")</f>
        <v>0</v>
      </c>
      <c r="J94" s="47" t="str">
        <f>IFERROR(CHIPOLA!$J20/CHIPOLA!$G20," ")</f>
        <v xml:space="preserve"> </v>
      </c>
      <c r="K94" s="47">
        <f>IFERROR(DAYTONA!$J20/DAYTONA!$G20," ")</f>
        <v>0</v>
      </c>
      <c r="L94" s="47">
        <f>IFERROR(SOUTHWESTERN!$J20/SOUTHWESTERN!$G20," ")</f>
        <v>0</v>
      </c>
      <c r="M94" s="47">
        <f>IFERROR('FSC JAX'!$J20/'FSC JAX'!$G20," ")</f>
        <v>0</v>
      </c>
      <c r="N94" s="47" t="str">
        <f>IFERROR('FL KEYS'!$J20/'FL KEYS'!$G20," ")</f>
        <v xml:space="preserve"> </v>
      </c>
      <c r="O94" s="47">
        <f>IFERROR('GULF COAST'!$J20/'GULF COAST'!$G20," ")</f>
        <v>0</v>
      </c>
      <c r="P94" s="47">
        <f>IFERROR(HILLSBOROUGH!$J20/HILLSBOROUGH!$G20," ")</f>
        <v>0</v>
      </c>
      <c r="Q94" s="47">
        <f>IFERROR('INDIAN RIVER'!$J20/'INDIAN RIVER'!$G20," ")</f>
        <v>0</v>
      </c>
      <c r="R94" s="47">
        <f>IFERROR(GATEWAY!$J20/GATEWAY!$G20," ")</f>
        <v>0</v>
      </c>
      <c r="S94" s="47">
        <f>IFERROR('LAKE SUMTER'!$J20/'LAKE SUMTER'!$G20," ")</f>
        <v>0</v>
      </c>
      <c r="T94" s="47">
        <f>IFERROR('SCF MANATEE'!$J20/'SCF MANATEE'!$G20," ")</f>
        <v>0.5</v>
      </c>
      <c r="U94" s="47">
        <f>IFERROR(MIAMI!$J20/MIAMI!$G20," ")</f>
        <v>0</v>
      </c>
      <c r="V94" s="47">
        <f>IFERROR('NORTH FLORIDA'!$J20/'NORTH FLORIDA'!$G20," ")</f>
        <v>0</v>
      </c>
      <c r="W94" s="47">
        <f>IFERROR('NORTHWEST FLORIDA'!$J20/'NORTHWEST FLORIDA'!$G20," ")</f>
        <v>0</v>
      </c>
      <c r="X94" s="47">
        <f>IFERROR('PALM BEACH'!$J20/'PALM BEACH'!$G20," ")</f>
        <v>1</v>
      </c>
      <c r="Y94" s="47">
        <f>IFERROR(PASCO!$J20/PASCO!$G20," ")</f>
        <v>0</v>
      </c>
      <c r="Z94" s="47">
        <f>IFERROR(PENSACOLA!$J20/PENSACOLA!$G20," ")</f>
        <v>0</v>
      </c>
      <c r="AA94" s="47" t="str">
        <f>IFERROR(POLK!$J20/POLK!$G20," ")</f>
        <v xml:space="preserve"> </v>
      </c>
      <c r="AB94" s="47">
        <f>IFERROR('ST JOHNS'!$J20/'ST JOHNS'!$G20," ")</f>
        <v>0</v>
      </c>
      <c r="AC94" s="47">
        <f>IFERROR('ST PETE'!$J20/'ST PETE'!$G20," ")</f>
        <v>0</v>
      </c>
      <c r="AD94" s="47">
        <f>IFERROR('SANTA FE'!$J20/'SANTA FE'!$G20," ")</f>
        <v>0</v>
      </c>
      <c r="AE94" s="47">
        <f>IFERROR(SEMINOLE!$J20/SEMINOLE!$G20," ")</f>
        <v>0</v>
      </c>
      <c r="AF94" s="47">
        <f>IFERROR('SOUTH FLORIDA'!$J20/'SOUTH FLORIDA'!$G20," ")</f>
        <v>0</v>
      </c>
      <c r="AG94" s="47">
        <f>IFERROR(TALLAHASSEE!$J20/TALLAHASSEE!$G20," ")</f>
        <v>1</v>
      </c>
      <c r="AH94" s="47">
        <f>IFERROR(VALENCIA!$J20/VALENCIA!$G20," ")</f>
        <v>0</v>
      </c>
      <c r="AI94" s="47">
        <f>IFERROR('System Summary'!$J20/'System Summary'!$G20," ")</f>
        <v>8.4914489621212397E-2</v>
      </c>
    </row>
    <row r="95" spans="1:35" x14ac:dyDescent="0.35">
      <c r="A95" s="8"/>
      <c r="B95" s="9"/>
      <c r="C95" s="10" t="s">
        <v>39</v>
      </c>
      <c r="D95" s="13"/>
      <c r="E95" s="10"/>
      <c r="F95" s="9" t="s">
        <v>40</v>
      </c>
      <c r="G95" s="47" t="str">
        <f>IFERROR(EASTERN!J21/EASTERN!G21," ")</f>
        <v xml:space="preserve"> </v>
      </c>
      <c r="H95" s="47" t="str">
        <f>IFERROR(BROWARD!$J21/BROWARD!$G21," ")</f>
        <v xml:space="preserve"> </v>
      </c>
      <c r="I95" s="47" t="str">
        <f>IFERROR(CENTRAL!$J21/CENTRAL!$G21," ")</f>
        <v xml:space="preserve"> </v>
      </c>
      <c r="J95" s="47" t="str">
        <f>IFERROR(CHIPOLA!$J21/CHIPOLA!$G21," ")</f>
        <v xml:space="preserve"> </v>
      </c>
      <c r="K95" s="47" t="str">
        <f>IFERROR(DAYTONA!$J21/DAYTONA!$G21," ")</f>
        <v xml:space="preserve"> </v>
      </c>
      <c r="L95" s="47" t="str">
        <f>IFERROR(SOUTHWESTERN!$J21/SOUTHWESTERN!$G21," ")</f>
        <v xml:space="preserve"> </v>
      </c>
      <c r="M95" s="47" t="str">
        <f>IFERROR('FSC JAX'!$J21/'FSC JAX'!$G21," ")</f>
        <v xml:space="preserve"> </v>
      </c>
      <c r="N95" s="47" t="str">
        <f>IFERROR('FL KEYS'!$J21/'FL KEYS'!$G21," ")</f>
        <v xml:space="preserve"> </v>
      </c>
      <c r="O95" s="47" t="str">
        <f>IFERROR('GULF COAST'!$J21/'GULF COAST'!$G21," ")</f>
        <v xml:space="preserve"> </v>
      </c>
      <c r="P95" s="47" t="str">
        <f>IFERROR(HILLSBOROUGH!$J21/HILLSBOROUGH!$G21," ")</f>
        <v xml:space="preserve"> </v>
      </c>
      <c r="Q95" s="47" t="str">
        <f>IFERROR('INDIAN RIVER'!$J21/'INDIAN RIVER'!$G21," ")</f>
        <v xml:space="preserve"> </v>
      </c>
      <c r="R95" s="47">
        <f>IFERROR(GATEWAY!$J21/GATEWAY!$G21," ")</f>
        <v>0</v>
      </c>
      <c r="S95" s="47">
        <f>IFERROR('LAKE SUMTER'!$J21/'LAKE SUMTER'!$G21," ")</f>
        <v>1</v>
      </c>
      <c r="T95" s="47">
        <f>IFERROR('SCF MANATEE'!$J21/'SCF MANATEE'!$G21," ")</f>
        <v>1</v>
      </c>
      <c r="U95" s="47">
        <f>IFERROR(MIAMI!$J21/MIAMI!$G21," ")</f>
        <v>0</v>
      </c>
      <c r="V95" s="47" t="str">
        <f>IFERROR('NORTH FLORIDA'!$J21/'NORTH FLORIDA'!$G21," ")</f>
        <v xml:space="preserve"> </v>
      </c>
      <c r="W95" s="47" t="str">
        <f>IFERROR('NORTHWEST FLORIDA'!$J21/'NORTHWEST FLORIDA'!$G21," ")</f>
        <v xml:space="preserve"> </v>
      </c>
      <c r="X95" s="47" t="str">
        <f>IFERROR('PALM BEACH'!$J21/'PALM BEACH'!$G21," ")</f>
        <v xml:space="preserve"> </v>
      </c>
      <c r="Y95" s="47" t="str">
        <f>IFERROR(PASCO!$J21/PASCO!$G21," ")</f>
        <v xml:space="preserve"> </v>
      </c>
      <c r="Z95" s="47" t="str">
        <f>IFERROR(PENSACOLA!$J21/PENSACOLA!$G21," ")</f>
        <v xml:space="preserve"> </v>
      </c>
      <c r="AA95" s="47" t="str">
        <f>IFERROR(POLK!$J21/POLK!$G21," ")</f>
        <v xml:space="preserve"> </v>
      </c>
      <c r="AB95" s="47" t="str">
        <f>IFERROR('ST JOHNS'!$J21/'ST JOHNS'!$G21," ")</f>
        <v xml:space="preserve"> </v>
      </c>
      <c r="AC95" s="47" t="str">
        <f>IFERROR('ST PETE'!$J21/'ST PETE'!$G21," ")</f>
        <v xml:space="preserve"> </v>
      </c>
      <c r="AD95" s="47">
        <f>IFERROR('SANTA FE'!$J21/'SANTA FE'!$G21," ")</f>
        <v>1</v>
      </c>
      <c r="AE95" s="47" t="str">
        <f>IFERROR(SEMINOLE!$J21/SEMINOLE!$G21," ")</f>
        <v xml:space="preserve"> </v>
      </c>
      <c r="AF95" s="47" t="str">
        <f>IFERROR('SOUTH FLORIDA'!$J21/'SOUTH FLORIDA'!$G21," ")</f>
        <v xml:space="preserve"> </v>
      </c>
      <c r="AG95" s="47" t="str">
        <f>IFERROR(TALLAHASSEE!$J21/TALLAHASSEE!$G21," ")</f>
        <v xml:space="preserve"> </v>
      </c>
      <c r="AH95" s="47" t="str">
        <f>IFERROR(VALENCIA!$J21/VALENCIA!$G21," ")</f>
        <v xml:space="preserve"> </v>
      </c>
      <c r="AI95" s="47">
        <f>IFERROR('System Summary'!$J21/'System Summary'!$G21," ")</f>
        <v>0.54889022511973329</v>
      </c>
    </row>
    <row r="96" spans="1:35" x14ac:dyDescent="0.35">
      <c r="A96" s="8"/>
      <c r="B96" s="9"/>
      <c r="C96" s="10" t="s">
        <v>41</v>
      </c>
      <c r="D96" s="13"/>
      <c r="E96" s="10"/>
      <c r="F96" s="9" t="s">
        <v>42</v>
      </c>
      <c r="G96" s="47" t="str">
        <f>IFERROR(EASTERN!J22/EASTERN!G22," ")</f>
        <v xml:space="preserve"> </v>
      </c>
      <c r="H96" s="47" t="str">
        <f>IFERROR(BROWARD!$J22/BROWARD!$G22," ")</f>
        <v xml:space="preserve"> </v>
      </c>
      <c r="I96" s="47" t="str">
        <f>IFERROR(CENTRAL!$J22/CENTRAL!$G22," ")</f>
        <v xml:space="preserve"> </v>
      </c>
      <c r="J96" s="47" t="str">
        <f>IFERROR(CHIPOLA!$J22/CHIPOLA!$G22," ")</f>
        <v xml:space="preserve"> </v>
      </c>
      <c r="K96" s="47" t="str">
        <f>IFERROR(DAYTONA!$J22/DAYTONA!$G22," ")</f>
        <v xml:space="preserve"> </v>
      </c>
      <c r="L96" s="47" t="str">
        <f>IFERROR(SOUTHWESTERN!$J22/SOUTHWESTERN!$G22," ")</f>
        <v xml:space="preserve"> </v>
      </c>
      <c r="M96" s="47" t="str">
        <f>IFERROR('FSC JAX'!$J22/'FSC JAX'!$G22," ")</f>
        <v xml:space="preserve"> </v>
      </c>
      <c r="N96" s="47" t="str">
        <f>IFERROR('FL KEYS'!$J22/'FL KEYS'!$G22," ")</f>
        <v xml:space="preserve"> </v>
      </c>
      <c r="O96" s="47" t="str">
        <f>IFERROR('GULF COAST'!$J22/'GULF COAST'!$G22," ")</f>
        <v xml:space="preserve"> </v>
      </c>
      <c r="P96" s="47" t="str">
        <f>IFERROR(HILLSBOROUGH!$J22/HILLSBOROUGH!$G22," ")</f>
        <v xml:space="preserve"> </v>
      </c>
      <c r="Q96" s="47" t="str">
        <f>IFERROR('INDIAN RIVER'!$J22/'INDIAN RIVER'!$G22," ")</f>
        <v xml:space="preserve"> </v>
      </c>
      <c r="R96" s="47" t="str">
        <f>IFERROR(GATEWAY!$J22/GATEWAY!$G22," ")</f>
        <v xml:space="preserve"> </v>
      </c>
      <c r="S96" s="47" t="str">
        <f>IFERROR('LAKE SUMTER'!$J22/'LAKE SUMTER'!$G22," ")</f>
        <v xml:space="preserve"> </v>
      </c>
      <c r="T96" s="47">
        <f>IFERROR('SCF MANATEE'!$J22/'SCF MANATEE'!$G22," ")</f>
        <v>1</v>
      </c>
      <c r="U96" s="47" t="str">
        <f>IFERROR(MIAMI!$J22/MIAMI!$G22," ")</f>
        <v xml:space="preserve"> </v>
      </c>
      <c r="V96" s="47" t="str">
        <f>IFERROR('NORTH FLORIDA'!$J22/'NORTH FLORIDA'!$G22," ")</f>
        <v xml:space="preserve"> </v>
      </c>
      <c r="W96" s="47" t="str">
        <f>IFERROR('NORTHWEST FLORIDA'!$J22/'NORTHWEST FLORIDA'!$G22," ")</f>
        <v xml:space="preserve"> </v>
      </c>
      <c r="X96" s="47" t="str">
        <f>IFERROR('PALM BEACH'!$J22/'PALM BEACH'!$G22," ")</f>
        <v xml:space="preserve"> </v>
      </c>
      <c r="Y96" s="47" t="str">
        <f>IFERROR(PASCO!$J22/PASCO!$G22," ")</f>
        <v xml:space="preserve"> </v>
      </c>
      <c r="Z96" s="47" t="str">
        <f>IFERROR(PENSACOLA!$J22/PENSACOLA!$G22," ")</f>
        <v xml:space="preserve"> </v>
      </c>
      <c r="AA96" s="47" t="str">
        <f>IFERROR(POLK!$J22/POLK!$G22," ")</f>
        <v xml:space="preserve"> </v>
      </c>
      <c r="AB96" s="47" t="str">
        <f>IFERROR('ST JOHNS'!$J22/'ST JOHNS'!$G22," ")</f>
        <v xml:space="preserve"> </v>
      </c>
      <c r="AC96" s="47" t="str">
        <f>IFERROR('ST PETE'!$J22/'ST PETE'!$G22," ")</f>
        <v xml:space="preserve"> </v>
      </c>
      <c r="AD96" s="47" t="str">
        <f>IFERROR('SANTA FE'!$J22/'SANTA FE'!$G22," ")</f>
        <v xml:space="preserve"> </v>
      </c>
      <c r="AE96" s="47" t="str">
        <f>IFERROR(SEMINOLE!$J22/SEMINOLE!$G22," ")</f>
        <v xml:space="preserve"> </v>
      </c>
      <c r="AF96" s="47" t="str">
        <f>IFERROR('SOUTH FLORIDA'!$J22/'SOUTH FLORIDA'!$G22," ")</f>
        <v xml:space="preserve"> </v>
      </c>
      <c r="AG96" s="47" t="str">
        <f>IFERROR(TALLAHASSEE!$J22/TALLAHASSEE!$G22," ")</f>
        <v xml:space="preserve"> </v>
      </c>
      <c r="AH96" s="47">
        <f>IFERROR(VALENCIA!$J22/VALENCIA!$G22," ")</f>
        <v>1</v>
      </c>
      <c r="AI96" s="47">
        <f>IFERROR('System Summary'!$J22/'System Summary'!$G22," ")</f>
        <v>1</v>
      </c>
    </row>
    <row r="97" spans="1:35" x14ac:dyDescent="0.35">
      <c r="A97" s="8"/>
      <c r="B97" s="9"/>
      <c r="C97" s="10" t="s">
        <v>43</v>
      </c>
      <c r="D97" s="13"/>
      <c r="E97" s="10"/>
      <c r="F97" s="9" t="s">
        <v>44</v>
      </c>
      <c r="G97" s="47" t="str">
        <f>IFERROR(EASTERN!J23/EASTERN!G23," ")</f>
        <v xml:space="preserve"> </v>
      </c>
      <c r="H97" s="47" t="str">
        <f>IFERROR(BROWARD!$J23/BROWARD!$G23," ")</f>
        <v xml:space="preserve"> </v>
      </c>
      <c r="I97" s="47" t="str">
        <f>IFERROR(CENTRAL!$J23/CENTRAL!$G23," ")</f>
        <v xml:space="preserve"> </v>
      </c>
      <c r="J97" s="47" t="str">
        <f>IFERROR(CHIPOLA!$J23/CHIPOLA!$G23," ")</f>
        <v xml:space="preserve"> </v>
      </c>
      <c r="K97" s="47" t="str">
        <f>IFERROR(DAYTONA!$J23/DAYTONA!$G23," ")</f>
        <v xml:space="preserve"> </v>
      </c>
      <c r="L97" s="47" t="str">
        <f>IFERROR(SOUTHWESTERN!$J23/SOUTHWESTERN!$G23," ")</f>
        <v xml:space="preserve"> </v>
      </c>
      <c r="M97" s="47" t="str">
        <f>IFERROR('FSC JAX'!$J23/'FSC JAX'!$G23," ")</f>
        <v xml:space="preserve"> </v>
      </c>
      <c r="N97" s="47" t="str">
        <f>IFERROR('FL KEYS'!$J23/'FL KEYS'!$G23," ")</f>
        <v xml:space="preserve"> </v>
      </c>
      <c r="O97" s="47" t="str">
        <f>IFERROR('GULF COAST'!$J23/'GULF COAST'!$G23," ")</f>
        <v xml:space="preserve"> </v>
      </c>
      <c r="P97" s="47" t="str">
        <f>IFERROR(HILLSBOROUGH!$J23/HILLSBOROUGH!$G23," ")</f>
        <v xml:space="preserve"> </v>
      </c>
      <c r="Q97" s="47" t="str">
        <f>IFERROR('INDIAN RIVER'!$J23/'INDIAN RIVER'!$G23," ")</f>
        <v xml:space="preserve"> </v>
      </c>
      <c r="R97" s="47" t="str">
        <f>IFERROR(GATEWAY!$J23/GATEWAY!$G23," ")</f>
        <v xml:space="preserve"> </v>
      </c>
      <c r="S97" s="47" t="str">
        <f>IFERROR('LAKE SUMTER'!$J23/'LAKE SUMTER'!$G23," ")</f>
        <v xml:space="preserve"> </v>
      </c>
      <c r="T97" s="47">
        <f>IFERROR('SCF MANATEE'!$J23/'SCF MANATEE'!$G23," ")</f>
        <v>0.30000000000000004</v>
      </c>
      <c r="U97" s="47" t="str">
        <f>IFERROR(MIAMI!$J23/MIAMI!$G23," ")</f>
        <v xml:space="preserve"> </v>
      </c>
      <c r="V97" s="47" t="str">
        <f>IFERROR('NORTH FLORIDA'!$J23/'NORTH FLORIDA'!$G23," ")</f>
        <v xml:space="preserve"> </v>
      </c>
      <c r="W97" s="47" t="str">
        <f>IFERROR('NORTHWEST FLORIDA'!$J23/'NORTHWEST FLORIDA'!$G23," ")</f>
        <v xml:space="preserve"> </v>
      </c>
      <c r="X97" s="47">
        <f>IFERROR('PALM BEACH'!$J23/'PALM BEACH'!$G23," ")</f>
        <v>1</v>
      </c>
      <c r="Y97" s="47" t="str">
        <f>IFERROR(PASCO!$J23/PASCO!$G23," ")</f>
        <v xml:space="preserve"> </v>
      </c>
      <c r="Z97" s="47" t="str">
        <f>IFERROR(PENSACOLA!$J23/PENSACOLA!$G23," ")</f>
        <v xml:space="preserve"> </v>
      </c>
      <c r="AA97" s="47" t="str">
        <f>IFERROR(POLK!$J23/POLK!$G23," ")</f>
        <v xml:space="preserve"> </v>
      </c>
      <c r="AB97" s="47" t="str">
        <f>IFERROR('ST JOHNS'!$J23/'ST JOHNS'!$G23," ")</f>
        <v xml:space="preserve"> </v>
      </c>
      <c r="AC97" s="47" t="str">
        <f>IFERROR('ST PETE'!$J23/'ST PETE'!$G23," ")</f>
        <v xml:space="preserve"> </v>
      </c>
      <c r="AD97" s="47" t="str">
        <f>IFERROR('SANTA FE'!$J23/'SANTA FE'!$G23," ")</f>
        <v xml:space="preserve"> </v>
      </c>
      <c r="AE97" s="47" t="str">
        <f>IFERROR(SEMINOLE!$J23/SEMINOLE!$G23," ")</f>
        <v xml:space="preserve"> </v>
      </c>
      <c r="AF97" s="47">
        <f>IFERROR('SOUTH FLORIDA'!$J23/'SOUTH FLORIDA'!$G23," ")</f>
        <v>0</v>
      </c>
      <c r="AG97" s="47" t="str">
        <f>IFERROR(TALLAHASSEE!$J23/TALLAHASSEE!$G23," ")</f>
        <v xml:space="preserve"> </v>
      </c>
      <c r="AH97" s="47" t="str">
        <f>IFERROR(VALENCIA!$J23/VALENCIA!$G23," ")</f>
        <v xml:space="preserve"> </v>
      </c>
      <c r="AI97" s="47">
        <f>IFERROR('System Summary'!$J23/'System Summary'!$G23," ")</f>
        <v>0.99052146879264358</v>
      </c>
    </row>
    <row r="98" spans="1:35" x14ac:dyDescent="0.35">
      <c r="A98" s="9"/>
      <c r="B98" s="9"/>
      <c r="C98" s="19" t="s">
        <v>45</v>
      </c>
      <c r="D98" s="13"/>
      <c r="E98" s="19"/>
      <c r="F98" s="9" t="s">
        <v>46</v>
      </c>
      <c r="G98" s="47" t="str">
        <f>IFERROR(EASTERN!J24/EASTERN!G24," ")</f>
        <v xml:space="preserve"> </v>
      </c>
      <c r="H98" s="47" t="str">
        <f>IFERROR(BROWARD!$J24/BROWARD!$G24," ")</f>
        <v xml:space="preserve"> </v>
      </c>
      <c r="I98" s="47" t="str">
        <f>IFERROR(CENTRAL!$J24/CENTRAL!$G24," ")</f>
        <v xml:space="preserve"> </v>
      </c>
      <c r="J98" s="47" t="str">
        <f>IFERROR(CHIPOLA!$J24/CHIPOLA!$G24," ")</f>
        <v xml:space="preserve"> </v>
      </c>
      <c r="K98" s="47">
        <f>IFERROR(DAYTONA!$J24/DAYTONA!$G24," ")</f>
        <v>0</v>
      </c>
      <c r="L98" s="47" t="str">
        <f>IFERROR(SOUTHWESTERN!$J24/SOUTHWESTERN!$G24," ")</f>
        <v xml:space="preserve"> </v>
      </c>
      <c r="M98" s="47">
        <f>IFERROR('FSC JAX'!$J24/'FSC JAX'!$G24," ")</f>
        <v>1</v>
      </c>
      <c r="N98" s="47" t="str">
        <f>IFERROR('FL KEYS'!$J24/'FL KEYS'!$G24," ")</f>
        <v xml:space="preserve"> </v>
      </c>
      <c r="O98" s="47" t="str">
        <f>IFERROR('GULF COAST'!$J24/'GULF COAST'!$G24," ")</f>
        <v xml:space="preserve"> </v>
      </c>
      <c r="P98" s="47" t="str">
        <f>IFERROR(HILLSBOROUGH!$J24/HILLSBOROUGH!$G24," ")</f>
        <v xml:space="preserve"> </v>
      </c>
      <c r="Q98" s="47" t="str">
        <f>IFERROR('INDIAN RIVER'!$J24/'INDIAN RIVER'!$G24," ")</f>
        <v xml:space="preserve"> </v>
      </c>
      <c r="R98" s="47" t="str">
        <f>IFERROR(GATEWAY!$J24/GATEWAY!$G24," ")</f>
        <v xml:space="preserve"> </v>
      </c>
      <c r="S98" s="47" t="str">
        <f>IFERROR('LAKE SUMTER'!$J24/'LAKE SUMTER'!$G24," ")</f>
        <v xml:space="preserve"> </v>
      </c>
      <c r="T98" s="47" t="str">
        <f>IFERROR('SCF MANATEE'!$J24/'SCF MANATEE'!$G24," ")</f>
        <v xml:space="preserve"> </v>
      </c>
      <c r="U98" s="47" t="str">
        <f>IFERROR(MIAMI!$J24/MIAMI!$G24," ")</f>
        <v xml:space="preserve"> </v>
      </c>
      <c r="V98" s="47" t="str">
        <f>IFERROR('NORTH FLORIDA'!$J24/'NORTH FLORIDA'!$G24," ")</f>
        <v xml:space="preserve"> </v>
      </c>
      <c r="W98" s="47" t="str">
        <f>IFERROR('NORTHWEST FLORIDA'!$J24/'NORTHWEST FLORIDA'!$G24," ")</f>
        <v xml:space="preserve"> </v>
      </c>
      <c r="X98" s="47" t="str">
        <f>IFERROR('PALM BEACH'!$J24/'PALM BEACH'!$G24," ")</f>
        <v xml:space="preserve"> </v>
      </c>
      <c r="Y98" s="47" t="str">
        <f>IFERROR(PASCO!$J24/PASCO!$G24," ")</f>
        <v xml:space="preserve"> </v>
      </c>
      <c r="Z98" s="47" t="str">
        <f>IFERROR(PENSACOLA!$J24/PENSACOLA!$G24," ")</f>
        <v xml:space="preserve"> </v>
      </c>
      <c r="AA98" s="47" t="str">
        <f>IFERROR(POLK!$J24/POLK!$G24," ")</f>
        <v xml:space="preserve"> </v>
      </c>
      <c r="AB98" s="47" t="str">
        <f>IFERROR('ST JOHNS'!$J24/'ST JOHNS'!$G24," ")</f>
        <v xml:space="preserve"> </v>
      </c>
      <c r="AC98" s="47">
        <f>IFERROR('ST PETE'!$J24/'ST PETE'!$G24," ")</f>
        <v>0</v>
      </c>
      <c r="AD98" s="47" t="str">
        <f>IFERROR('SANTA FE'!$J24/'SANTA FE'!$G24," ")</f>
        <v xml:space="preserve"> </v>
      </c>
      <c r="AE98" s="47" t="str">
        <f>IFERROR(SEMINOLE!$J24/SEMINOLE!$G24," ")</f>
        <v xml:space="preserve"> </v>
      </c>
      <c r="AF98" s="47" t="str">
        <f>IFERROR('SOUTH FLORIDA'!$J24/'SOUTH FLORIDA'!$G24," ")</f>
        <v xml:space="preserve"> </v>
      </c>
      <c r="AG98" s="47" t="str">
        <f>IFERROR(TALLAHASSEE!$J24/TALLAHASSEE!$G24," ")</f>
        <v xml:space="preserve"> </v>
      </c>
      <c r="AH98" s="47" t="str">
        <f>IFERROR(VALENCIA!$J24/VALENCIA!$G24," ")</f>
        <v xml:space="preserve"> </v>
      </c>
      <c r="AI98" s="47">
        <f>IFERROR('System Summary'!$J24/'System Summary'!$G24," ")</f>
        <v>2.1267843185651406E-2</v>
      </c>
    </row>
    <row r="99" spans="1:35" x14ac:dyDescent="0.35">
      <c r="A99" s="8"/>
      <c r="B99" s="9" t="s">
        <v>47</v>
      </c>
      <c r="C99" s="10"/>
      <c r="D99" s="13"/>
      <c r="E99" s="9" t="s">
        <v>48</v>
      </c>
      <c r="F99" s="10"/>
      <c r="G99" s="47">
        <f>IFERROR(EASTERN!J25/EASTERN!G25," ")</f>
        <v>0.29737863526611391</v>
      </c>
      <c r="H99" s="47">
        <f>IFERROR(BROWARD!$J25/BROWARD!$G25," ")</f>
        <v>0.54603593937515393</v>
      </c>
      <c r="I99" s="47">
        <f>IFERROR(CENTRAL!$J25/CENTRAL!$G25," ")</f>
        <v>0.17073885348730219</v>
      </c>
      <c r="J99" s="47">
        <f>IFERROR(CHIPOLA!$J25/CHIPOLA!$G25," ")</f>
        <v>0.24315086102085035</v>
      </c>
      <c r="K99" s="47">
        <f>IFERROR(DAYTONA!$J25/DAYTONA!$G25," ")</f>
        <v>0.24851345672538497</v>
      </c>
      <c r="L99" s="47">
        <f>IFERROR(SOUTHWESTERN!$J25/SOUTHWESTERN!$G25," ")</f>
        <v>0.26468616284347646</v>
      </c>
      <c r="M99" s="47">
        <f>IFERROR('FSC JAX'!$J25/'FSC JAX'!$G25," ")</f>
        <v>0.28205433146938041</v>
      </c>
      <c r="N99" s="47">
        <f>IFERROR('FL KEYS'!$J25/'FL KEYS'!$G25," ")</f>
        <v>0.35285989615611557</v>
      </c>
      <c r="O99" s="47">
        <f>IFERROR('GULF COAST'!$J25/'GULF COAST'!$G25," ")</f>
        <v>0</v>
      </c>
      <c r="P99" s="47">
        <f>IFERROR(HILLSBOROUGH!$J25/HILLSBOROUGH!$G25," ")</f>
        <v>4.6886698677796518E-2</v>
      </c>
      <c r="Q99" s="47">
        <f>IFERROR('INDIAN RIVER'!$J25/'INDIAN RIVER'!$G25," ")</f>
        <v>0.3297425358932225</v>
      </c>
      <c r="R99" s="47">
        <f>IFERROR(GATEWAY!$J25/GATEWAY!$G25," ")</f>
        <v>0.67887028324923604</v>
      </c>
      <c r="S99" s="47">
        <f>IFERROR('LAKE SUMTER'!$J25/'LAKE SUMTER'!$G25," ")</f>
        <v>0.15550576367120061</v>
      </c>
      <c r="T99" s="47">
        <f>IFERROR('SCF MANATEE'!$J25/'SCF MANATEE'!$G25," ")</f>
        <v>0.30467400369500341</v>
      </c>
      <c r="U99" s="47">
        <f>IFERROR(MIAMI!$J25/MIAMI!$G25," ")</f>
        <v>0.57858759095021228</v>
      </c>
      <c r="V99" s="47">
        <f>IFERROR('NORTH FLORIDA'!$J25/'NORTH FLORIDA'!$G25," ")</f>
        <v>0</v>
      </c>
      <c r="W99" s="47">
        <f>IFERROR('NORTHWEST FLORIDA'!$J25/'NORTHWEST FLORIDA'!$G25," ")</f>
        <v>0.15514733148871837</v>
      </c>
      <c r="X99" s="47">
        <f>IFERROR('PALM BEACH'!$J25/'PALM BEACH'!$G25," ")</f>
        <v>0.4548609438271044</v>
      </c>
      <c r="Y99" s="47">
        <f>IFERROR(PASCO!$J25/PASCO!$G25," ")</f>
        <v>0.33127423297138042</v>
      </c>
      <c r="Z99" s="47">
        <f>IFERROR(PENSACOLA!$J25/PENSACOLA!$G25," ")</f>
        <v>0.29052267901816592</v>
      </c>
      <c r="AA99" s="47">
        <f>IFERROR(POLK!$J25/POLK!$G25," ")</f>
        <v>0.24368445038095454</v>
      </c>
      <c r="AB99" s="47">
        <f>IFERROR('ST JOHNS'!$J25/'ST JOHNS'!$G25," ")</f>
        <v>0.41452945030816113</v>
      </c>
      <c r="AC99" s="47">
        <f>IFERROR('ST PETE'!$J25/'ST PETE'!$G25," ")</f>
        <v>0.35633480199711098</v>
      </c>
      <c r="AD99" s="47">
        <f>IFERROR('SANTA FE'!$J25/'SANTA FE'!$G25," ")</f>
        <v>0.46701735087080948</v>
      </c>
      <c r="AE99" s="47">
        <f>IFERROR(SEMINOLE!$J25/SEMINOLE!$G25," ")</f>
        <v>0.41906071066001216</v>
      </c>
      <c r="AF99" s="47">
        <f>IFERROR('SOUTH FLORIDA'!$J25/'SOUTH FLORIDA'!$G25," ")</f>
        <v>0.30410914800858868</v>
      </c>
      <c r="AG99" s="47">
        <f>IFERROR(TALLAHASSEE!$J25/TALLAHASSEE!$G25," ")</f>
        <v>0.78280550469479171</v>
      </c>
      <c r="AH99" s="47">
        <f>IFERROR(VALENCIA!$J25/VALENCIA!$G25," ")</f>
        <v>0.5433873101812835</v>
      </c>
      <c r="AI99" s="47">
        <f>IFERROR('System Summary'!$J25/'System Summary'!$G25," ")</f>
        <v>0.41778538805644705</v>
      </c>
    </row>
    <row r="100" spans="1:35" x14ac:dyDescent="0.35">
      <c r="A100" s="8"/>
      <c r="B100" s="9"/>
      <c r="C100" s="10" t="s">
        <v>49</v>
      </c>
      <c r="D100" s="13"/>
      <c r="E100" s="10"/>
      <c r="F100" s="9" t="s">
        <v>50</v>
      </c>
      <c r="G100" s="47" t="str">
        <f>IFERROR(EASTERN!J26/EASTERN!G26," ")</f>
        <v xml:space="preserve"> </v>
      </c>
      <c r="H100" s="47" t="str">
        <f>IFERROR(BROWARD!$J26/BROWARD!$G26," ")</f>
        <v xml:space="preserve"> </v>
      </c>
      <c r="I100" s="47" t="str">
        <f>IFERROR(CENTRAL!$J26/CENTRAL!$G26," ")</f>
        <v xml:space="preserve"> </v>
      </c>
      <c r="J100" s="47" t="str">
        <f>IFERROR(CHIPOLA!$J26/CHIPOLA!$G26," ")</f>
        <v xml:space="preserve"> </v>
      </c>
      <c r="K100" s="47" t="str">
        <f>IFERROR(DAYTONA!$J26/DAYTONA!$G26," ")</f>
        <v xml:space="preserve"> </v>
      </c>
      <c r="L100" s="47" t="str">
        <f>IFERROR(SOUTHWESTERN!$J26/SOUTHWESTERN!$G26," ")</f>
        <v xml:space="preserve"> </v>
      </c>
      <c r="M100" s="47" t="str">
        <f>IFERROR('FSC JAX'!$J26/'FSC JAX'!$G26," ")</f>
        <v xml:space="preserve"> </v>
      </c>
      <c r="N100" s="47" t="str">
        <f>IFERROR('FL KEYS'!$J26/'FL KEYS'!$G26," ")</f>
        <v xml:space="preserve"> </v>
      </c>
      <c r="O100" s="47" t="str">
        <f>IFERROR('GULF COAST'!$J26/'GULF COAST'!$G26," ")</f>
        <v xml:space="preserve"> </v>
      </c>
      <c r="P100" s="47" t="str">
        <f>IFERROR(HILLSBOROUGH!$J26/HILLSBOROUGH!$G26," ")</f>
        <v xml:space="preserve"> </v>
      </c>
      <c r="Q100" s="47" t="str">
        <f>IFERROR('INDIAN RIVER'!$J26/'INDIAN RIVER'!$G26," ")</f>
        <v xml:space="preserve"> </v>
      </c>
      <c r="R100" s="47">
        <f>IFERROR(GATEWAY!$J26/GATEWAY!$G26," ")</f>
        <v>0.70898124417991881</v>
      </c>
      <c r="S100" s="47" t="str">
        <f>IFERROR('LAKE SUMTER'!$J26/'LAKE SUMTER'!$G26," ")</f>
        <v xml:space="preserve"> </v>
      </c>
      <c r="T100" s="47" t="str">
        <f>IFERROR('SCF MANATEE'!$J26/'SCF MANATEE'!$G26," ")</f>
        <v xml:space="preserve"> </v>
      </c>
      <c r="U100" s="47" t="str">
        <f>IFERROR(MIAMI!$J26/MIAMI!$G26," ")</f>
        <v xml:space="preserve"> </v>
      </c>
      <c r="V100" s="47" t="str">
        <f>IFERROR('NORTH FLORIDA'!$J26/'NORTH FLORIDA'!$G26," ")</f>
        <v xml:space="preserve"> </v>
      </c>
      <c r="W100" s="47">
        <f>IFERROR('NORTHWEST FLORIDA'!$J26/'NORTHWEST FLORIDA'!$G26," ")</f>
        <v>0.22000080067256494</v>
      </c>
      <c r="X100" s="47" t="str">
        <f>IFERROR('PALM BEACH'!$J26/'PALM BEACH'!$G26," ")</f>
        <v xml:space="preserve"> </v>
      </c>
      <c r="Y100" s="47" t="str">
        <f>IFERROR(PASCO!$J26/PASCO!$G26," ")</f>
        <v xml:space="preserve"> </v>
      </c>
      <c r="Z100" s="47" t="str">
        <f>IFERROR(PENSACOLA!$J26/PENSACOLA!$G26," ")</f>
        <v xml:space="preserve"> </v>
      </c>
      <c r="AA100" s="47">
        <f>IFERROR(POLK!$J26/POLK!$G26," ")</f>
        <v>0</v>
      </c>
      <c r="AB100" s="47">
        <f>IFERROR('ST JOHNS'!$J26/'ST JOHNS'!$G26," ")</f>
        <v>0.41452945030816113</v>
      </c>
      <c r="AC100" s="47" t="str">
        <f>IFERROR('ST PETE'!$J26/'ST PETE'!$G26," ")</f>
        <v xml:space="preserve"> </v>
      </c>
      <c r="AD100" s="47">
        <f>IFERROR('SANTA FE'!$J26/'SANTA FE'!$G26," ")</f>
        <v>0.46701735087080948</v>
      </c>
      <c r="AE100" s="47" t="str">
        <f>IFERROR(SEMINOLE!$J26/SEMINOLE!$G26," ")</f>
        <v xml:space="preserve"> </v>
      </c>
      <c r="AF100" s="47" t="str">
        <f>IFERROR('SOUTH FLORIDA'!$J26/'SOUTH FLORIDA'!$G26," ")</f>
        <v xml:space="preserve"> </v>
      </c>
      <c r="AG100" s="47" t="str">
        <f>IFERROR(TALLAHASSEE!$J26/TALLAHASSEE!$G26," ")</f>
        <v xml:space="preserve"> </v>
      </c>
      <c r="AH100" s="47" t="str">
        <f>IFERROR(VALENCIA!$J26/VALENCIA!$G26," ")</f>
        <v xml:space="preserve"> </v>
      </c>
      <c r="AI100" s="47">
        <f>IFERROR('System Summary'!$J26/'System Summary'!$G26," ")</f>
        <v>0.36847713875258359</v>
      </c>
    </row>
    <row r="101" spans="1:35" x14ac:dyDescent="0.35">
      <c r="A101" s="8"/>
      <c r="B101" s="9"/>
      <c r="C101" s="10" t="s">
        <v>51</v>
      </c>
      <c r="D101" s="13"/>
      <c r="E101" s="10"/>
      <c r="F101" s="9" t="s">
        <v>52</v>
      </c>
      <c r="G101" s="47">
        <f>IFERROR(EASTERN!J27/EASTERN!G27," ")</f>
        <v>0</v>
      </c>
      <c r="H101" s="47">
        <f>IFERROR(BROWARD!$J27/BROWARD!$G27," ")</f>
        <v>0.48763189169723731</v>
      </c>
      <c r="I101" s="47" t="str">
        <f>IFERROR(CENTRAL!$J27/CENTRAL!$G27," ")</f>
        <v xml:space="preserve"> </v>
      </c>
      <c r="J101" s="47" t="str">
        <f>IFERROR(CHIPOLA!$J27/CHIPOLA!$G27," ")</f>
        <v xml:space="preserve"> </v>
      </c>
      <c r="K101" s="47">
        <f>IFERROR(DAYTONA!$J27/DAYTONA!$G27," ")</f>
        <v>0</v>
      </c>
      <c r="L101" s="47" t="str">
        <f>IFERROR(SOUTHWESTERN!$J27/SOUTHWESTERN!$G27," ")</f>
        <v xml:space="preserve"> </v>
      </c>
      <c r="M101" s="47" t="str">
        <f>IFERROR('FSC JAX'!$J27/'FSC JAX'!$G27," ")</f>
        <v xml:space="preserve"> </v>
      </c>
      <c r="N101" s="47">
        <f>IFERROR('FL KEYS'!$J27/'FL KEYS'!$G27," ")</f>
        <v>0</v>
      </c>
      <c r="O101" s="47" t="str">
        <f>IFERROR('GULF COAST'!$J27/'GULF COAST'!$G27," ")</f>
        <v xml:space="preserve"> </v>
      </c>
      <c r="P101" s="47" t="str">
        <f>IFERROR(HILLSBOROUGH!$J27/HILLSBOROUGH!$G27," ")</f>
        <v xml:space="preserve"> </v>
      </c>
      <c r="Q101" s="47" t="str">
        <f>IFERROR('INDIAN RIVER'!$J27/'INDIAN RIVER'!$G27," ")</f>
        <v xml:space="preserve"> </v>
      </c>
      <c r="R101" s="47" t="str">
        <f>IFERROR(GATEWAY!$J27/GATEWAY!$G27," ")</f>
        <v xml:space="preserve"> </v>
      </c>
      <c r="S101" s="47" t="str">
        <f>IFERROR('LAKE SUMTER'!$J27/'LAKE SUMTER'!$G27," ")</f>
        <v xml:space="preserve"> </v>
      </c>
      <c r="T101" s="47" t="str">
        <f>IFERROR('SCF MANATEE'!$J27/'SCF MANATEE'!$G27," ")</f>
        <v xml:space="preserve"> </v>
      </c>
      <c r="U101" s="47" t="str">
        <f>IFERROR(MIAMI!$J27/MIAMI!$G27," ")</f>
        <v xml:space="preserve"> </v>
      </c>
      <c r="V101" s="47">
        <f>IFERROR('NORTH FLORIDA'!$J27/'NORTH FLORIDA'!$G27," ")</f>
        <v>0</v>
      </c>
      <c r="W101" s="47" t="str">
        <f>IFERROR('NORTHWEST FLORIDA'!$J27/'NORTHWEST FLORIDA'!$G27," ")</f>
        <v xml:space="preserve"> </v>
      </c>
      <c r="X101" s="47" t="str">
        <f>IFERROR('PALM BEACH'!$J27/'PALM BEACH'!$G27," ")</f>
        <v xml:space="preserve"> </v>
      </c>
      <c r="Y101" s="47">
        <f>IFERROR(PASCO!$J27/PASCO!$G27," ")</f>
        <v>0</v>
      </c>
      <c r="Z101" s="47" t="str">
        <f>IFERROR(PENSACOLA!$J27/PENSACOLA!$G27," ")</f>
        <v xml:space="preserve"> </v>
      </c>
      <c r="AA101" s="47" t="str">
        <f>IFERROR(POLK!$J27/POLK!$G27," ")</f>
        <v xml:space="preserve"> </v>
      </c>
      <c r="AB101" s="47" t="str">
        <f>IFERROR('ST JOHNS'!$J27/'ST JOHNS'!$G27," ")</f>
        <v xml:space="preserve"> </v>
      </c>
      <c r="AC101" s="47" t="str">
        <f>IFERROR('ST PETE'!$J27/'ST PETE'!$G27," ")</f>
        <v xml:space="preserve"> </v>
      </c>
      <c r="AD101" s="47" t="str">
        <f>IFERROR('SANTA FE'!$J27/'SANTA FE'!$G27," ")</f>
        <v xml:space="preserve"> </v>
      </c>
      <c r="AE101" s="47" t="str">
        <f>IFERROR(SEMINOLE!$J27/SEMINOLE!$G27," ")</f>
        <v xml:space="preserve"> </v>
      </c>
      <c r="AF101" s="47">
        <f>IFERROR('SOUTH FLORIDA'!$J27/'SOUTH FLORIDA'!$G27," ")</f>
        <v>0</v>
      </c>
      <c r="AG101" s="47" t="str">
        <f>IFERROR(TALLAHASSEE!$J27/TALLAHASSEE!$G27," ")</f>
        <v xml:space="preserve"> </v>
      </c>
      <c r="AH101" s="47" t="str">
        <f>IFERROR(VALENCIA!$J27/VALENCIA!$G27," ")</f>
        <v xml:space="preserve"> </v>
      </c>
      <c r="AI101" s="47">
        <f>IFERROR('System Summary'!$J27/'System Summary'!$G27," ")</f>
        <v>0.16905141183237635</v>
      </c>
    </row>
    <row r="102" spans="1:35" x14ac:dyDescent="0.35">
      <c r="A102" s="8"/>
      <c r="B102" s="9"/>
      <c r="C102" s="10" t="s">
        <v>53</v>
      </c>
      <c r="D102" s="13"/>
      <c r="E102" s="10"/>
      <c r="F102" s="9" t="s">
        <v>54</v>
      </c>
      <c r="G102" s="47">
        <f>IFERROR(EASTERN!J28/EASTERN!G28," ")</f>
        <v>0</v>
      </c>
      <c r="H102" s="47" t="str">
        <f>IFERROR(BROWARD!$J28/BROWARD!$G28," ")</f>
        <v xml:space="preserve"> </v>
      </c>
      <c r="I102" s="47" t="str">
        <f>IFERROR(CENTRAL!$J28/CENTRAL!$G28," ")</f>
        <v xml:space="preserve"> </v>
      </c>
      <c r="J102" s="47" t="str">
        <f>IFERROR(CHIPOLA!$J28/CHIPOLA!$G28," ")</f>
        <v xml:space="preserve"> </v>
      </c>
      <c r="K102" s="47" t="str">
        <f>IFERROR(DAYTONA!$J28/DAYTONA!$G28," ")</f>
        <v xml:space="preserve"> </v>
      </c>
      <c r="L102" s="47">
        <f>IFERROR(SOUTHWESTERN!$J28/SOUTHWESTERN!$G28," ")</f>
        <v>0.3577704299167116</v>
      </c>
      <c r="M102" s="47" t="str">
        <f>IFERROR('FSC JAX'!$J28/'FSC JAX'!$G28," ")</f>
        <v xml:space="preserve"> </v>
      </c>
      <c r="N102" s="47">
        <f>IFERROR('FL KEYS'!$J28/'FL KEYS'!$G28," ")</f>
        <v>0</v>
      </c>
      <c r="O102" s="47">
        <f>IFERROR('GULF COAST'!$J28/'GULF COAST'!$G28," ")</f>
        <v>0</v>
      </c>
      <c r="P102" s="47">
        <f>IFERROR(HILLSBOROUGH!$J28/HILLSBOROUGH!$G28," ")</f>
        <v>0</v>
      </c>
      <c r="Q102" s="47">
        <f>IFERROR('INDIAN RIVER'!$J28/'INDIAN RIVER'!$G28," ")</f>
        <v>0</v>
      </c>
      <c r="R102" s="47">
        <f>IFERROR(GATEWAY!$J28/GATEWAY!$G28," ")</f>
        <v>0.25</v>
      </c>
      <c r="S102" s="47" t="str">
        <f>IFERROR('LAKE SUMTER'!$J28/'LAKE SUMTER'!$G28," ")</f>
        <v xml:space="preserve"> </v>
      </c>
      <c r="T102" s="47">
        <f>IFERROR('SCF MANATEE'!$J28/'SCF MANATEE'!$G28," ")</f>
        <v>0.10000000000000002</v>
      </c>
      <c r="U102" s="47">
        <f>IFERROR(MIAMI!$J28/MIAMI!$G28," ")</f>
        <v>0</v>
      </c>
      <c r="V102" s="47">
        <f>IFERROR('NORTH FLORIDA'!$J28/'NORTH FLORIDA'!$G28," ")</f>
        <v>0</v>
      </c>
      <c r="W102" s="47" t="str">
        <f>IFERROR('NORTHWEST FLORIDA'!$J28/'NORTHWEST FLORIDA'!$G28," ")</f>
        <v xml:space="preserve"> </v>
      </c>
      <c r="X102" s="47">
        <f>IFERROR('PALM BEACH'!$J28/'PALM BEACH'!$G28," ")</f>
        <v>0.42132944623489638</v>
      </c>
      <c r="Y102" s="47" t="str">
        <f>IFERROR(PASCO!$J28/PASCO!$G28," ")</f>
        <v xml:space="preserve"> </v>
      </c>
      <c r="Z102" s="47">
        <f>IFERROR(PENSACOLA!$J28/PENSACOLA!$G28," ")</f>
        <v>1.5563334211478321E-2</v>
      </c>
      <c r="AA102" s="47" t="str">
        <f>IFERROR(POLK!$J28/POLK!$G28," ")</f>
        <v xml:space="preserve"> </v>
      </c>
      <c r="AB102" s="47" t="str">
        <f>IFERROR('ST JOHNS'!$J28/'ST JOHNS'!$G28," ")</f>
        <v xml:space="preserve"> </v>
      </c>
      <c r="AC102" s="47">
        <f>IFERROR('ST PETE'!$J28/'ST PETE'!$G28," ")</f>
        <v>0</v>
      </c>
      <c r="AD102" s="47" t="str">
        <f>IFERROR('SANTA FE'!$J28/'SANTA FE'!$G28," ")</f>
        <v xml:space="preserve"> </v>
      </c>
      <c r="AE102" s="47">
        <f>IFERROR(SEMINOLE!$J28/SEMINOLE!$G28," ")</f>
        <v>0</v>
      </c>
      <c r="AF102" s="47" t="str">
        <f>IFERROR('SOUTH FLORIDA'!$J28/'SOUTH FLORIDA'!$G28," ")</f>
        <v xml:space="preserve"> </v>
      </c>
      <c r="AG102" s="47" t="str">
        <f>IFERROR(TALLAHASSEE!$J28/TALLAHASSEE!$G28," ")</f>
        <v xml:space="preserve"> </v>
      </c>
      <c r="AH102" s="47">
        <f>IFERROR(VALENCIA!$J28/VALENCIA!$G28," ")</f>
        <v>0</v>
      </c>
      <c r="AI102" s="47">
        <f>IFERROR('System Summary'!$J28/'System Summary'!$G28," ")</f>
        <v>0.10799852703275048</v>
      </c>
    </row>
    <row r="103" spans="1:35" x14ac:dyDescent="0.35">
      <c r="A103" s="8"/>
      <c r="B103" s="9"/>
      <c r="C103" s="10" t="s">
        <v>55</v>
      </c>
      <c r="D103" s="13"/>
      <c r="E103" s="10"/>
      <c r="F103" s="9" t="s">
        <v>56</v>
      </c>
      <c r="G103" s="47">
        <f>IFERROR(EASTERN!J29/EASTERN!G29," ")</f>
        <v>0</v>
      </c>
      <c r="H103" s="47">
        <f>IFERROR(BROWARD!$J29/BROWARD!$G29," ")</f>
        <v>0.65399150332865752</v>
      </c>
      <c r="I103" s="47" t="str">
        <f>IFERROR(CENTRAL!$J29/CENTRAL!$G29," ")</f>
        <v xml:space="preserve"> </v>
      </c>
      <c r="J103" s="47" t="str">
        <f>IFERROR(CHIPOLA!$J29/CHIPOLA!$G29," ")</f>
        <v xml:space="preserve"> </v>
      </c>
      <c r="K103" s="47">
        <f>IFERROR(DAYTONA!$J29/DAYTONA!$G29," ")</f>
        <v>0</v>
      </c>
      <c r="L103" s="47">
        <f>IFERROR(SOUTHWESTERN!$J29/SOUTHWESTERN!$G29," ")</f>
        <v>0</v>
      </c>
      <c r="M103" s="47" t="str">
        <f>IFERROR('FSC JAX'!$J29/'FSC JAX'!$G29," ")</f>
        <v xml:space="preserve"> </v>
      </c>
      <c r="N103" s="47" t="str">
        <f>IFERROR('FL KEYS'!$J29/'FL KEYS'!$G29," ")</f>
        <v xml:space="preserve"> </v>
      </c>
      <c r="O103" s="47">
        <f>IFERROR('GULF COAST'!$J29/'GULF COAST'!$G29," ")</f>
        <v>0</v>
      </c>
      <c r="P103" s="47" t="str">
        <f>IFERROR(HILLSBOROUGH!$J29/HILLSBOROUGH!$G29," ")</f>
        <v xml:space="preserve"> </v>
      </c>
      <c r="Q103" s="47">
        <f>IFERROR('INDIAN RIVER'!$J29/'INDIAN RIVER'!$G29," ")</f>
        <v>0</v>
      </c>
      <c r="R103" s="47" t="str">
        <f>IFERROR(GATEWAY!$J29/GATEWAY!$G29," ")</f>
        <v xml:space="preserve"> </v>
      </c>
      <c r="S103" s="47" t="str">
        <f>IFERROR('LAKE SUMTER'!$J29/'LAKE SUMTER'!$G29," ")</f>
        <v xml:space="preserve"> </v>
      </c>
      <c r="T103" s="47" t="str">
        <f>IFERROR('SCF MANATEE'!$J29/'SCF MANATEE'!$G29," ")</f>
        <v xml:space="preserve"> </v>
      </c>
      <c r="U103" s="47">
        <f>IFERROR(MIAMI!$J29/MIAMI!$G29," ")</f>
        <v>0.71642855438398678</v>
      </c>
      <c r="V103" s="47" t="str">
        <f>IFERROR('NORTH FLORIDA'!$J29/'NORTH FLORIDA'!$G29," ")</f>
        <v xml:space="preserve"> </v>
      </c>
      <c r="W103" s="47" t="str">
        <f>IFERROR('NORTHWEST FLORIDA'!$J29/'NORTHWEST FLORIDA'!$G29," ")</f>
        <v xml:space="preserve"> </v>
      </c>
      <c r="X103" s="47">
        <f>IFERROR('PALM BEACH'!$J29/'PALM BEACH'!$G29," ")</f>
        <v>0</v>
      </c>
      <c r="Y103" s="47" t="str">
        <f>IFERROR(PASCO!$J29/PASCO!$G29," ")</f>
        <v xml:space="preserve"> </v>
      </c>
      <c r="Z103" s="47" t="str">
        <f>IFERROR(PENSACOLA!$J29/PENSACOLA!$G29," ")</f>
        <v xml:space="preserve"> </v>
      </c>
      <c r="AA103" s="47">
        <f>IFERROR(POLK!$J29/POLK!$G29," ")</f>
        <v>0</v>
      </c>
      <c r="AB103" s="47" t="str">
        <f>IFERROR('ST JOHNS'!$J29/'ST JOHNS'!$G29," ")</f>
        <v xml:space="preserve"> </v>
      </c>
      <c r="AC103" s="47">
        <f>IFERROR('ST PETE'!$J29/'ST PETE'!$G29," ")</f>
        <v>0</v>
      </c>
      <c r="AD103" s="47" t="str">
        <f>IFERROR('SANTA FE'!$J29/'SANTA FE'!$G29," ")</f>
        <v xml:space="preserve"> </v>
      </c>
      <c r="AE103" s="47">
        <f>IFERROR(SEMINOLE!$J29/SEMINOLE!$G29," ")</f>
        <v>0</v>
      </c>
      <c r="AF103" s="47" t="str">
        <f>IFERROR('SOUTH FLORIDA'!$J29/'SOUTH FLORIDA'!$G29," ")</f>
        <v xml:space="preserve"> </v>
      </c>
      <c r="AG103" s="47">
        <f>IFERROR(TALLAHASSEE!$J29/TALLAHASSEE!$G29," ")</f>
        <v>0</v>
      </c>
      <c r="AH103" s="47">
        <f>IFERROR(VALENCIA!$J29/VALENCIA!$G29," ")</f>
        <v>0</v>
      </c>
      <c r="AI103" s="47">
        <f>IFERROR('System Summary'!$J29/'System Summary'!$G29," ")</f>
        <v>0.47962966417878017</v>
      </c>
    </row>
    <row r="104" spans="1:35" x14ac:dyDescent="0.35">
      <c r="A104" s="8"/>
      <c r="B104" s="9"/>
      <c r="C104" s="10" t="s">
        <v>57</v>
      </c>
      <c r="D104" s="13"/>
      <c r="E104" s="10"/>
      <c r="F104" s="9" t="s">
        <v>58</v>
      </c>
      <c r="G104" s="47" t="str">
        <f>IFERROR(EASTERN!J30/EASTERN!G30," ")</f>
        <v xml:space="preserve"> </v>
      </c>
      <c r="H104" s="47" t="str">
        <f>IFERROR(BROWARD!$J30/BROWARD!$G30," ")</f>
        <v xml:space="preserve"> </v>
      </c>
      <c r="I104" s="47">
        <f>IFERROR(CENTRAL!$J30/CENTRAL!$G30," ")</f>
        <v>0</v>
      </c>
      <c r="J104" s="47">
        <f>IFERROR(CHIPOLA!$J30/CHIPOLA!$G30," ")</f>
        <v>0.24315086102085035</v>
      </c>
      <c r="K104" s="47" t="str">
        <f>IFERROR(DAYTONA!$J30/DAYTONA!$G30," ")</f>
        <v xml:space="preserve"> </v>
      </c>
      <c r="L104" s="47" t="str">
        <f>IFERROR(SOUTHWESTERN!$J30/SOUTHWESTERN!$G30," ")</f>
        <v xml:space="preserve"> </v>
      </c>
      <c r="M104" s="47">
        <f>IFERROR('FSC JAX'!$J30/'FSC JAX'!$G30," ")</f>
        <v>0.28205433146938041</v>
      </c>
      <c r="N104" s="47">
        <f>IFERROR('FL KEYS'!$J30/'FL KEYS'!$G30," ")</f>
        <v>0.35569911962732209</v>
      </c>
      <c r="O104" s="47">
        <f>IFERROR('GULF COAST'!$J30/'GULF COAST'!$G30," ")</f>
        <v>0</v>
      </c>
      <c r="P104" s="47">
        <f>IFERROR(HILLSBOROUGH!$J30/HILLSBOROUGH!$G30," ")</f>
        <v>9.7574794680927529E-2</v>
      </c>
      <c r="Q104" s="47">
        <f>IFERROR('INDIAN RIVER'!$J30/'INDIAN RIVER'!$G30," ")</f>
        <v>4.4508775406994959E-2</v>
      </c>
      <c r="R104" s="47">
        <f>IFERROR(GATEWAY!$J30/GATEWAY!$G30," ")</f>
        <v>0.75000007880519559</v>
      </c>
      <c r="S104" s="47">
        <f>IFERROR('LAKE SUMTER'!$J30/'LAKE SUMTER'!$G30," ")</f>
        <v>0</v>
      </c>
      <c r="T104" s="47" t="str">
        <f>IFERROR('SCF MANATEE'!$J30/'SCF MANATEE'!$G30," ")</f>
        <v xml:space="preserve"> </v>
      </c>
      <c r="U104" s="47">
        <f>IFERROR(MIAMI!$J30/MIAMI!$G30," ")</f>
        <v>0</v>
      </c>
      <c r="V104" s="47">
        <f>IFERROR('NORTH FLORIDA'!$J30/'NORTH FLORIDA'!$G30," ")</f>
        <v>0</v>
      </c>
      <c r="W104" s="47">
        <f>IFERROR('NORTHWEST FLORIDA'!$J30/'NORTHWEST FLORIDA'!$G30," ")</f>
        <v>0.13336042362442699</v>
      </c>
      <c r="X104" s="47" t="str">
        <f>IFERROR('PALM BEACH'!$J30/'PALM BEACH'!$G30," ")</f>
        <v xml:space="preserve"> </v>
      </c>
      <c r="Y104" s="47">
        <f>IFERROR(PASCO!$J30/PASCO!$G30," ")</f>
        <v>0.20139580265559728</v>
      </c>
      <c r="Z104" s="47" t="str">
        <f>IFERROR(PENSACOLA!$J30/PENSACOLA!$G30," ")</f>
        <v xml:space="preserve"> </v>
      </c>
      <c r="AA104" s="47">
        <f>IFERROR(POLK!$J30/POLK!$G30," ")</f>
        <v>0.26480018057015908</v>
      </c>
      <c r="AB104" s="47" t="str">
        <f>IFERROR('ST JOHNS'!$J30/'ST JOHNS'!$G30," ")</f>
        <v xml:space="preserve"> </v>
      </c>
      <c r="AC104" s="47" t="str">
        <f>IFERROR('ST PETE'!$J30/'ST PETE'!$G30," ")</f>
        <v xml:space="preserve"> </v>
      </c>
      <c r="AD104" s="47" t="str">
        <f>IFERROR('SANTA FE'!$J30/'SANTA FE'!$G30," ")</f>
        <v xml:space="preserve"> </v>
      </c>
      <c r="AE104" s="47">
        <f>IFERROR(SEMINOLE!$J30/SEMINOLE!$G30," ")</f>
        <v>0.81791532780429965</v>
      </c>
      <c r="AF104" s="47" t="str">
        <f>IFERROR('SOUTH FLORIDA'!$J30/'SOUTH FLORIDA'!$G30," ")</f>
        <v xml:space="preserve"> </v>
      </c>
      <c r="AG104" s="47">
        <f>IFERROR(TALLAHASSEE!$J30/TALLAHASSEE!$G30," ")</f>
        <v>0.78334687871273545</v>
      </c>
      <c r="AH104" s="47" t="str">
        <f>IFERROR(VALENCIA!$J30/VALENCIA!$G30," ")</f>
        <v xml:space="preserve"> </v>
      </c>
      <c r="AI104" s="47">
        <f>IFERROR('System Summary'!$J30/'System Summary'!$G30," ")</f>
        <v>0.39699535111687501</v>
      </c>
    </row>
    <row r="105" spans="1:35" x14ac:dyDescent="0.35">
      <c r="A105" s="8"/>
      <c r="B105" s="9"/>
      <c r="C105" s="10" t="s">
        <v>60</v>
      </c>
      <c r="D105" s="13"/>
      <c r="E105" s="10"/>
      <c r="F105" s="9" t="s">
        <v>61</v>
      </c>
      <c r="G105" s="47">
        <f>IFERROR(EASTERN!J31/EASTERN!G31," ")</f>
        <v>0</v>
      </c>
      <c r="H105" s="47">
        <f>IFERROR(BROWARD!$J31/BROWARD!$G31," ")</f>
        <v>0.55323943771705486</v>
      </c>
      <c r="I105" s="47" t="str">
        <f>IFERROR(CENTRAL!$J31/CENTRAL!$G31," ")</f>
        <v xml:space="preserve"> </v>
      </c>
      <c r="J105" s="47" t="str">
        <f>IFERROR(CHIPOLA!$J31/CHIPOLA!$G31," ")</f>
        <v xml:space="preserve"> </v>
      </c>
      <c r="K105" s="47">
        <f>IFERROR(DAYTONA!$J31/DAYTONA!$G31," ")</f>
        <v>0</v>
      </c>
      <c r="L105" s="47">
        <f>IFERROR(SOUTHWESTERN!$J31/SOUTHWESTERN!$G31," ")</f>
        <v>0</v>
      </c>
      <c r="M105" s="47" t="str">
        <f>IFERROR('FSC JAX'!$J31/'FSC JAX'!$G31," ")</f>
        <v xml:space="preserve"> </v>
      </c>
      <c r="N105" s="47">
        <f>IFERROR('FL KEYS'!$J31/'FL KEYS'!$G31," ")</f>
        <v>0</v>
      </c>
      <c r="O105" s="47" t="str">
        <f>IFERROR('GULF COAST'!$J31/'GULF COAST'!$G31," ")</f>
        <v xml:space="preserve"> </v>
      </c>
      <c r="P105" s="47" t="str">
        <f>IFERROR(HILLSBOROUGH!$J31/HILLSBOROUGH!$G31," ")</f>
        <v xml:space="preserve"> </v>
      </c>
      <c r="Q105" s="47">
        <f>IFERROR('INDIAN RIVER'!$J31/'INDIAN RIVER'!$G31," ")</f>
        <v>0</v>
      </c>
      <c r="R105" s="47">
        <f>IFERROR(GATEWAY!$J31/GATEWAY!$G31," ")</f>
        <v>0</v>
      </c>
      <c r="S105" s="47">
        <f>IFERROR('LAKE SUMTER'!$J31/'LAKE SUMTER'!$G31," ")</f>
        <v>0</v>
      </c>
      <c r="T105" s="47" t="str">
        <f>IFERROR('SCF MANATEE'!$J31/'SCF MANATEE'!$G31," ")</f>
        <v xml:space="preserve"> </v>
      </c>
      <c r="U105" s="47">
        <f>IFERROR(MIAMI!$J31/MIAMI!$G31," ")</f>
        <v>0</v>
      </c>
      <c r="V105" s="47" t="str">
        <f>IFERROR('NORTH FLORIDA'!$J31/'NORTH FLORIDA'!$G31," ")</f>
        <v xml:space="preserve"> </v>
      </c>
      <c r="W105" s="47" t="str">
        <f>IFERROR('NORTHWEST FLORIDA'!$J31/'NORTHWEST FLORIDA'!$G31," ")</f>
        <v xml:space="preserve"> </v>
      </c>
      <c r="X105" s="47">
        <f>IFERROR('PALM BEACH'!$J31/'PALM BEACH'!$G31," ")</f>
        <v>0</v>
      </c>
      <c r="Y105" s="47">
        <f>IFERROR(PASCO!$J31/PASCO!$G31," ")</f>
        <v>0</v>
      </c>
      <c r="Z105" s="47">
        <f>IFERROR(PENSACOLA!$J31/PENSACOLA!$G31," ")</f>
        <v>0</v>
      </c>
      <c r="AA105" s="47" t="str">
        <f>IFERROR(POLK!$J31/POLK!$G31," ")</f>
        <v xml:space="preserve"> </v>
      </c>
      <c r="AB105" s="47" t="str">
        <f>IFERROR('ST JOHNS'!$J31/'ST JOHNS'!$G31," ")</f>
        <v xml:space="preserve"> </v>
      </c>
      <c r="AC105" s="47">
        <f>IFERROR('ST PETE'!$J31/'ST PETE'!$G31," ")</f>
        <v>0</v>
      </c>
      <c r="AD105" s="47" t="str">
        <f>IFERROR('SANTA FE'!$J31/'SANTA FE'!$G31," ")</f>
        <v xml:space="preserve"> </v>
      </c>
      <c r="AE105" s="47">
        <f>IFERROR(SEMINOLE!$J31/SEMINOLE!$G31," ")</f>
        <v>0</v>
      </c>
      <c r="AF105" s="47" t="str">
        <f>IFERROR('SOUTH FLORIDA'!$J31/'SOUTH FLORIDA'!$G31," ")</f>
        <v xml:space="preserve"> </v>
      </c>
      <c r="AG105" s="47" t="str">
        <f>IFERROR(TALLAHASSEE!$J31/TALLAHASSEE!$G31," ")</f>
        <v xml:space="preserve"> </v>
      </c>
      <c r="AH105" s="47">
        <f>IFERROR(VALENCIA!$J31/VALENCIA!$G31," ")</f>
        <v>0</v>
      </c>
      <c r="AI105" s="47">
        <f>IFERROR('System Summary'!$J31/'System Summary'!$G31," ")</f>
        <v>6.3273298359341063E-2</v>
      </c>
    </row>
    <row r="106" spans="1:35" x14ac:dyDescent="0.35">
      <c r="A106" s="8"/>
      <c r="B106" s="9"/>
      <c r="C106" s="10" t="s">
        <v>62</v>
      </c>
      <c r="D106" s="13"/>
      <c r="E106" s="10"/>
      <c r="F106" s="9" t="s">
        <v>63</v>
      </c>
      <c r="G106" s="47">
        <f>IFERROR(EASTERN!J32/EASTERN!G32," ")</f>
        <v>1</v>
      </c>
      <c r="H106" s="47">
        <f>IFERROR(BROWARD!$J32/BROWARD!$G32," ")</f>
        <v>0.71329815258586993</v>
      </c>
      <c r="I106" s="47" t="str">
        <f>IFERROR(CENTRAL!$J32/CENTRAL!$G32," ")</f>
        <v xml:space="preserve"> </v>
      </c>
      <c r="J106" s="47" t="str">
        <f>IFERROR(CHIPOLA!$J32/CHIPOLA!$G32," ")</f>
        <v xml:space="preserve"> </v>
      </c>
      <c r="K106" s="47">
        <f>IFERROR(DAYTONA!$J32/DAYTONA!$G32," ")</f>
        <v>0.81485256009957008</v>
      </c>
      <c r="L106" s="47" t="str">
        <f>IFERROR(SOUTHWESTERN!$J32/SOUTHWESTERN!$G32," ")</f>
        <v xml:space="preserve"> </v>
      </c>
      <c r="M106" s="47" t="str">
        <f>IFERROR('FSC JAX'!$J32/'FSC JAX'!$G32," ")</f>
        <v xml:space="preserve"> </v>
      </c>
      <c r="N106" s="47" t="str">
        <f>IFERROR('FL KEYS'!$J32/'FL KEYS'!$G32," ")</f>
        <v xml:space="preserve"> </v>
      </c>
      <c r="O106" s="47" t="str">
        <f>IFERROR('GULF COAST'!$J32/'GULF COAST'!$G32," ")</f>
        <v xml:space="preserve"> </v>
      </c>
      <c r="P106" s="47" t="str">
        <f>IFERROR(HILLSBOROUGH!$J32/HILLSBOROUGH!$G32," ")</f>
        <v xml:space="preserve"> </v>
      </c>
      <c r="Q106" s="47">
        <f>IFERROR('INDIAN RIVER'!$J32/'INDIAN RIVER'!$G32," ")</f>
        <v>1</v>
      </c>
      <c r="R106" s="47">
        <f>IFERROR(GATEWAY!$J32/GATEWAY!$G32," ")</f>
        <v>0.92880191218909558</v>
      </c>
      <c r="S106" s="47" t="str">
        <f>IFERROR('LAKE SUMTER'!$J32/'LAKE SUMTER'!$G32," ")</f>
        <v xml:space="preserve"> </v>
      </c>
      <c r="T106" s="47">
        <f>IFERROR('SCF MANATEE'!$J32/'SCF MANATEE'!$G32," ")</f>
        <v>0.85000000922973507</v>
      </c>
      <c r="U106" s="47">
        <f>IFERROR(MIAMI!$J32/MIAMI!$G32," ")</f>
        <v>1</v>
      </c>
      <c r="V106" s="47" t="str">
        <f>IFERROR('NORTH FLORIDA'!$J32/'NORTH FLORIDA'!$G32," ")</f>
        <v xml:space="preserve"> </v>
      </c>
      <c r="W106" s="47" t="str">
        <f>IFERROR('NORTHWEST FLORIDA'!$J32/'NORTHWEST FLORIDA'!$G32," ")</f>
        <v xml:space="preserve"> </v>
      </c>
      <c r="X106" s="47">
        <f>IFERROR('PALM BEACH'!$J32/'PALM BEACH'!$G32," ")</f>
        <v>1</v>
      </c>
      <c r="Y106" s="47">
        <f>IFERROR(PASCO!$J32/PASCO!$G32," ")</f>
        <v>1</v>
      </c>
      <c r="Z106" s="47">
        <f>IFERROR(PENSACOLA!$J32/PENSACOLA!$G32," ")</f>
        <v>1</v>
      </c>
      <c r="AA106" s="47" t="str">
        <f>IFERROR(POLK!$J32/POLK!$G32," ")</f>
        <v xml:space="preserve"> </v>
      </c>
      <c r="AB106" s="47" t="str">
        <f>IFERROR('ST JOHNS'!$J32/'ST JOHNS'!$G32," ")</f>
        <v xml:space="preserve"> </v>
      </c>
      <c r="AC106" s="47" t="str">
        <f>IFERROR('ST PETE'!$J32/'ST PETE'!$G32," ")</f>
        <v xml:space="preserve"> </v>
      </c>
      <c r="AD106" s="47" t="str">
        <f>IFERROR('SANTA FE'!$J32/'SANTA FE'!$G32," ")</f>
        <v xml:space="preserve"> </v>
      </c>
      <c r="AE106" s="47">
        <f>IFERROR(SEMINOLE!$J32/SEMINOLE!$G32," ")</f>
        <v>1</v>
      </c>
      <c r="AF106" s="47" t="str">
        <f>IFERROR('SOUTH FLORIDA'!$J32/'SOUTH FLORIDA'!$G32," ")</f>
        <v xml:space="preserve"> </v>
      </c>
      <c r="AG106" s="47" t="str">
        <f>IFERROR(TALLAHASSEE!$J32/TALLAHASSEE!$G32," ")</f>
        <v xml:space="preserve"> </v>
      </c>
      <c r="AH106" s="47">
        <f>IFERROR(VALENCIA!$J32/VALENCIA!$G32," ")</f>
        <v>1</v>
      </c>
      <c r="AI106" s="47">
        <f>IFERROR('System Summary'!$J32/'System Summary'!$G32," ")</f>
        <v>0.91941006134083481</v>
      </c>
    </row>
    <row r="107" spans="1:35" x14ac:dyDescent="0.35">
      <c r="A107" s="9"/>
      <c r="B107" s="9"/>
      <c r="C107" s="10" t="s">
        <v>64</v>
      </c>
      <c r="D107" s="9"/>
      <c r="E107" s="10"/>
      <c r="F107" s="9" t="s">
        <v>65</v>
      </c>
      <c r="G107" s="47">
        <f>IFERROR(EASTERN!J33/EASTERN!G33," ")</f>
        <v>1</v>
      </c>
      <c r="H107" s="47" t="str">
        <f>IFERROR(BROWARD!$J33/BROWARD!$G33," ")</f>
        <v xml:space="preserve"> </v>
      </c>
      <c r="I107" s="47" t="str">
        <f>IFERROR(CENTRAL!$J33/CENTRAL!$G33," ")</f>
        <v xml:space="preserve"> </v>
      </c>
      <c r="J107" s="47" t="str">
        <f>IFERROR(CHIPOLA!$J33/CHIPOLA!$G33," ")</f>
        <v xml:space="preserve"> </v>
      </c>
      <c r="K107" s="47" t="str">
        <f>IFERROR(DAYTONA!$J33/DAYTONA!$G33," ")</f>
        <v xml:space="preserve"> </v>
      </c>
      <c r="L107" s="47" t="str">
        <f>IFERROR(SOUTHWESTERN!$J33/SOUTHWESTERN!$G33," ")</f>
        <v xml:space="preserve"> </v>
      </c>
      <c r="M107" s="47" t="str">
        <f>IFERROR('FSC JAX'!$J33/'FSC JAX'!$G33," ")</f>
        <v xml:space="preserve"> </v>
      </c>
      <c r="N107" s="47" t="str">
        <f>IFERROR('FL KEYS'!$J33/'FL KEYS'!$G33," ")</f>
        <v xml:space="preserve"> </v>
      </c>
      <c r="O107" s="47">
        <f>IFERROR('GULF COAST'!$J33/'GULF COAST'!$G33," ")</f>
        <v>0</v>
      </c>
      <c r="P107" s="47" t="str">
        <f>IFERROR(HILLSBOROUGH!$J33/HILLSBOROUGH!$G33," ")</f>
        <v xml:space="preserve"> </v>
      </c>
      <c r="Q107" s="47">
        <f>IFERROR('INDIAN RIVER'!$J33/'INDIAN RIVER'!$G33," ")</f>
        <v>1</v>
      </c>
      <c r="R107" s="47">
        <f>IFERROR(GATEWAY!$J33/GATEWAY!$G33," ")</f>
        <v>1</v>
      </c>
      <c r="S107" s="47" t="str">
        <f>IFERROR('LAKE SUMTER'!$J33/'LAKE SUMTER'!$G33," ")</f>
        <v xml:space="preserve"> </v>
      </c>
      <c r="T107" s="47" t="str">
        <f>IFERROR('SCF MANATEE'!$J33/'SCF MANATEE'!$G33," ")</f>
        <v xml:space="preserve"> </v>
      </c>
      <c r="U107" s="47" t="str">
        <f>IFERROR(MIAMI!$J33/MIAMI!$G33," ")</f>
        <v xml:space="preserve"> </v>
      </c>
      <c r="V107" s="47" t="str">
        <f>IFERROR('NORTH FLORIDA'!$J33/'NORTH FLORIDA'!$G33," ")</f>
        <v xml:space="preserve"> </v>
      </c>
      <c r="W107" s="47" t="str">
        <f>IFERROR('NORTHWEST FLORIDA'!$J33/'NORTHWEST FLORIDA'!$G33," ")</f>
        <v xml:space="preserve"> </v>
      </c>
      <c r="X107" s="47" t="str">
        <f>IFERROR('PALM BEACH'!$J33/'PALM BEACH'!$G33," ")</f>
        <v xml:space="preserve"> </v>
      </c>
      <c r="Y107" s="47" t="str">
        <f>IFERROR(PASCO!$J33/PASCO!$G33," ")</f>
        <v xml:space="preserve"> </v>
      </c>
      <c r="Z107" s="47" t="str">
        <f>IFERROR(PENSACOLA!$J33/PENSACOLA!$G33," ")</f>
        <v xml:space="preserve"> </v>
      </c>
      <c r="AA107" s="47" t="str">
        <f>IFERROR(POLK!$J33/POLK!$G33," ")</f>
        <v xml:space="preserve"> </v>
      </c>
      <c r="AB107" s="47" t="str">
        <f>IFERROR('ST JOHNS'!$J33/'ST JOHNS'!$G33," ")</f>
        <v xml:space="preserve"> </v>
      </c>
      <c r="AC107" s="47">
        <f>IFERROR('ST PETE'!$J33/'ST PETE'!$G33," ")</f>
        <v>0.99715311612034574</v>
      </c>
      <c r="AD107" s="47" t="str">
        <f>IFERROR('SANTA FE'!$J33/'SANTA FE'!$G33," ")</f>
        <v xml:space="preserve"> </v>
      </c>
      <c r="AE107" s="47">
        <f>IFERROR(SEMINOLE!$J33/SEMINOLE!$G33," ")</f>
        <v>1</v>
      </c>
      <c r="AF107" s="47">
        <f>IFERROR('SOUTH FLORIDA'!$J33/'SOUTH FLORIDA'!$G33," ")</f>
        <v>1</v>
      </c>
      <c r="AG107" s="47">
        <f>IFERROR(TALLAHASSEE!$J33/TALLAHASSEE!$G33," ")</f>
        <v>1</v>
      </c>
      <c r="AH107" s="47">
        <f>IFERROR(VALENCIA!$J33/VALENCIA!$G33," ")</f>
        <v>1</v>
      </c>
      <c r="AI107" s="47">
        <f>IFERROR('System Summary'!$J33/'System Summary'!$G33," ")</f>
        <v>0.91464946567714256</v>
      </c>
    </row>
    <row r="108" spans="1:35" x14ac:dyDescent="0.35">
      <c r="A108" s="9"/>
      <c r="B108" s="9"/>
      <c r="C108" s="10" t="s">
        <v>66</v>
      </c>
      <c r="D108" s="9"/>
      <c r="E108" s="9"/>
      <c r="F108" s="9" t="s">
        <v>67</v>
      </c>
      <c r="G108" s="47">
        <f>IFERROR(EASTERN!J34/EASTERN!G34," ")</f>
        <v>0</v>
      </c>
      <c r="H108" s="47">
        <f>IFERROR(BROWARD!$J34/BROWARD!$G34," ")</f>
        <v>0.75504379043711534</v>
      </c>
      <c r="I108" s="47" t="str">
        <f>IFERROR(CENTRAL!$J34/CENTRAL!$G34," ")</f>
        <v xml:space="preserve"> </v>
      </c>
      <c r="J108" s="47" t="str">
        <f>IFERROR(CHIPOLA!$J34/CHIPOLA!$G34," ")</f>
        <v xml:space="preserve"> </v>
      </c>
      <c r="K108" s="47">
        <f>IFERROR(DAYTONA!$J34/DAYTONA!$G34," ")</f>
        <v>0</v>
      </c>
      <c r="L108" s="47" t="str">
        <f>IFERROR(SOUTHWESTERN!$J34/SOUTHWESTERN!$G34," ")</f>
        <v xml:space="preserve"> </v>
      </c>
      <c r="M108" s="47" t="str">
        <f>IFERROR('FSC JAX'!$J34/'FSC JAX'!$G34," ")</f>
        <v xml:space="preserve"> </v>
      </c>
      <c r="N108" s="47" t="str">
        <f>IFERROR('FL KEYS'!$J34/'FL KEYS'!$G34," ")</f>
        <v xml:space="preserve"> </v>
      </c>
      <c r="O108" s="47">
        <f>IFERROR('GULF COAST'!$J34/'GULF COAST'!$G34," ")</f>
        <v>0</v>
      </c>
      <c r="P108" s="47" t="str">
        <f>IFERROR(HILLSBOROUGH!$J34/HILLSBOROUGH!$G34," ")</f>
        <v xml:space="preserve"> </v>
      </c>
      <c r="Q108" s="47">
        <f>IFERROR('INDIAN RIVER'!$J34/'INDIAN RIVER'!$G34," ")</f>
        <v>0</v>
      </c>
      <c r="R108" s="47" t="str">
        <f>IFERROR(GATEWAY!$J34/GATEWAY!$G34," ")</f>
        <v xml:space="preserve"> </v>
      </c>
      <c r="S108" s="47" t="str">
        <f>IFERROR('LAKE SUMTER'!$J34/'LAKE SUMTER'!$G34," ")</f>
        <v xml:space="preserve"> </v>
      </c>
      <c r="T108" s="47" t="str">
        <f>IFERROR('SCF MANATEE'!$J34/'SCF MANATEE'!$G34," ")</f>
        <v xml:space="preserve"> </v>
      </c>
      <c r="U108" s="47">
        <f>IFERROR(MIAMI!$J34/MIAMI!$G34," ")</f>
        <v>0</v>
      </c>
      <c r="V108" s="47" t="str">
        <f>IFERROR('NORTH FLORIDA'!$J34/'NORTH FLORIDA'!$G34," ")</f>
        <v xml:space="preserve"> </v>
      </c>
      <c r="W108" s="47" t="str">
        <f>IFERROR('NORTHWEST FLORIDA'!$J34/'NORTHWEST FLORIDA'!$G34," ")</f>
        <v xml:space="preserve"> </v>
      </c>
      <c r="X108" s="47" t="str">
        <f>IFERROR('PALM BEACH'!$J34/'PALM BEACH'!$G34," ")</f>
        <v xml:space="preserve"> </v>
      </c>
      <c r="Y108" s="47" t="str">
        <f>IFERROR(PASCO!$J34/PASCO!$G34," ")</f>
        <v xml:space="preserve"> </v>
      </c>
      <c r="Z108" s="47" t="str">
        <f>IFERROR(PENSACOLA!$J34/PENSACOLA!$G34," ")</f>
        <v xml:space="preserve"> </v>
      </c>
      <c r="AA108" s="47" t="str">
        <f>IFERROR(POLK!$J34/POLK!$G34," ")</f>
        <v xml:space="preserve"> </v>
      </c>
      <c r="AB108" s="47" t="str">
        <f>IFERROR('ST JOHNS'!$J34/'ST JOHNS'!$G34," ")</f>
        <v xml:space="preserve"> </v>
      </c>
      <c r="AC108" s="47" t="str">
        <f>IFERROR('ST PETE'!$J34/'ST PETE'!$G34," ")</f>
        <v xml:space="preserve"> </v>
      </c>
      <c r="AD108" s="47" t="str">
        <f>IFERROR('SANTA FE'!$J34/'SANTA FE'!$G34," ")</f>
        <v xml:space="preserve"> </v>
      </c>
      <c r="AE108" s="47">
        <f>IFERROR(SEMINOLE!$J34/SEMINOLE!$G34," ")</f>
        <v>0</v>
      </c>
      <c r="AF108" s="47" t="str">
        <f>IFERROR('SOUTH FLORIDA'!$J34/'SOUTH FLORIDA'!$G34," ")</f>
        <v xml:space="preserve"> </v>
      </c>
      <c r="AG108" s="47" t="str">
        <f>IFERROR(TALLAHASSEE!$J34/TALLAHASSEE!$G34," ")</f>
        <v xml:space="preserve"> </v>
      </c>
      <c r="AH108" s="47" t="str">
        <f>IFERROR(VALENCIA!$J34/VALENCIA!$G34," ")</f>
        <v xml:space="preserve"> </v>
      </c>
      <c r="AI108" s="47">
        <f>IFERROR('System Summary'!$J34/'System Summary'!$G34," ")</f>
        <v>0.1902095810168575</v>
      </c>
    </row>
    <row r="109" spans="1:35" x14ac:dyDescent="0.35">
      <c r="A109" s="9"/>
      <c r="B109" s="9"/>
      <c r="C109" s="10" t="s">
        <v>68</v>
      </c>
      <c r="D109" s="9"/>
      <c r="E109" s="10"/>
      <c r="F109" s="9" t="s">
        <v>69</v>
      </c>
      <c r="G109" s="47">
        <f>IFERROR(EASTERN!J35/EASTERN!G35," ")</f>
        <v>0.65871100939035399</v>
      </c>
      <c r="H109" s="47">
        <f>IFERROR(BROWARD!$J35/BROWARD!$G35," ")</f>
        <v>0.56471268197488222</v>
      </c>
      <c r="I109" s="47" t="str">
        <f>IFERROR(CENTRAL!$J35/CENTRAL!$G35," ")</f>
        <v xml:space="preserve"> </v>
      </c>
      <c r="J109" s="47" t="str">
        <f>IFERROR(CHIPOLA!$J35/CHIPOLA!$G35," ")</f>
        <v xml:space="preserve"> </v>
      </c>
      <c r="K109" s="47">
        <f>IFERROR(DAYTONA!$J35/DAYTONA!$G35," ")</f>
        <v>0.22680251451839775</v>
      </c>
      <c r="L109" s="47" t="str">
        <f>IFERROR(SOUTHWESTERN!$J35/SOUTHWESTERN!$G35," ")</f>
        <v xml:space="preserve"> </v>
      </c>
      <c r="M109" s="47" t="str">
        <f>IFERROR('FSC JAX'!$J35/'FSC JAX'!$G35," ")</f>
        <v xml:space="preserve"> </v>
      </c>
      <c r="N109" s="47">
        <f>IFERROR('FL KEYS'!$J35/'FL KEYS'!$G35," ")</f>
        <v>0</v>
      </c>
      <c r="O109" s="47" t="str">
        <f>IFERROR('GULF COAST'!$J35/'GULF COAST'!$G35," ")</f>
        <v xml:space="preserve"> </v>
      </c>
      <c r="P109" s="47" t="str">
        <f>IFERROR(HILLSBOROUGH!$J35/HILLSBOROUGH!$G35," ")</f>
        <v xml:space="preserve"> </v>
      </c>
      <c r="Q109" s="47">
        <f>IFERROR('INDIAN RIVER'!$J35/'INDIAN RIVER'!$G35," ")</f>
        <v>0</v>
      </c>
      <c r="R109" s="47" t="str">
        <f>IFERROR(GATEWAY!$J35/GATEWAY!$G35," ")</f>
        <v xml:space="preserve"> </v>
      </c>
      <c r="S109" s="47" t="str">
        <f>IFERROR('LAKE SUMTER'!$J35/'LAKE SUMTER'!$G35," ")</f>
        <v xml:space="preserve"> </v>
      </c>
      <c r="T109" s="47" t="str">
        <f>IFERROR('SCF MANATEE'!$J35/'SCF MANATEE'!$G35," ")</f>
        <v xml:space="preserve"> </v>
      </c>
      <c r="U109" s="47">
        <f>IFERROR(MIAMI!$J35/MIAMI!$G35," ")</f>
        <v>0.5829241109746689</v>
      </c>
      <c r="V109" s="47" t="str">
        <f>IFERROR('NORTH FLORIDA'!$J35/'NORTH FLORIDA'!$G35," ")</f>
        <v xml:space="preserve"> </v>
      </c>
      <c r="W109" s="47" t="str">
        <f>IFERROR('NORTHWEST FLORIDA'!$J35/'NORTHWEST FLORIDA'!$G35," ")</f>
        <v xml:space="preserve"> </v>
      </c>
      <c r="X109" s="47">
        <f>IFERROR('PALM BEACH'!$J35/'PALM BEACH'!$G35," ")</f>
        <v>0</v>
      </c>
      <c r="Y109" s="47" t="str">
        <f>IFERROR(PASCO!$J35/PASCO!$G35," ")</f>
        <v xml:space="preserve"> </v>
      </c>
      <c r="Z109" s="47" t="str">
        <f>IFERROR(PENSACOLA!$J35/PENSACOLA!$G35," ")</f>
        <v xml:space="preserve"> </v>
      </c>
      <c r="AA109" s="47" t="str">
        <f>IFERROR(POLK!$J35/POLK!$G35," ")</f>
        <v xml:space="preserve"> </v>
      </c>
      <c r="AB109" s="47" t="str">
        <f>IFERROR('ST JOHNS'!$J35/'ST JOHNS'!$G35," ")</f>
        <v xml:space="preserve"> </v>
      </c>
      <c r="AC109" s="47">
        <f>IFERROR('ST PETE'!$J35/'ST PETE'!$G35," ")</f>
        <v>0.35493378143665649</v>
      </c>
      <c r="AD109" s="47" t="str">
        <f>IFERROR('SANTA FE'!$J35/'SANTA FE'!$G35," ")</f>
        <v xml:space="preserve"> </v>
      </c>
      <c r="AE109" s="47">
        <f>IFERROR(SEMINOLE!$J35/SEMINOLE!$G35," ")</f>
        <v>0</v>
      </c>
      <c r="AF109" s="47" t="str">
        <f>IFERROR('SOUTH FLORIDA'!$J35/'SOUTH FLORIDA'!$G35," ")</f>
        <v xml:space="preserve"> </v>
      </c>
      <c r="AG109" s="47" t="str">
        <f>IFERROR(TALLAHASSEE!$J35/TALLAHASSEE!$G35," ")</f>
        <v xml:space="preserve"> </v>
      </c>
      <c r="AH109" s="47" t="str">
        <f>IFERROR(VALENCIA!$J35/VALENCIA!$G35," ")</f>
        <v xml:space="preserve"> </v>
      </c>
      <c r="AI109" s="47">
        <f>IFERROR('System Summary'!$J35/'System Summary'!$G35," ")</f>
        <v>0.31602657022433572</v>
      </c>
    </row>
    <row r="110" spans="1:35" x14ac:dyDescent="0.35">
      <c r="A110" s="9"/>
      <c r="B110" s="9"/>
      <c r="C110" s="10" t="s">
        <v>70</v>
      </c>
      <c r="D110" s="9"/>
      <c r="E110" s="9"/>
      <c r="F110" s="9" t="s">
        <v>71</v>
      </c>
      <c r="G110" s="47" t="str">
        <f>IFERROR(EASTERN!J36/EASTERN!G36," ")</f>
        <v xml:space="preserve"> </v>
      </c>
      <c r="H110" s="47" t="str">
        <f>IFERROR(BROWARD!$J36/BROWARD!$G36," ")</f>
        <v xml:space="preserve"> </v>
      </c>
      <c r="I110" s="47" t="str">
        <f>IFERROR(CENTRAL!$J36/CENTRAL!$G36," ")</f>
        <v xml:space="preserve"> </v>
      </c>
      <c r="J110" s="47" t="str">
        <f>IFERROR(CHIPOLA!$J36/CHIPOLA!$G36," ")</f>
        <v xml:space="preserve"> </v>
      </c>
      <c r="K110" s="47" t="str">
        <f>IFERROR(DAYTONA!$J36/DAYTONA!$G36," ")</f>
        <v xml:space="preserve"> </v>
      </c>
      <c r="L110" s="47" t="str">
        <f>IFERROR(SOUTHWESTERN!$J36/SOUTHWESTERN!$G36," ")</f>
        <v xml:space="preserve"> </v>
      </c>
      <c r="M110" s="47" t="str">
        <f>IFERROR('FSC JAX'!$J36/'FSC JAX'!$G36," ")</f>
        <v xml:space="preserve"> </v>
      </c>
      <c r="N110" s="47" t="str">
        <f>IFERROR('FL KEYS'!$J36/'FL KEYS'!$G36," ")</f>
        <v xml:space="preserve"> </v>
      </c>
      <c r="O110" s="47" t="str">
        <f>IFERROR('GULF COAST'!$J36/'GULF COAST'!$G36," ")</f>
        <v xml:space="preserve"> </v>
      </c>
      <c r="P110" s="47" t="str">
        <f>IFERROR(HILLSBOROUGH!$J36/HILLSBOROUGH!$G36," ")</f>
        <v xml:space="preserve"> </v>
      </c>
      <c r="Q110" s="47" t="str">
        <f>IFERROR('INDIAN RIVER'!$J36/'INDIAN RIVER'!$G36," ")</f>
        <v xml:space="preserve"> </v>
      </c>
      <c r="R110" s="47" t="str">
        <f>IFERROR(GATEWAY!$J36/GATEWAY!$G36," ")</f>
        <v xml:space="preserve"> </v>
      </c>
      <c r="S110" s="47" t="str">
        <f>IFERROR('LAKE SUMTER'!$J36/'LAKE SUMTER'!$G36," ")</f>
        <v xml:space="preserve"> </v>
      </c>
      <c r="T110" s="47" t="str">
        <f>IFERROR('SCF MANATEE'!$J36/'SCF MANATEE'!$G36," ")</f>
        <v xml:space="preserve"> </v>
      </c>
      <c r="U110" s="47">
        <f>IFERROR(MIAMI!$J36/MIAMI!$G36," ")</f>
        <v>0</v>
      </c>
      <c r="V110" s="47" t="str">
        <f>IFERROR('NORTH FLORIDA'!$J36/'NORTH FLORIDA'!$G36," ")</f>
        <v xml:space="preserve"> </v>
      </c>
      <c r="W110" s="47" t="str">
        <f>IFERROR('NORTHWEST FLORIDA'!$J36/'NORTHWEST FLORIDA'!$G36," ")</f>
        <v xml:space="preserve"> </v>
      </c>
      <c r="X110" s="47" t="str">
        <f>IFERROR('PALM BEACH'!$J36/'PALM BEACH'!$G36," ")</f>
        <v xml:space="preserve"> </v>
      </c>
      <c r="Y110" s="47" t="str">
        <f>IFERROR(PASCO!$J36/PASCO!$G36," ")</f>
        <v xml:space="preserve"> </v>
      </c>
      <c r="Z110" s="47" t="str">
        <f>IFERROR(PENSACOLA!$J36/PENSACOLA!$G36," ")</f>
        <v xml:space="preserve"> </v>
      </c>
      <c r="AA110" s="47" t="str">
        <f>IFERROR(POLK!$J36/POLK!$G36," ")</f>
        <v xml:space="preserve"> </v>
      </c>
      <c r="AB110" s="47" t="str">
        <f>IFERROR('ST JOHNS'!$J36/'ST JOHNS'!$G36," ")</f>
        <v xml:space="preserve"> </v>
      </c>
      <c r="AC110" s="47" t="str">
        <f>IFERROR('ST PETE'!$J36/'ST PETE'!$G36," ")</f>
        <v xml:space="preserve"> </v>
      </c>
      <c r="AD110" s="47" t="str">
        <f>IFERROR('SANTA FE'!$J36/'SANTA FE'!$G36," ")</f>
        <v xml:space="preserve"> </v>
      </c>
      <c r="AE110" s="47" t="str">
        <f>IFERROR(SEMINOLE!$J36/SEMINOLE!$G36," ")</f>
        <v xml:space="preserve"> </v>
      </c>
      <c r="AF110" s="47" t="str">
        <f>IFERROR('SOUTH FLORIDA'!$J36/'SOUTH FLORIDA'!$G36," ")</f>
        <v xml:space="preserve"> </v>
      </c>
      <c r="AG110" s="47" t="str">
        <f>IFERROR(TALLAHASSEE!$J36/TALLAHASSEE!$G36," ")</f>
        <v xml:space="preserve"> </v>
      </c>
      <c r="AH110" s="47" t="str">
        <f>IFERROR(VALENCIA!$J36/VALENCIA!$G36," ")</f>
        <v xml:space="preserve"> </v>
      </c>
      <c r="AI110" s="47">
        <f>IFERROR('System Summary'!$J36/'System Summary'!$G36," ")</f>
        <v>0</v>
      </c>
    </row>
    <row r="111" spans="1:35" x14ac:dyDescent="0.35">
      <c r="A111" s="9"/>
      <c r="B111" s="9"/>
      <c r="C111" s="10" t="s">
        <v>72</v>
      </c>
      <c r="D111" s="9"/>
      <c r="E111" s="21"/>
      <c r="F111" s="9" t="s">
        <v>73</v>
      </c>
      <c r="G111" s="47" t="str">
        <f>IFERROR(EASTERN!J37/EASTERN!G37," ")</f>
        <v xml:space="preserve"> </v>
      </c>
      <c r="H111" s="47">
        <f>IFERROR(BROWARD!$J37/BROWARD!$G37," ")</f>
        <v>0</v>
      </c>
      <c r="I111" s="47" t="str">
        <f>IFERROR(CENTRAL!$J37/CENTRAL!$G37," ")</f>
        <v xml:space="preserve"> </v>
      </c>
      <c r="J111" s="47" t="str">
        <f>IFERROR(CHIPOLA!$J37/CHIPOLA!$G37," ")</f>
        <v xml:space="preserve"> </v>
      </c>
      <c r="K111" s="47" t="str">
        <f>IFERROR(DAYTONA!$J37/DAYTONA!$G37," ")</f>
        <v xml:space="preserve"> </v>
      </c>
      <c r="L111" s="47" t="str">
        <f>IFERROR(SOUTHWESTERN!$J37/SOUTHWESTERN!$G37," ")</f>
        <v xml:space="preserve"> </v>
      </c>
      <c r="M111" s="47" t="str">
        <f>IFERROR('FSC JAX'!$J37/'FSC JAX'!$G37," ")</f>
        <v xml:space="preserve"> </v>
      </c>
      <c r="N111" s="47" t="str">
        <f>IFERROR('FL KEYS'!$J37/'FL KEYS'!$G37," ")</f>
        <v xml:space="preserve"> </v>
      </c>
      <c r="O111" s="47" t="str">
        <f>IFERROR('GULF COAST'!$J37/'GULF COAST'!$G37," ")</f>
        <v xml:space="preserve"> </v>
      </c>
      <c r="P111" s="47" t="str">
        <f>IFERROR(HILLSBOROUGH!$J37/HILLSBOROUGH!$G37," ")</f>
        <v xml:space="preserve"> </v>
      </c>
      <c r="Q111" s="47" t="str">
        <f>IFERROR('INDIAN RIVER'!$J37/'INDIAN RIVER'!$G37," ")</f>
        <v xml:space="preserve"> </v>
      </c>
      <c r="R111" s="47" t="str">
        <f>IFERROR(GATEWAY!$J37/GATEWAY!$G37," ")</f>
        <v xml:space="preserve"> </v>
      </c>
      <c r="S111" s="47" t="str">
        <f>IFERROR('LAKE SUMTER'!$J37/'LAKE SUMTER'!$G37," ")</f>
        <v xml:space="preserve"> </v>
      </c>
      <c r="T111" s="47" t="str">
        <f>IFERROR('SCF MANATEE'!$J37/'SCF MANATEE'!$G37," ")</f>
        <v xml:space="preserve"> </v>
      </c>
      <c r="U111" s="47" t="str">
        <f>IFERROR(MIAMI!$J37/MIAMI!$G37," ")</f>
        <v xml:space="preserve"> </v>
      </c>
      <c r="V111" s="47" t="str">
        <f>IFERROR('NORTH FLORIDA'!$J37/'NORTH FLORIDA'!$G37," ")</f>
        <v xml:space="preserve"> </v>
      </c>
      <c r="W111" s="47" t="str">
        <f>IFERROR('NORTHWEST FLORIDA'!$J37/'NORTHWEST FLORIDA'!$G37," ")</f>
        <v xml:space="preserve"> </v>
      </c>
      <c r="X111" s="47" t="str">
        <f>IFERROR('PALM BEACH'!$J37/'PALM BEACH'!$G37," ")</f>
        <v xml:space="preserve"> </v>
      </c>
      <c r="Y111" s="47" t="str">
        <f>IFERROR(PASCO!$J37/PASCO!$G37," ")</f>
        <v xml:space="preserve"> </v>
      </c>
      <c r="Z111" s="47" t="str">
        <f>IFERROR(PENSACOLA!$J37/PENSACOLA!$G37," ")</f>
        <v xml:space="preserve"> </v>
      </c>
      <c r="AA111" s="47" t="str">
        <f>IFERROR(POLK!$J37/POLK!$G37," ")</f>
        <v xml:space="preserve"> </v>
      </c>
      <c r="AB111" s="47" t="str">
        <f>IFERROR('ST JOHNS'!$J37/'ST JOHNS'!$G37," ")</f>
        <v xml:space="preserve"> </v>
      </c>
      <c r="AC111" s="47" t="str">
        <f>IFERROR('ST PETE'!$J37/'ST PETE'!$G37," ")</f>
        <v xml:space="preserve"> </v>
      </c>
      <c r="AD111" s="47" t="str">
        <f>IFERROR('SANTA FE'!$J37/'SANTA FE'!$G37," ")</f>
        <v xml:space="preserve"> </v>
      </c>
      <c r="AE111" s="47" t="str">
        <f>IFERROR(SEMINOLE!$J37/SEMINOLE!$G37," ")</f>
        <v xml:space="preserve"> </v>
      </c>
      <c r="AF111" s="47" t="str">
        <f>IFERROR('SOUTH FLORIDA'!$J37/'SOUTH FLORIDA'!$G37," ")</f>
        <v xml:space="preserve"> </v>
      </c>
      <c r="AG111" s="47" t="str">
        <f>IFERROR(TALLAHASSEE!$J37/TALLAHASSEE!$G37," ")</f>
        <v xml:space="preserve"> </v>
      </c>
      <c r="AH111" s="47">
        <f>IFERROR(VALENCIA!$J37/VALENCIA!$G37," ")</f>
        <v>1</v>
      </c>
      <c r="AI111" s="47">
        <f>IFERROR('System Summary'!$J37/'System Summary'!$G37," ")</f>
        <v>0.46433181101565779</v>
      </c>
    </row>
    <row r="112" spans="1:35" x14ac:dyDescent="0.35">
      <c r="A112" s="9"/>
      <c r="B112" s="9"/>
      <c r="C112" s="10" t="s">
        <v>74</v>
      </c>
      <c r="D112" s="9"/>
      <c r="E112" s="9"/>
      <c r="F112" s="9" t="s">
        <v>75</v>
      </c>
      <c r="G112" s="47" t="str">
        <f>IFERROR(EASTERN!J38/EASTERN!G38," ")</f>
        <v xml:space="preserve"> </v>
      </c>
      <c r="H112" s="47" t="str">
        <f>IFERROR(BROWARD!$J38/BROWARD!$G38," ")</f>
        <v xml:space="preserve"> </v>
      </c>
      <c r="I112" s="47" t="str">
        <f>IFERROR(CENTRAL!$J38/CENTRAL!$G38," ")</f>
        <v xml:space="preserve"> </v>
      </c>
      <c r="J112" s="47" t="str">
        <f>IFERROR(CHIPOLA!$J38/CHIPOLA!$G38," ")</f>
        <v xml:space="preserve"> </v>
      </c>
      <c r="K112" s="47" t="str">
        <f>IFERROR(DAYTONA!$J38/DAYTONA!$G38," ")</f>
        <v xml:space="preserve"> </v>
      </c>
      <c r="L112" s="47" t="str">
        <f>IFERROR(SOUTHWESTERN!$J38/SOUTHWESTERN!$G38," ")</f>
        <v xml:space="preserve"> </v>
      </c>
      <c r="M112" s="47" t="str">
        <f>IFERROR('FSC JAX'!$J38/'FSC JAX'!$G38," ")</f>
        <v xml:space="preserve"> </v>
      </c>
      <c r="N112" s="47" t="str">
        <f>IFERROR('FL KEYS'!$J38/'FL KEYS'!$G38," ")</f>
        <v xml:space="preserve"> </v>
      </c>
      <c r="O112" s="47" t="str">
        <f>IFERROR('GULF COAST'!$J38/'GULF COAST'!$G38," ")</f>
        <v xml:space="preserve"> </v>
      </c>
      <c r="P112" s="47" t="str">
        <f>IFERROR(HILLSBOROUGH!$J38/HILLSBOROUGH!$G38," ")</f>
        <v xml:space="preserve"> </v>
      </c>
      <c r="Q112" s="47" t="str">
        <f>IFERROR('INDIAN RIVER'!$J38/'INDIAN RIVER'!$G38," ")</f>
        <v xml:space="preserve"> </v>
      </c>
      <c r="R112" s="47" t="str">
        <f>IFERROR(GATEWAY!$J38/GATEWAY!$G38," ")</f>
        <v xml:space="preserve"> </v>
      </c>
      <c r="S112" s="47" t="str">
        <f>IFERROR('LAKE SUMTER'!$J38/'LAKE SUMTER'!$G38," ")</f>
        <v xml:space="preserve"> </v>
      </c>
      <c r="T112" s="47" t="str">
        <f>IFERROR('SCF MANATEE'!$J38/'SCF MANATEE'!$G38," ")</f>
        <v xml:space="preserve"> </v>
      </c>
      <c r="U112" s="47" t="str">
        <f>IFERROR(MIAMI!$J38/MIAMI!$G38," ")</f>
        <v xml:space="preserve"> </v>
      </c>
      <c r="V112" s="47" t="str">
        <f>IFERROR('NORTH FLORIDA'!$J38/'NORTH FLORIDA'!$G38," ")</f>
        <v xml:space="preserve"> </v>
      </c>
      <c r="W112" s="47" t="str">
        <f>IFERROR('NORTHWEST FLORIDA'!$J38/'NORTHWEST FLORIDA'!$G38," ")</f>
        <v xml:space="preserve"> </v>
      </c>
      <c r="X112" s="47" t="str">
        <f>IFERROR('PALM BEACH'!$J38/'PALM BEACH'!$G38," ")</f>
        <v xml:space="preserve"> </v>
      </c>
      <c r="Y112" s="47" t="str">
        <f>IFERROR(PASCO!$J38/PASCO!$G38," ")</f>
        <v xml:space="preserve"> </v>
      </c>
      <c r="Z112" s="47" t="str">
        <f>IFERROR(PENSACOLA!$J38/PENSACOLA!$G38," ")</f>
        <v xml:space="preserve"> </v>
      </c>
      <c r="AA112" s="47" t="str">
        <f>IFERROR(POLK!$J38/POLK!$G38," ")</f>
        <v xml:space="preserve"> </v>
      </c>
      <c r="AB112" s="47" t="str">
        <f>IFERROR('ST JOHNS'!$J38/'ST JOHNS'!$G38," ")</f>
        <v xml:space="preserve"> </v>
      </c>
      <c r="AC112" s="47" t="str">
        <f>IFERROR('ST PETE'!$J38/'ST PETE'!$G38," ")</f>
        <v xml:space="preserve"> </v>
      </c>
      <c r="AD112" s="47" t="str">
        <f>IFERROR('SANTA FE'!$J38/'SANTA FE'!$G38," ")</f>
        <v xml:space="preserve"> </v>
      </c>
      <c r="AE112" s="47" t="str">
        <f>IFERROR(SEMINOLE!$J38/SEMINOLE!$G38," ")</f>
        <v xml:space="preserve"> </v>
      </c>
      <c r="AF112" s="47" t="str">
        <f>IFERROR('SOUTH FLORIDA'!$J38/'SOUTH FLORIDA'!$G38," ")</f>
        <v xml:space="preserve"> </v>
      </c>
      <c r="AG112" s="47" t="str">
        <f>IFERROR(TALLAHASSEE!$J38/TALLAHASSEE!$G38," ")</f>
        <v xml:space="preserve"> </v>
      </c>
      <c r="AH112" s="47" t="str">
        <f>IFERROR(VALENCIA!$J38/VALENCIA!$G38," ")</f>
        <v xml:space="preserve"> </v>
      </c>
      <c r="AI112" s="47" t="str">
        <f>IFERROR('System Summary'!$J38/'System Summary'!$G38," ")</f>
        <v xml:space="preserve"> </v>
      </c>
    </row>
    <row r="113" spans="1:35" x14ac:dyDescent="0.35">
      <c r="A113" s="9"/>
      <c r="B113" s="9"/>
      <c r="C113" s="10" t="s">
        <v>76</v>
      </c>
      <c r="D113" s="9"/>
      <c r="E113" s="9"/>
      <c r="F113" s="9" t="s">
        <v>77</v>
      </c>
      <c r="G113" s="47" t="str">
        <f>IFERROR(EASTERN!J39/EASTERN!G39," ")</f>
        <v xml:space="preserve"> </v>
      </c>
      <c r="H113" s="47" t="str">
        <f>IFERROR(BROWARD!$J39/BROWARD!$G39," ")</f>
        <v xml:space="preserve"> </v>
      </c>
      <c r="I113" s="47">
        <f>IFERROR(CENTRAL!$J39/CENTRAL!$G39," ")</f>
        <v>1</v>
      </c>
      <c r="J113" s="47" t="str">
        <f>IFERROR(CHIPOLA!$J39/CHIPOLA!$G39," ")</f>
        <v xml:space="preserve"> </v>
      </c>
      <c r="K113" s="47" t="str">
        <f>IFERROR(DAYTONA!$J39/DAYTONA!$G39," ")</f>
        <v xml:space="preserve"> </v>
      </c>
      <c r="L113" s="47" t="str">
        <f>IFERROR(SOUTHWESTERN!$J39/SOUTHWESTERN!$G39," ")</f>
        <v xml:space="preserve"> </v>
      </c>
      <c r="M113" s="47" t="str">
        <f>IFERROR('FSC JAX'!$J39/'FSC JAX'!$G39," ")</f>
        <v xml:space="preserve"> </v>
      </c>
      <c r="N113" s="47" t="str">
        <f>IFERROR('FL KEYS'!$J39/'FL KEYS'!$G39," ")</f>
        <v xml:space="preserve"> </v>
      </c>
      <c r="O113" s="47" t="str">
        <f>IFERROR('GULF COAST'!$J39/'GULF COAST'!$G39," ")</f>
        <v xml:space="preserve"> </v>
      </c>
      <c r="P113" s="47" t="str">
        <f>IFERROR(HILLSBOROUGH!$J39/HILLSBOROUGH!$G39," ")</f>
        <v xml:space="preserve"> </v>
      </c>
      <c r="Q113" s="47" t="str">
        <f>IFERROR('INDIAN RIVER'!$J39/'INDIAN RIVER'!$G39," ")</f>
        <v xml:space="preserve"> </v>
      </c>
      <c r="R113" s="47" t="str">
        <f>IFERROR(GATEWAY!$J39/GATEWAY!$G39," ")</f>
        <v xml:space="preserve"> </v>
      </c>
      <c r="S113" s="47" t="str">
        <f>IFERROR('LAKE SUMTER'!$J39/'LAKE SUMTER'!$G39," ")</f>
        <v xml:space="preserve"> </v>
      </c>
      <c r="T113" s="47" t="str">
        <f>IFERROR('SCF MANATEE'!$J39/'SCF MANATEE'!$G39," ")</f>
        <v xml:space="preserve"> </v>
      </c>
      <c r="U113" s="47" t="str">
        <f>IFERROR(MIAMI!$J39/MIAMI!$G39," ")</f>
        <v xml:space="preserve"> </v>
      </c>
      <c r="V113" s="47" t="str">
        <f>IFERROR('NORTH FLORIDA'!$J39/'NORTH FLORIDA'!$G39," ")</f>
        <v xml:space="preserve"> </v>
      </c>
      <c r="W113" s="47">
        <f>IFERROR('NORTHWEST FLORIDA'!$J39/'NORTHWEST FLORIDA'!$G39," ")</f>
        <v>0</v>
      </c>
      <c r="X113" s="47" t="str">
        <f>IFERROR('PALM BEACH'!$J39/'PALM BEACH'!$G39," ")</f>
        <v xml:space="preserve"> </v>
      </c>
      <c r="Y113" s="47" t="str">
        <f>IFERROR(PASCO!$J39/PASCO!$G39," ")</f>
        <v xml:space="preserve"> </v>
      </c>
      <c r="Z113" s="47" t="str">
        <f>IFERROR(PENSACOLA!$J39/PENSACOLA!$G39," ")</f>
        <v xml:space="preserve"> </v>
      </c>
      <c r="AA113" s="47" t="str">
        <f>IFERROR(POLK!$J39/POLK!$G39," ")</f>
        <v xml:space="preserve"> </v>
      </c>
      <c r="AB113" s="47" t="str">
        <f>IFERROR('ST JOHNS'!$J39/'ST JOHNS'!$G39," ")</f>
        <v xml:space="preserve"> </v>
      </c>
      <c r="AC113" s="47" t="str">
        <f>IFERROR('ST PETE'!$J39/'ST PETE'!$G39," ")</f>
        <v xml:space="preserve"> </v>
      </c>
      <c r="AD113" s="47" t="str">
        <f>IFERROR('SANTA FE'!$J39/'SANTA FE'!$G39," ")</f>
        <v xml:space="preserve"> </v>
      </c>
      <c r="AE113" s="47" t="str">
        <f>IFERROR(SEMINOLE!$J39/SEMINOLE!$G39," ")</f>
        <v xml:space="preserve"> </v>
      </c>
      <c r="AF113" s="47" t="str">
        <f>IFERROR('SOUTH FLORIDA'!$J39/'SOUTH FLORIDA'!$G39," ")</f>
        <v xml:space="preserve"> </v>
      </c>
      <c r="AG113" s="47" t="str">
        <f>IFERROR(TALLAHASSEE!$J39/TALLAHASSEE!$G39," ")</f>
        <v xml:space="preserve"> </v>
      </c>
      <c r="AH113" s="47" t="str">
        <f>IFERROR(VALENCIA!$J39/VALENCIA!$G39," ")</f>
        <v xml:space="preserve"> </v>
      </c>
      <c r="AI113" s="47">
        <f>IFERROR('System Summary'!$J39/'System Summary'!$G39," ")</f>
        <v>0.43808201561745241</v>
      </c>
    </row>
    <row r="114" spans="1:35" x14ac:dyDescent="0.35">
      <c r="A114" s="9"/>
      <c r="B114" s="9"/>
      <c r="C114" s="10" t="s">
        <v>78</v>
      </c>
      <c r="D114" s="9"/>
      <c r="E114" s="9"/>
      <c r="F114" s="9" t="s">
        <v>79</v>
      </c>
      <c r="G114" s="47" t="str">
        <f>IFERROR(EASTERN!J40/EASTERN!G40," ")</f>
        <v xml:space="preserve"> </v>
      </c>
      <c r="H114" s="47" t="str">
        <f>IFERROR(BROWARD!$J40/BROWARD!$G40," ")</f>
        <v xml:space="preserve"> </v>
      </c>
      <c r="I114" s="47" t="str">
        <f>IFERROR(CENTRAL!$J40/CENTRAL!$G40," ")</f>
        <v xml:space="preserve"> </v>
      </c>
      <c r="J114" s="47" t="str">
        <f>IFERROR(CHIPOLA!$J40/CHIPOLA!$G40," ")</f>
        <v xml:space="preserve"> </v>
      </c>
      <c r="K114" s="47" t="str">
        <f>IFERROR(DAYTONA!$J40/DAYTONA!$G40," ")</f>
        <v xml:space="preserve"> </v>
      </c>
      <c r="L114" s="47">
        <f>IFERROR(SOUTHWESTERN!$J40/SOUTHWESTERN!$G40," ")</f>
        <v>1</v>
      </c>
      <c r="M114" s="47" t="str">
        <f>IFERROR('FSC JAX'!$J40/'FSC JAX'!$G40," ")</f>
        <v xml:space="preserve"> </v>
      </c>
      <c r="N114" s="47">
        <f>IFERROR('FL KEYS'!$J40/'FL KEYS'!$G40," ")</f>
        <v>1</v>
      </c>
      <c r="O114" s="47" t="str">
        <f>IFERROR('GULF COAST'!$J40/'GULF COAST'!$G40," ")</f>
        <v xml:space="preserve"> </v>
      </c>
      <c r="P114" s="47">
        <f>IFERROR(HILLSBOROUGH!$J40/HILLSBOROUGH!$G40," ")</f>
        <v>0</v>
      </c>
      <c r="Q114" s="47">
        <f>IFERROR('INDIAN RIVER'!$J40/'INDIAN RIVER'!$G40," ")</f>
        <v>1</v>
      </c>
      <c r="R114" s="47" t="str">
        <f>IFERROR(GATEWAY!$J40/GATEWAY!$G40," ")</f>
        <v xml:space="preserve"> </v>
      </c>
      <c r="S114" s="47">
        <f>IFERROR('LAKE SUMTER'!$J40/'LAKE SUMTER'!$G40," ")</f>
        <v>1</v>
      </c>
      <c r="T114" s="47" t="str">
        <f>IFERROR('SCF MANATEE'!$J40/'SCF MANATEE'!$G40," ")</f>
        <v xml:space="preserve"> </v>
      </c>
      <c r="U114" s="47" t="str">
        <f>IFERROR(MIAMI!$J40/MIAMI!$G40," ")</f>
        <v xml:space="preserve"> </v>
      </c>
      <c r="V114" s="47" t="str">
        <f>IFERROR('NORTH FLORIDA'!$J40/'NORTH FLORIDA'!$G40," ")</f>
        <v xml:space="preserve"> </v>
      </c>
      <c r="W114" s="47" t="str">
        <f>IFERROR('NORTHWEST FLORIDA'!$J40/'NORTHWEST FLORIDA'!$G40," ")</f>
        <v xml:space="preserve"> </v>
      </c>
      <c r="X114" s="47">
        <f>IFERROR('PALM BEACH'!$J40/'PALM BEACH'!$G40," ")</f>
        <v>1</v>
      </c>
      <c r="Y114" s="47" t="str">
        <f>IFERROR(PASCO!$J40/PASCO!$G40," ")</f>
        <v xml:space="preserve"> </v>
      </c>
      <c r="Z114" s="47" t="str">
        <f>IFERROR(PENSACOLA!$J40/PENSACOLA!$G40," ")</f>
        <v xml:space="preserve"> </v>
      </c>
      <c r="AA114" s="47">
        <f>IFERROR(POLK!$J40/POLK!$G40," ")</f>
        <v>1</v>
      </c>
      <c r="AB114" s="47" t="str">
        <f>IFERROR('ST JOHNS'!$J40/'ST JOHNS'!$G40," ")</f>
        <v xml:space="preserve"> </v>
      </c>
      <c r="AC114" s="47">
        <f>IFERROR('ST PETE'!$J40/'ST PETE'!$G40," ")</f>
        <v>0.74644255326874032</v>
      </c>
      <c r="AD114" s="47" t="str">
        <f>IFERROR('SANTA FE'!$J40/'SANTA FE'!$G40," ")</f>
        <v xml:space="preserve"> </v>
      </c>
      <c r="AE114" s="47">
        <f>IFERROR(SEMINOLE!$J40/SEMINOLE!$G40," ")</f>
        <v>1</v>
      </c>
      <c r="AF114" s="47" t="str">
        <f>IFERROR('SOUTH FLORIDA'!$J40/'SOUTH FLORIDA'!$G40," ")</f>
        <v xml:space="preserve"> </v>
      </c>
      <c r="AG114" s="47" t="str">
        <f>IFERROR(TALLAHASSEE!$J40/TALLAHASSEE!$G40," ")</f>
        <v xml:space="preserve"> </v>
      </c>
      <c r="AH114" s="47">
        <f>IFERROR(VALENCIA!$J40/VALENCIA!$G40," ")</f>
        <v>1</v>
      </c>
      <c r="AI114" s="47">
        <f>IFERROR('System Summary'!$J40/'System Summary'!$G40," ")</f>
        <v>0.8733275492166358</v>
      </c>
    </row>
    <row r="115" spans="1:35" x14ac:dyDescent="0.35">
      <c r="A115" s="9"/>
      <c r="B115" s="9"/>
      <c r="C115" s="10" t="s">
        <v>80</v>
      </c>
      <c r="D115" s="9"/>
      <c r="E115" s="9"/>
      <c r="F115" s="9" t="s">
        <v>81</v>
      </c>
      <c r="G115" s="47">
        <f>IFERROR(EASTERN!J41/EASTERN!G41," ")</f>
        <v>0</v>
      </c>
      <c r="H115" s="47">
        <f>IFERROR(BROWARD!$J41/BROWARD!$G41," ")</f>
        <v>0.60624518177585429</v>
      </c>
      <c r="I115" s="47" t="str">
        <f>IFERROR(CENTRAL!$J41/CENTRAL!$G41," ")</f>
        <v xml:space="preserve"> </v>
      </c>
      <c r="J115" s="47" t="str">
        <f>IFERROR(CHIPOLA!$J41/CHIPOLA!$G41," ")</f>
        <v xml:space="preserve"> </v>
      </c>
      <c r="K115" s="47" t="str">
        <f>IFERROR(DAYTONA!$J41/DAYTONA!$G41," ")</f>
        <v xml:space="preserve"> </v>
      </c>
      <c r="L115" s="47" t="str">
        <f>IFERROR(SOUTHWESTERN!$J41/SOUTHWESTERN!$G41," ")</f>
        <v xml:space="preserve"> </v>
      </c>
      <c r="M115" s="47" t="str">
        <f>IFERROR('FSC JAX'!$J41/'FSC JAX'!$G41," ")</f>
        <v xml:space="preserve"> </v>
      </c>
      <c r="N115" s="47">
        <f>IFERROR('FL KEYS'!$J41/'FL KEYS'!$G41," ")</f>
        <v>1</v>
      </c>
      <c r="O115" s="47">
        <f>IFERROR('GULF COAST'!$J41/'GULF COAST'!$G41," ")</f>
        <v>0</v>
      </c>
      <c r="P115" s="47" t="str">
        <f>IFERROR(HILLSBOROUGH!$J41/HILLSBOROUGH!$G41," ")</f>
        <v xml:space="preserve"> </v>
      </c>
      <c r="Q115" s="47">
        <f>IFERROR('INDIAN RIVER'!$J41/'INDIAN RIVER'!$G41," ")</f>
        <v>1</v>
      </c>
      <c r="R115" s="47" t="str">
        <f>IFERROR(GATEWAY!$J41/GATEWAY!$G41," ")</f>
        <v xml:space="preserve"> </v>
      </c>
      <c r="S115" s="47" t="str">
        <f>IFERROR('LAKE SUMTER'!$J41/'LAKE SUMTER'!$G41," ")</f>
        <v xml:space="preserve"> </v>
      </c>
      <c r="T115" s="47" t="str">
        <f>IFERROR('SCF MANATEE'!$J41/'SCF MANATEE'!$G41," ")</f>
        <v xml:space="preserve"> </v>
      </c>
      <c r="U115" s="47">
        <f>IFERROR(MIAMI!$J41/MIAMI!$G41," ")</f>
        <v>1</v>
      </c>
      <c r="V115" s="47" t="str">
        <f>IFERROR('NORTH FLORIDA'!$J41/'NORTH FLORIDA'!$G41," ")</f>
        <v xml:space="preserve"> </v>
      </c>
      <c r="W115" s="47" t="str">
        <f>IFERROR('NORTHWEST FLORIDA'!$J41/'NORTHWEST FLORIDA'!$G41," ")</f>
        <v xml:space="preserve"> </v>
      </c>
      <c r="X115" s="47">
        <f>IFERROR('PALM BEACH'!$J41/'PALM BEACH'!$G41," ")</f>
        <v>1</v>
      </c>
      <c r="Y115" s="47" t="str">
        <f>IFERROR(PASCO!$J41/PASCO!$G41," ")</f>
        <v xml:space="preserve"> </v>
      </c>
      <c r="Z115" s="47" t="str">
        <f>IFERROR(PENSACOLA!$J41/PENSACOLA!$G41," ")</f>
        <v xml:space="preserve"> </v>
      </c>
      <c r="AA115" s="47" t="str">
        <f>IFERROR(POLK!$J41/POLK!$G41," ")</f>
        <v xml:space="preserve"> </v>
      </c>
      <c r="AB115" s="47" t="str">
        <f>IFERROR('ST JOHNS'!$J41/'ST JOHNS'!$G41," ")</f>
        <v xml:space="preserve"> </v>
      </c>
      <c r="AC115" s="47" t="str">
        <f>IFERROR('ST PETE'!$J41/'ST PETE'!$G41," ")</f>
        <v xml:space="preserve"> </v>
      </c>
      <c r="AD115" s="47" t="str">
        <f>IFERROR('SANTA FE'!$J41/'SANTA FE'!$G41," ")</f>
        <v xml:space="preserve"> </v>
      </c>
      <c r="AE115" s="47">
        <f>IFERROR(SEMINOLE!$J41/SEMINOLE!$G41," ")</f>
        <v>0</v>
      </c>
      <c r="AF115" s="47" t="str">
        <f>IFERROR('SOUTH FLORIDA'!$J41/'SOUTH FLORIDA'!$G41," ")</f>
        <v xml:space="preserve"> </v>
      </c>
      <c r="AG115" s="47" t="str">
        <f>IFERROR(TALLAHASSEE!$J41/TALLAHASSEE!$G41," ")</f>
        <v xml:space="preserve"> </v>
      </c>
      <c r="AH115" s="47">
        <f>IFERROR(VALENCIA!$J41/VALENCIA!$G41," ")</f>
        <v>1</v>
      </c>
      <c r="AI115" s="47">
        <f>IFERROR('System Summary'!$J41/'System Summary'!$G41," ")</f>
        <v>0.78481688709112918</v>
      </c>
    </row>
    <row r="116" spans="1:35" x14ac:dyDescent="0.35">
      <c r="A116" s="9"/>
      <c r="B116" s="9" t="s">
        <v>82</v>
      </c>
      <c r="C116" s="10"/>
      <c r="D116" s="9"/>
      <c r="E116" s="9" t="s">
        <v>83</v>
      </c>
      <c r="F116" s="9"/>
      <c r="G116" s="47">
        <f>IFERROR(EASTERN!J42/EASTERN!G42," ")</f>
        <v>0.85807357536000184</v>
      </c>
      <c r="H116" s="47">
        <f>IFERROR(BROWARD!$J42/BROWARD!$G42," ")</f>
        <v>0.88333270010401066</v>
      </c>
      <c r="I116" s="47">
        <f>IFERROR(CENTRAL!$J42/CENTRAL!$G42," ")</f>
        <v>0.9481640571701937</v>
      </c>
      <c r="J116" s="47">
        <f>IFERROR(CHIPOLA!$J42/CHIPOLA!$G42," ")</f>
        <v>0.77328605984616372</v>
      </c>
      <c r="K116" s="47">
        <f>IFERROR(DAYTONA!$J42/DAYTONA!$G42," ")</f>
        <v>0.6253741126761545</v>
      </c>
      <c r="L116" s="47">
        <f>IFERROR(SOUTHWESTERN!$J42/SOUTHWESTERN!$G42," ")</f>
        <v>0.54748066045478649</v>
      </c>
      <c r="M116" s="47">
        <f>IFERROR('FSC JAX'!$J42/'FSC JAX'!$G42," ")</f>
        <v>0.81933180411809259</v>
      </c>
      <c r="N116" s="47">
        <f>IFERROR('FL KEYS'!$J42/'FL KEYS'!$G42," ")</f>
        <v>0.83028593924224436</v>
      </c>
      <c r="O116" s="47">
        <f>IFERROR('GULF COAST'!$J42/'GULF COAST'!$G42," ")</f>
        <v>0.83658577692785185</v>
      </c>
      <c r="P116" s="47">
        <f>IFERROR(HILLSBOROUGH!$J42/HILLSBOROUGH!$G42," ")</f>
        <v>0.67018057087499516</v>
      </c>
      <c r="Q116" s="47">
        <f>IFERROR('INDIAN RIVER'!$J42/'INDIAN RIVER'!$G42," ")</f>
        <v>0.6613955791445757</v>
      </c>
      <c r="R116" s="47">
        <f>IFERROR(GATEWAY!$J42/GATEWAY!$G42," ")</f>
        <v>0.23738548125078768</v>
      </c>
      <c r="S116" s="47">
        <f>IFERROR('LAKE SUMTER'!$J42/'LAKE SUMTER'!$G42," ")</f>
        <v>0.83158121329876966</v>
      </c>
      <c r="T116" s="47">
        <f>IFERROR('SCF MANATEE'!$J42/'SCF MANATEE'!$G42," ")</f>
        <v>0.85491873874167534</v>
      </c>
      <c r="U116" s="47">
        <f>IFERROR(MIAMI!$J42/MIAMI!$G42," ")</f>
        <v>0.86411461626211716</v>
      </c>
      <c r="V116" s="47">
        <f>IFERROR('NORTH FLORIDA'!$J42/'NORTH FLORIDA'!$G42," ")</f>
        <v>0.58011662835808187</v>
      </c>
      <c r="W116" s="47">
        <f>IFERROR('NORTHWEST FLORIDA'!$J42/'NORTHWEST FLORIDA'!$G42," ")</f>
        <v>0.71728261570343077</v>
      </c>
      <c r="X116" s="47">
        <f>IFERROR('PALM BEACH'!$J42/'PALM BEACH'!$G42," ")</f>
        <v>0.57759975474914982</v>
      </c>
      <c r="Y116" s="47">
        <f>IFERROR(PASCO!$J42/PASCO!$G42," ")</f>
        <v>0.84322978503157509</v>
      </c>
      <c r="Z116" s="47">
        <f>IFERROR(PENSACOLA!$J42/PENSACOLA!$G42," ")</f>
        <v>0.8941457212928674</v>
      </c>
      <c r="AA116" s="47">
        <f>IFERROR(POLK!$J42/POLK!$G42," ")</f>
        <v>0.73830980547677383</v>
      </c>
      <c r="AB116" s="47">
        <f>IFERROR('ST JOHNS'!$J42/'ST JOHNS'!$G42," ")</f>
        <v>0.69599878248736691</v>
      </c>
      <c r="AC116" s="47">
        <f>IFERROR('ST PETE'!$J42/'ST PETE'!$G42," ")</f>
        <v>0.20994935082057492</v>
      </c>
      <c r="AD116" s="47">
        <f>IFERROR('SANTA FE'!$J42/'SANTA FE'!$G42," ")</f>
        <v>0.81799162352033361</v>
      </c>
      <c r="AE116" s="47">
        <f>IFERROR(SEMINOLE!$J42/SEMINOLE!$G42," ")</f>
        <v>0.69104029410245904</v>
      </c>
      <c r="AF116" s="47">
        <f>IFERROR('SOUTH FLORIDA'!$J42/'SOUTH FLORIDA'!$G42," ")</f>
        <v>0.69670777876067413</v>
      </c>
      <c r="AG116" s="47">
        <f>IFERROR(TALLAHASSEE!$J42/TALLAHASSEE!$G42," ")</f>
        <v>0.87509933637816617</v>
      </c>
      <c r="AH116" s="47">
        <f>IFERROR(VALENCIA!$J42/VALENCIA!$G42," ")</f>
        <v>0.64277715994177098</v>
      </c>
      <c r="AI116" s="47">
        <f>IFERROR('System Summary'!$J42/'System Summary'!$G42," ")</f>
        <v>0.75565669638792066</v>
      </c>
    </row>
    <row r="117" spans="1:35" x14ac:dyDescent="0.35">
      <c r="A117" s="9"/>
      <c r="B117" s="9"/>
      <c r="C117" s="10" t="s">
        <v>84</v>
      </c>
      <c r="D117" s="9"/>
      <c r="E117" s="9"/>
      <c r="F117" s="9" t="s">
        <v>85</v>
      </c>
      <c r="G117" s="47" t="str">
        <f>IFERROR(EASTERN!J43/EASTERN!G43," ")</f>
        <v xml:space="preserve"> </v>
      </c>
      <c r="H117" s="47">
        <f>IFERROR(BROWARD!$J43/BROWARD!$G43," ")</f>
        <v>1</v>
      </c>
      <c r="I117" s="47">
        <f>IFERROR(CENTRAL!$J43/CENTRAL!$G43," ")</f>
        <v>1</v>
      </c>
      <c r="J117" s="47">
        <f>IFERROR(CHIPOLA!$J43/CHIPOLA!$G43," ")</f>
        <v>0.90000027596652621</v>
      </c>
      <c r="K117" s="47">
        <f>IFERROR(DAYTONA!$J43/DAYTONA!$G43," ")</f>
        <v>1</v>
      </c>
      <c r="L117" s="48" t="str">
        <f>IFERROR(SOUTHWESTERN!$J43/SOUTHWESTERN!$G43," ")</f>
        <v xml:space="preserve"> </v>
      </c>
      <c r="M117" s="47" t="str">
        <f>IFERROR('FSC JAX'!$J43/'FSC JAX'!$G43," ")</f>
        <v xml:space="preserve"> </v>
      </c>
      <c r="N117" s="47">
        <f>IFERROR('FL KEYS'!$J43/'FL KEYS'!$G43," ")</f>
        <v>1</v>
      </c>
      <c r="O117" s="47">
        <f>IFERROR('GULF COAST'!$J43/'GULF COAST'!$G43," ")</f>
        <v>1</v>
      </c>
      <c r="P117" s="47">
        <f>IFERROR(HILLSBOROUGH!$J43/HILLSBOROUGH!$G43," ")</f>
        <v>1</v>
      </c>
      <c r="Q117" s="47" t="str">
        <f>IFERROR('INDIAN RIVER'!$J43/'INDIAN RIVER'!$G43," ")</f>
        <v xml:space="preserve"> </v>
      </c>
      <c r="R117" s="47" t="str">
        <f>IFERROR(GATEWAY!$J43/GATEWAY!$G43," ")</f>
        <v xml:space="preserve"> </v>
      </c>
      <c r="S117" s="47">
        <f>IFERROR('LAKE SUMTER'!$J43/'LAKE SUMTER'!$G43," ")</f>
        <v>1</v>
      </c>
      <c r="T117" s="47" t="str">
        <f>IFERROR('SCF MANATEE'!$J43/'SCF MANATEE'!$G43," ")</f>
        <v xml:space="preserve"> </v>
      </c>
      <c r="U117" s="47">
        <f>IFERROR(MIAMI!$J43/MIAMI!$G43," ")</f>
        <v>1</v>
      </c>
      <c r="V117" s="47">
        <f>IFERROR('NORTH FLORIDA'!$J43/'NORTH FLORIDA'!$G43," ")</f>
        <v>1</v>
      </c>
      <c r="W117" s="47">
        <f>IFERROR('NORTHWEST FLORIDA'!$J43/'NORTHWEST FLORIDA'!$G43," ")</f>
        <v>0.70019360500347827</v>
      </c>
      <c r="X117" s="47" t="str">
        <f>IFERROR('PALM BEACH'!$J43/'PALM BEACH'!$G43," ")</f>
        <v xml:space="preserve"> </v>
      </c>
      <c r="Y117" s="47">
        <f>IFERROR(PASCO!$J43/PASCO!$G43," ")</f>
        <v>1</v>
      </c>
      <c r="Z117" s="47">
        <f>IFERROR(PENSACOLA!$J43/PENSACOLA!$G43," ")</f>
        <v>1</v>
      </c>
      <c r="AA117" s="47">
        <f>IFERROR(POLK!$J43/POLK!$G43," ")</f>
        <v>1</v>
      </c>
      <c r="AB117" s="47">
        <f>IFERROR('ST JOHNS'!$J43/'ST JOHNS'!$G43," ")</f>
        <v>0.79999999999999993</v>
      </c>
      <c r="AC117" s="47">
        <f>IFERROR('ST PETE'!$J43/'ST PETE'!$G43," ")</f>
        <v>0</v>
      </c>
      <c r="AD117" s="47">
        <f>IFERROR('SANTA FE'!$J43/'SANTA FE'!$G43," ")</f>
        <v>0.95000000059700418</v>
      </c>
      <c r="AE117" s="47">
        <f>IFERROR(SEMINOLE!$J43/SEMINOLE!$G43," ")</f>
        <v>1</v>
      </c>
      <c r="AF117" s="47">
        <f>IFERROR('SOUTH FLORIDA'!$J43/'SOUTH FLORIDA'!$G43," ")</f>
        <v>1</v>
      </c>
      <c r="AG117" s="47">
        <f>IFERROR(TALLAHASSEE!$J43/TALLAHASSEE!$G43," ")</f>
        <v>1</v>
      </c>
      <c r="AH117" s="47" t="str">
        <f>IFERROR(VALENCIA!$J43/VALENCIA!$G43," ")</f>
        <v xml:space="preserve"> </v>
      </c>
      <c r="AI117" s="47">
        <f>IFERROR('System Summary'!$J43/'System Summary'!$G43," ")</f>
        <v>0.9616225285003055</v>
      </c>
    </row>
    <row r="118" spans="1:35" x14ac:dyDescent="0.35">
      <c r="A118" s="9"/>
      <c r="B118" s="9"/>
      <c r="C118" s="10" t="s">
        <v>86</v>
      </c>
      <c r="D118" s="9"/>
      <c r="E118" s="9"/>
      <c r="F118" s="9" t="s">
        <v>87</v>
      </c>
      <c r="G118" s="47">
        <f>IFERROR(EASTERN!J44/EASTERN!G44," ")</f>
        <v>1</v>
      </c>
      <c r="H118" s="47" t="str">
        <f>IFERROR(BROWARD!$J44/BROWARD!$G44," ")</f>
        <v xml:space="preserve"> </v>
      </c>
      <c r="I118" s="47" t="str">
        <f>IFERROR(CENTRAL!$J44/CENTRAL!$G44," ")</f>
        <v xml:space="preserve"> </v>
      </c>
      <c r="J118" s="47" t="str">
        <f>IFERROR(CHIPOLA!$J44/CHIPOLA!$G44," ")</f>
        <v xml:space="preserve"> </v>
      </c>
      <c r="K118" s="47">
        <f>IFERROR(DAYTONA!$J44/DAYTONA!$G44," ")</f>
        <v>1</v>
      </c>
      <c r="L118" s="47">
        <f>IFERROR(SOUTHWESTERN!$J44/SOUTHWESTERN!$G44," ")</f>
        <v>0.74999977112493921</v>
      </c>
      <c r="M118" s="47">
        <f>IFERROR('FSC JAX'!$J44/'FSC JAX'!$G44," ")</f>
        <v>1</v>
      </c>
      <c r="N118" s="47" t="str">
        <f>IFERROR('FL KEYS'!$J44/'FL KEYS'!$G44," ")</f>
        <v xml:space="preserve"> </v>
      </c>
      <c r="O118" s="47">
        <f>IFERROR('GULF COAST'!$J44/'GULF COAST'!$G44," ")</f>
        <v>1</v>
      </c>
      <c r="P118" s="47">
        <f>IFERROR(HILLSBOROUGH!$J44/HILLSBOROUGH!$G44," ")</f>
        <v>0.40091707474816218</v>
      </c>
      <c r="Q118" s="47">
        <f>IFERROR('INDIAN RIVER'!$J44/'INDIAN RIVER'!$G44," ")</f>
        <v>1</v>
      </c>
      <c r="R118" s="47">
        <f>IFERROR(GATEWAY!$J44/GATEWAY!$G44," ")</f>
        <v>0.19999999818896855</v>
      </c>
      <c r="S118" s="47" t="str">
        <f>IFERROR('LAKE SUMTER'!$J44/'LAKE SUMTER'!$G44," ")</f>
        <v xml:space="preserve"> </v>
      </c>
      <c r="T118" s="47">
        <f>IFERROR('SCF MANATEE'!$J44/'SCF MANATEE'!$G44," ")</f>
        <v>0.9499999988448562</v>
      </c>
      <c r="U118" s="47">
        <f>IFERROR(MIAMI!$J44/MIAMI!$G44," ")</f>
        <v>1</v>
      </c>
      <c r="V118" s="47" t="str">
        <f>IFERROR('NORTH FLORIDA'!$J44/'NORTH FLORIDA'!$G44," ")</f>
        <v xml:space="preserve"> </v>
      </c>
      <c r="W118" s="47">
        <f>IFERROR('NORTHWEST FLORIDA'!$J44/'NORTHWEST FLORIDA'!$G44," ")</f>
        <v>1</v>
      </c>
      <c r="X118" s="47">
        <f>IFERROR('PALM BEACH'!$J44/'PALM BEACH'!$G44," ")</f>
        <v>0</v>
      </c>
      <c r="Y118" s="47">
        <f>IFERROR(PASCO!$J44/PASCO!$G44," ")</f>
        <v>1</v>
      </c>
      <c r="Z118" s="47" t="str">
        <f>IFERROR(PENSACOLA!$J44/PENSACOLA!$G44," ")</f>
        <v xml:space="preserve"> </v>
      </c>
      <c r="AA118" s="47">
        <f>IFERROR(POLK!$J44/POLK!$G44," ")</f>
        <v>1</v>
      </c>
      <c r="AB118" s="47" t="str">
        <f>IFERROR('ST JOHNS'!$J44/'ST JOHNS'!$G44," ")</f>
        <v xml:space="preserve"> </v>
      </c>
      <c r="AC118" s="47">
        <f>IFERROR('ST PETE'!$J44/'ST PETE'!$G44," ")</f>
        <v>0</v>
      </c>
      <c r="AD118" s="47">
        <f>IFERROR('SANTA FE'!$J44/'SANTA FE'!$G44," ")</f>
        <v>0.95000000144418684</v>
      </c>
      <c r="AE118" s="47">
        <f>IFERROR(SEMINOLE!$J44/SEMINOLE!$G44," ")</f>
        <v>1</v>
      </c>
      <c r="AF118" s="47" t="str">
        <f>IFERROR('SOUTH FLORIDA'!$J44/'SOUTH FLORIDA'!$G44," ")</f>
        <v xml:space="preserve"> </v>
      </c>
      <c r="AG118" s="47" t="str">
        <f>IFERROR(TALLAHASSEE!$J44/TALLAHASSEE!$G44," ")</f>
        <v xml:space="preserve"> </v>
      </c>
      <c r="AH118" s="47">
        <f>IFERROR(VALENCIA!$J44/VALENCIA!$G44," ")</f>
        <v>1</v>
      </c>
      <c r="AI118" s="47">
        <f>IFERROR('System Summary'!$J44/'System Summary'!$G44," ")</f>
        <v>0.8725588726101019</v>
      </c>
    </row>
    <row r="119" spans="1:35" x14ac:dyDescent="0.35">
      <c r="A119" s="9"/>
      <c r="B119" s="9"/>
      <c r="C119" s="10" t="s">
        <v>88</v>
      </c>
      <c r="D119" s="9"/>
      <c r="E119" s="9"/>
      <c r="F119" s="9" t="s">
        <v>89</v>
      </c>
      <c r="G119" s="47" t="str">
        <f>IFERROR(EASTERN!J45/EASTERN!G45," ")</f>
        <v xml:space="preserve"> </v>
      </c>
      <c r="H119" s="47" t="str">
        <f>IFERROR(BROWARD!$J45/BROWARD!$G45," ")</f>
        <v xml:space="preserve"> </v>
      </c>
      <c r="I119" s="47" t="str">
        <f>IFERROR(CENTRAL!$J45/CENTRAL!$G45," ")</f>
        <v xml:space="preserve"> </v>
      </c>
      <c r="J119" s="47" t="str">
        <f>IFERROR(CHIPOLA!$J45/CHIPOLA!$G45," ")</f>
        <v xml:space="preserve"> </v>
      </c>
      <c r="K119" s="47">
        <f>IFERROR(DAYTONA!$J45/DAYTONA!$G45," ")</f>
        <v>0</v>
      </c>
      <c r="L119" s="47" t="str">
        <f>IFERROR(SOUTHWESTERN!$J45/SOUTHWESTERN!$G45," ")</f>
        <v xml:space="preserve"> </v>
      </c>
      <c r="M119" s="47" t="str">
        <f>IFERROR('FSC JAX'!$J45/'FSC JAX'!$G45," ")</f>
        <v xml:space="preserve"> </v>
      </c>
      <c r="N119" s="47" t="str">
        <f>IFERROR('FL KEYS'!$J45/'FL KEYS'!$G45," ")</f>
        <v xml:space="preserve"> </v>
      </c>
      <c r="O119" s="47" t="str">
        <f>IFERROR('GULF COAST'!$J45/'GULF COAST'!$G45," ")</f>
        <v xml:space="preserve"> </v>
      </c>
      <c r="P119" s="47">
        <f>IFERROR(HILLSBOROUGH!$J45/HILLSBOROUGH!$G45," ")</f>
        <v>1</v>
      </c>
      <c r="Q119" s="47" t="str">
        <f>IFERROR('INDIAN RIVER'!$J45/'INDIAN RIVER'!$G45," ")</f>
        <v xml:space="preserve"> </v>
      </c>
      <c r="R119" s="47">
        <f>IFERROR(GATEWAY!$J45/GATEWAY!$G45," ")</f>
        <v>1</v>
      </c>
      <c r="S119" s="47" t="str">
        <f>IFERROR('LAKE SUMTER'!$J45/'LAKE SUMTER'!$G45," ")</f>
        <v xml:space="preserve"> </v>
      </c>
      <c r="T119" s="47">
        <f>IFERROR('SCF MANATEE'!$J45/'SCF MANATEE'!$G45," ")</f>
        <v>0.95000000000000007</v>
      </c>
      <c r="U119" s="47">
        <f>IFERROR(MIAMI!$J45/MIAMI!$G45," ")</f>
        <v>1</v>
      </c>
      <c r="V119" s="47" t="str">
        <f>IFERROR('NORTH FLORIDA'!$J45/'NORTH FLORIDA'!$G45," ")</f>
        <v xml:space="preserve"> </v>
      </c>
      <c r="W119" s="47" t="str">
        <f>IFERROR('NORTHWEST FLORIDA'!$J45/'NORTHWEST FLORIDA'!$G45," ")</f>
        <v xml:space="preserve"> </v>
      </c>
      <c r="X119" s="47">
        <f>IFERROR('PALM BEACH'!$J45/'PALM BEACH'!$G45," ")</f>
        <v>1</v>
      </c>
      <c r="Y119" s="47" t="str">
        <f>IFERROR(PASCO!$J45/PASCO!$G45," ")</f>
        <v xml:space="preserve"> </v>
      </c>
      <c r="Z119" s="47" t="str">
        <f>IFERROR(PENSACOLA!$J45/PENSACOLA!$G45," ")</f>
        <v xml:space="preserve"> </v>
      </c>
      <c r="AA119" s="47" t="str">
        <f>IFERROR(POLK!$J45/POLK!$G45," ")</f>
        <v xml:space="preserve"> </v>
      </c>
      <c r="AB119" s="47" t="str">
        <f>IFERROR('ST JOHNS'!$J45/'ST JOHNS'!$G45," ")</f>
        <v xml:space="preserve"> </v>
      </c>
      <c r="AC119" s="47">
        <f>IFERROR('ST PETE'!$J45/'ST PETE'!$G45," ")</f>
        <v>0</v>
      </c>
      <c r="AD119" s="47" t="str">
        <f>IFERROR('SANTA FE'!$J45/'SANTA FE'!$G45," ")</f>
        <v xml:space="preserve"> </v>
      </c>
      <c r="AE119" s="47">
        <f>IFERROR(SEMINOLE!$J45/SEMINOLE!$G45," ")</f>
        <v>1</v>
      </c>
      <c r="AF119" s="47" t="str">
        <f>IFERROR('SOUTH FLORIDA'!$J45/'SOUTH FLORIDA'!$G45," ")</f>
        <v xml:space="preserve"> </v>
      </c>
      <c r="AG119" s="47" t="str">
        <f>IFERROR(TALLAHASSEE!$J45/TALLAHASSEE!$G45," ")</f>
        <v xml:space="preserve"> </v>
      </c>
      <c r="AH119" s="47" t="str">
        <f>IFERROR(VALENCIA!$J45/VALENCIA!$G45," ")</f>
        <v xml:space="preserve"> </v>
      </c>
      <c r="AI119" s="47">
        <f>IFERROR('System Summary'!$J45/'System Summary'!$G45," ")</f>
        <v>0.85923170685055494</v>
      </c>
    </row>
    <row r="120" spans="1:35" x14ac:dyDescent="0.35">
      <c r="A120" s="9"/>
      <c r="B120" s="9"/>
      <c r="C120" s="10" t="s">
        <v>90</v>
      </c>
      <c r="D120" s="9"/>
      <c r="E120" s="9"/>
      <c r="F120" s="9" t="s">
        <v>91</v>
      </c>
      <c r="G120" s="47" t="str">
        <f>IFERROR(EASTERN!J46/EASTERN!G46," ")</f>
        <v xml:space="preserve"> </v>
      </c>
      <c r="H120" s="47" t="str">
        <f>IFERROR(BROWARD!$J46/BROWARD!$G46," ")</f>
        <v xml:space="preserve"> </v>
      </c>
      <c r="I120" s="47" t="str">
        <f>IFERROR(CENTRAL!$J46/CENTRAL!$G46," ")</f>
        <v xml:space="preserve"> </v>
      </c>
      <c r="J120" s="47" t="str">
        <f>IFERROR(CHIPOLA!$J46/CHIPOLA!$G46," ")</f>
        <v xml:space="preserve"> </v>
      </c>
      <c r="K120" s="47">
        <f>IFERROR(DAYTONA!$J46/DAYTONA!$G46," ")</f>
        <v>1</v>
      </c>
      <c r="L120" s="47" t="str">
        <f>IFERROR(SOUTHWESTERN!$J46/SOUTHWESTERN!$G46," ")</f>
        <v xml:space="preserve"> </v>
      </c>
      <c r="M120" s="47" t="str">
        <f>IFERROR('FSC JAX'!$J46/'FSC JAX'!$G46," ")</f>
        <v xml:space="preserve"> </v>
      </c>
      <c r="N120" s="47" t="str">
        <f>IFERROR('FL KEYS'!$J46/'FL KEYS'!$G46," ")</f>
        <v xml:space="preserve"> </v>
      </c>
      <c r="O120" s="47" t="str">
        <f>IFERROR('GULF COAST'!$J46/'GULF COAST'!$G46," ")</f>
        <v xml:space="preserve"> </v>
      </c>
      <c r="P120" s="47">
        <f>IFERROR(HILLSBOROUGH!$J46/HILLSBOROUGH!$G46," ")</f>
        <v>1</v>
      </c>
      <c r="Q120" s="47" t="str">
        <f>IFERROR('INDIAN RIVER'!$J46/'INDIAN RIVER'!$G46," ")</f>
        <v xml:space="preserve"> </v>
      </c>
      <c r="R120" s="47" t="str">
        <f>IFERROR(GATEWAY!$J46/GATEWAY!$G46," ")</f>
        <v xml:space="preserve"> </v>
      </c>
      <c r="S120" s="47" t="str">
        <f>IFERROR('LAKE SUMTER'!$J46/'LAKE SUMTER'!$G46," ")</f>
        <v xml:space="preserve"> </v>
      </c>
      <c r="T120" s="47" t="str">
        <f>IFERROR('SCF MANATEE'!$J46/'SCF MANATEE'!$G46," ")</f>
        <v xml:space="preserve"> </v>
      </c>
      <c r="U120" s="47">
        <f>IFERROR(MIAMI!$J46/MIAMI!$G46," ")</f>
        <v>1</v>
      </c>
      <c r="V120" s="47" t="str">
        <f>IFERROR('NORTH FLORIDA'!$J46/'NORTH FLORIDA'!$G46," ")</f>
        <v xml:space="preserve"> </v>
      </c>
      <c r="W120" s="47" t="str">
        <f>IFERROR('NORTHWEST FLORIDA'!$J46/'NORTHWEST FLORIDA'!$G46," ")</f>
        <v xml:space="preserve"> </v>
      </c>
      <c r="X120" s="47">
        <f>IFERROR('PALM BEACH'!$J46/'PALM BEACH'!$G46," ")</f>
        <v>1</v>
      </c>
      <c r="Y120" s="47">
        <f>IFERROR(PASCO!$J46/PASCO!$G46," ")</f>
        <v>1</v>
      </c>
      <c r="Z120" s="47" t="str">
        <f>IFERROR(PENSACOLA!$J46/PENSACOLA!$G46," ")</f>
        <v xml:space="preserve"> </v>
      </c>
      <c r="AA120" s="47" t="str">
        <f>IFERROR(POLK!$J46/POLK!$G46," ")</f>
        <v xml:space="preserve"> </v>
      </c>
      <c r="AB120" s="47" t="str">
        <f>IFERROR('ST JOHNS'!$J46/'ST JOHNS'!$G46," ")</f>
        <v xml:space="preserve"> </v>
      </c>
      <c r="AC120" s="47">
        <f>IFERROR('ST PETE'!$J46/'ST PETE'!$G46," ")</f>
        <v>0</v>
      </c>
      <c r="AD120" s="47">
        <f>IFERROR('SANTA FE'!$J46/'SANTA FE'!$G46," ")</f>
        <v>0.9500000098902297</v>
      </c>
      <c r="AE120" s="47" t="str">
        <f>IFERROR(SEMINOLE!$J46/SEMINOLE!$G46," ")</f>
        <v xml:space="preserve"> </v>
      </c>
      <c r="AF120" s="47" t="str">
        <f>IFERROR('SOUTH FLORIDA'!$J46/'SOUTH FLORIDA'!$G46," ")</f>
        <v xml:space="preserve"> </v>
      </c>
      <c r="AG120" s="47" t="str">
        <f>IFERROR(TALLAHASSEE!$J46/TALLAHASSEE!$G46," ")</f>
        <v xml:space="preserve"> </v>
      </c>
      <c r="AH120" s="47" t="str">
        <f>IFERROR(VALENCIA!$J46/VALENCIA!$G46," ")</f>
        <v xml:space="preserve"> </v>
      </c>
      <c r="AI120" s="47">
        <f>IFERROR('System Summary'!$J46/'System Summary'!$G46," ")</f>
        <v>0.88156637782936342</v>
      </c>
    </row>
    <row r="121" spans="1:35" x14ac:dyDescent="0.35">
      <c r="A121" s="9"/>
      <c r="B121" s="9"/>
      <c r="C121" s="10" t="s">
        <v>92</v>
      </c>
      <c r="D121" s="9"/>
      <c r="E121" s="9"/>
      <c r="F121" s="9" t="s">
        <v>93</v>
      </c>
      <c r="G121" s="47">
        <f>IFERROR(EASTERN!J47/EASTERN!G47," ")</f>
        <v>0</v>
      </c>
      <c r="H121" s="47">
        <f>IFERROR(BROWARD!$J47/BROWARD!$G47," ")</f>
        <v>0.60989771699819173</v>
      </c>
      <c r="I121" s="47">
        <f>IFERROR(CENTRAL!$J47/CENTRAL!$G47," ")</f>
        <v>0.50464200094672385</v>
      </c>
      <c r="J121" s="47">
        <f>IFERROR(CHIPOLA!$J47/CHIPOLA!$G47," ")</f>
        <v>0</v>
      </c>
      <c r="K121" s="47">
        <f>IFERROR(DAYTONA!$J47/DAYTONA!$G47," ")</f>
        <v>0</v>
      </c>
      <c r="L121" s="47">
        <f>IFERROR(SOUTHWESTERN!$J47/SOUTHWESTERN!$G47," ")</f>
        <v>0</v>
      </c>
      <c r="M121" s="47">
        <f>IFERROR('FSC JAX'!$J47/'FSC JAX'!$G47," ")</f>
        <v>0</v>
      </c>
      <c r="N121" s="47">
        <f>IFERROR('FL KEYS'!$J47/'FL KEYS'!$G47," ")</f>
        <v>0</v>
      </c>
      <c r="O121" s="47">
        <f>IFERROR('GULF COAST'!$J47/'GULF COAST'!$G47," ")</f>
        <v>0</v>
      </c>
      <c r="P121" s="47">
        <f>IFERROR(HILLSBOROUGH!$J47/HILLSBOROUGH!$G47," ")</f>
        <v>0</v>
      </c>
      <c r="Q121" s="47">
        <f>IFERROR('INDIAN RIVER'!$J47/'INDIAN RIVER'!$G47," ")</f>
        <v>1.1500474768617401E-2</v>
      </c>
      <c r="R121" s="47">
        <f>IFERROR(GATEWAY!$J47/GATEWAY!$G47," ")</f>
        <v>0</v>
      </c>
      <c r="S121" s="47">
        <f>IFERROR('LAKE SUMTER'!$J47/'LAKE SUMTER'!$G47," ")</f>
        <v>0</v>
      </c>
      <c r="T121" s="47">
        <f>IFERROR('SCF MANATEE'!$J47/'SCF MANATEE'!$G47," ")</f>
        <v>0.5</v>
      </c>
      <c r="U121" s="47">
        <f>IFERROR(MIAMI!$J47/MIAMI!$G47," ")</f>
        <v>0</v>
      </c>
      <c r="V121" s="47">
        <f>IFERROR('NORTH FLORIDA'!$J47/'NORTH FLORIDA'!$G47," ")</f>
        <v>0</v>
      </c>
      <c r="W121" s="47">
        <f>IFERROR('NORTHWEST FLORIDA'!$J47/'NORTHWEST FLORIDA'!$G47," ")</f>
        <v>0</v>
      </c>
      <c r="X121" s="47">
        <f>IFERROR('PALM BEACH'!$J47/'PALM BEACH'!$G47," ")</f>
        <v>0</v>
      </c>
      <c r="Y121" s="47">
        <f>IFERROR(PASCO!$J47/PASCO!$G47," ")</f>
        <v>0</v>
      </c>
      <c r="Z121" s="47">
        <f>IFERROR(PENSACOLA!$J47/PENSACOLA!$G47," ")</f>
        <v>0</v>
      </c>
      <c r="AA121" s="47">
        <f>IFERROR(POLK!$J47/POLK!$G47," ")</f>
        <v>0</v>
      </c>
      <c r="AB121" s="47">
        <f>IFERROR('ST JOHNS'!$J47/'ST JOHNS'!$G47," ")</f>
        <v>0</v>
      </c>
      <c r="AC121" s="47">
        <f>IFERROR('ST PETE'!$J47/'ST PETE'!$G47," ")</f>
        <v>4.6011971584497772E-3</v>
      </c>
      <c r="AD121" s="47">
        <f>IFERROR('SANTA FE'!$J47/'SANTA FE'!$G47," ")</f>
        <v>1.1920978234792762E-2</v>
      </c>
      <c r="AE121" s="47">
        <f>IFERROR(SEMINOLE!$J47/SEMINOLE!$G47," ")</f>
        <v>9.4988410931097604E-3</v>
      </c>
      <c r="AF121" s="47">
        <f>IFERROR('SOUTH FLORIDA'!$J47/'SOUTH FLORIDA'!$G47," ")</f>
        <v>0</v>
      </c>
      <c r="AG121" s="47">
        <f>IFERROR(TALLAHASSEE!$J47/TALLAHASSEE!$G47," ")</f>
        <v>0</v>
      </c>
      <c r="AH121" s="47">
        <f>IFERROR(VALENCIA!$J47/VALENCIA!$G47," ")</f>
        <v>0</v>
      </c>
      <c r="AI121" s="47">
        <f>IFERROR('System Summary'!$J47/'System Summary'!$G47," ")</f>
        <v>7.5285709768206685E-2</v>
      </c>
    </row>
    <row r="122" spans="1:35" x14ac:dyDescent="0.35">
      <c r="A122" s="9"/>
      <c r="B122" s="9"/>
      <c r="C122" s="10" t="s">
        <v>94</v>
      </c>
      <c r="D122" s="9"/>
      <c r="E122" s="9"/>
      <c r="F122" s="9" t="s">
        <v>95</v>
      </c>
      <c r="G122" s="47" t="str">
        <f>IFERROR(EASTERN!J48/EASTERN!G48," ")</f>
        <v xml:space="preserve"> </v>
      </c>
      <c r="H122" s="47" t="str">
        <f>IFERROR(BROWARD!$J48/BROWARD!$G48," ")</f>
        <v xml:space="preserve"> </v>
      </c>
      <c r="I122" s="47" t="str">
        <f>IFERROR(CENTRAL!$J48/CENTRAL!$G48," ")</f>
        <v xml:space="preserve"> </v>
      </c>
      <c r="J122" s="47" t="str">
        <f>IFERROR(CHIPOLA!$J48/CHIPOLA!$G48," ")</f>
        <v xml:space="preserve"> </v>
      </c>
      <c r="K122" s="47" t="str">
        <f>IFERROR(DAYTONA!$J48/DAYTONA!$G48," ")</f>
        <v xml:space="preserve"> </v>
      </c>
      <c r="L122" s="47" t="str">
        <f>IFERROR(SOUTHWESTERN!$J48/SOUTHWESTERN!$G48," ")</f>
        <v xml:space="preserve"> </v>
      </c>
      <c r="M122" s="47">
        <f>IFERROR('FSC JAX'!$J48/'FSC JAX'!$G48," ")</f>
        <v>1</v>
      </c>
      <c r="N122" s="47" t="str">
        <f>IFERROR('FL KEYS'!$J48/'FL KEYS'!$G48," ")</f>
        <v xml:space="preserve"> </v>
      </c>
      <c r="O122" s="47" t="str">
        <f>IFERROR('GULF COAST'!$J48/'GULF COAST'!$G48," ")</f>
        <v xml:space="preserve"> </v>
      </c>
      <c r="P122" s="47" t="str">
        <f>IFERROR(HILLSBOROUGH!$J48/HILLSBOROUGH!$G48," ")</f>
        <v xml:space="preserve"> </v>
      </c>
      <c r="Q122" s="47" t="str">
        <f>IFERROR('INDIAN RIVER'!$J48/'INDIAN RIVER'!$G48," ")</f>
        <v xml:space="preserve"> </v>
      </c>
      <c r="R122" s="47" t="str">
        <f>IFERROR(GATEWAY!$J48/GATEWAY!$G48," ")</f>
        <v xml:space="preserve"> </v>
      </c>
      <c r="S122" s="47" t="str">
        <f>IFERROR('LAKE SUMTER'!$J48/'LAKE SUMTER'!$G48," ")</f>
        <v xml:space="preserve"> </v>
      </c>
      <c r="T122" s="47" t="str">
        <f>IFERROR('SCF MANATEE'!$J48/'SCF MANATEE'!$G48," ")</f>
        <v xml:space="preserve"> </v>
      </c>
      <c r="U122" s="47">
        <f>IFERROR(MIAMI!$J48/MIAMI!$G48," ")</f>
        <v>0</v>
      </c>
      <c r="V122" s="47" t="str">
        <f>IFERROR('NORTH FLORIDA'!$J48/'NORTH FLORIDA'!$G48," ")</f>
        <v xml:space="preserve"> </v>
      </c>
      <c r="W122" s="47">
        <f>IFERROR('NORTHWEST FLORIDA'!$J48/'NORTHWEST FLORIDA'!$G48," ")</f>
        <v>1</v>
      </c>
      <c r="X122" s="47" t="str">
        <f>IFERROR('PALM BEACH'!$J48/'PALM BEACH'!$G48," ")</f>
        <v xml:space="preserve"> </v>
      </c>
      <c r="Y122" s="47" t="str">
        <f>IFERROR(PASCO!$J48/PASCO!$G48," ")</f>
        <v xml:space="preserve"> </v>
      </c>
      <c r="Z122" s="47" t="str">
        <f>IFERROR(PENSACOLA!$J48/PENSACOLA!$G48," ")</f>
        <v xml:space="preserve"> </v>
      </c>
      <c r="AA122" s="47">
        <f>IFERROR(POLK!$J48/POLK!$G48," ")</f>
        <v>1</v>
      </c>
      <c r="AB122" s="47" t="str">
        <f>IFERROR('ST JOHNS'!$J48/'ST JOHNS'!$G48," ")</f>
        <v xml:space="preserve"> </v>
      </c>
      <c r="AC122" s="47" t="str">
        <f>IFERROR('ST PETE'!$J48/'ST PETE'!$G48," ")</f>
        <v xml:space="preserve"> </v>
      </c>
      <c r="AD122" s="47" t="str">
        <f>IFERROR('SANTA FE'!$J48/'SANTA FE'!$G48," ")</f>
        <v xml:space="preserve"> </v>
      </c>
      <c r="AE122" s="47" t="str">
        <f>IFERROR(SEMINOLE!$J48/SEMINOLE!$G48," ")</f>
        <v xml:space="preserve"> </v>
      </c>
      <c r="AF122" s="47" t="str">
        <f>IFERROR('SOUTH FLORIDA'!$J48/'SOUTH FLORIDA'!$G48," ")</f>
        <v xml:space="preserve"> </v>
      </c>
      <c r="AG122" s="47" t="str">
        <f>IFERROR(TALLAHASSEE!$J48/TALLAHASSEE!$G48," ")</f>
        <v xml:space="preserve"> </v>
      </c>
      <c r="AH122" s="47" t="str">
        <f>IFERROR(VALENCIA!$J48/VALENCIA!$G48," ")</f>
        <v xml:space="preserve"> </v>
      </c>
      <c r="AI122" s="47">
        <f>IFERROR('System Summary'!$J48/'System Summary'!$G48," ")</f>
        <v>0.44761916149877468</v>
      </c>
    </row>
    <row r="123" spans="1:35" x14ac:dyDescent="0.35">
      <c r="A123" s="9"/>
      <c r="B123" s="9"/>
      <c r="C123" s="10" t="s">
        <v>96</v>
      </c>
      <c r="D123" s="9"/>
      <c r="E123" s="9"/>
      <c r="F123" s="9" t="s">
        <v>97</v>
      </c>
      <c r="G123" s="47">
        <f>IFERROR(EASTERN!J49/EASTERN!G49," ")</f>
        <v>0</v>
      </c>
      <c r="H123" s="47">
        <f>IFERROR(BROWARD!$J49/BROWARD!$G49," ")</f>
        <v>0.6041509344445718</v>
      </c>
      <c r="I123" s="47">
        <f>IFERROR(CENTRAL!$J49/CENTRAL!$G49," ")</f>
        <v>0</v>
      </c>
      <c r="J123" s="47" t="str">
        <f>IFERROR(CHIPOLA!$J49/CHIPOLA!$G49," ")</f>
        <v xml:space="preserve"> </v>
      </c>
      <c r="K123" s="47">
        <f>IFERROR(DAYTONA!$J49/DAYTONA!$G49," ")</f>
        <v>0</v>
      </c>
      <c r="L123" s="47">
        <f>IFERROR(SOUTHWESTERN!$J49/SOUTHWESTERN!$G49," ")</f>
        <v>0</v>
      </c>
      <c r="M123" s="47">
        <f>IFERROR('FSC JAX'!$J49/'FSC JAX'!$G49," ")</f>
        <v>0</v>
      </c>
      <c r="N123" s="47">
        <f>IFERROR('FL KEYS'!$J49/'FL KEYS'!$G49," ")</f>
        <v>0</v>
      </c>
      <c r="O123" s="47">
        <f>IFERROR('GULF COAST'!$J49/'GULF COAST'!$G49," ")</f>
        <v>0</v>
      </c>
      <c r="P123" s="47">
        <f>IFERROR(HILLSBOROUGH!$J49/HILLSBOROUGH!$G49," ")</f>
        <v>0</v>
      </c>
      <c r="Q123" s="47">
        <f>IFERROR('INDIAN RIVER'!$J49/'INDIAN RIVER'!$G49," ")</f>
        <v>0</v>
      </c>
      <c r="R123" s="47">
        <f>IFERROR(GATEWAY!$J49/GATEWAY!$G49," ")</f>
        <v>0</v>
      </c>
      <c r="S123" s="47">
        <f>IFERROR('LAKE SUMTER'!$J49/'LAKE SUMTER'!$G49," ")</f>
        <v>0</v>
      </c>
      <c r="T123" s="47">
        <f>IFERROR('SCF MANATEE'!$J49/'SCF MANATEE'!$G49," ")</f>
        <v>0.5</v>
      </c>
      <c r="U123" s="47">
        <f>IFERROR(MIAMI!$J49/MIAMI!$G49," ")</f>
        <v>0</v>
      </c>
      <c r="V123" s="47">
        <f>IFERROR('NORTH FLORIDA'!$J49/'NORTH FLORIDA'!$G49," ")</f>
        <v>0</v>
      </c>
      <c r="W123" s="47">
        <f>IFERROR('NORTHWEST FLORIDA'!$J49/'NORTHWEST FLORIDA'!$G49," ")</f>
        <v>0</v>
      </c>
      <c r="X123" s="47">
        <f>IFERROR('PALM BEACH'!$J49/'PALM BEACH'!$G49," ")</f>
        <v>0</v>
      </c>
      <c r="Y123" s="47">
        <f>IFERROR(PASCO!$J49/PASCO!$G49," ")</f>
        <v>0</v>
      </c>
      <c r="Z123" s="47">
        <f>IFERROR(PENSACOLA!$J49/PENSACOLA!$G49," ")</f>
        <v>0</v>
      </c>
      <c r="AA123" s="47">
        <f>IFERROR(POLK!$J49/POLK!$G49," ")</f>
        <v>0</v>
      </c>
      <c r="AB123" s="47" t="str">
        <f>IFERROR('ST JOHNS'!$J49/'ST JOHNS'!$G49," ")</f>
        <v xml:space="preserve"> </v>
      </c>
      <c r="AC123" s="47">
        <f>IFERROR('ST PETE'!$J49/'ST PETE'!$G49," ")</f>
        <v>0</v>
      </c>
      <c r="AD123" s="47">
        <f>IFERROR('SANTA FE'!$J49/'SANTA FE'!$G49," ")</f>
        <v>0</v>
      </c>
      <c r="AE123" s="47">
        <f>IFERROR(SEMINOLE!$J49/SEMINOLE!$G49," ")</f>
        <v>0</v>
      </c>
      <c r="AF123" s="47">
        <f>IFERROR('SOUTH FLORIDA'!$J49/'SOUTH FLORIDA'!$G49," ")</f>
        <v>0</v>
      </c>
      <c r="AG123" s="47">
        <f>IFERROR(TALLAHASSEE!$J49/TALLAHASSEE!$G49," ")</f>
        <v>0</v>
      </c>
      <c r="AH123" s="47">
        <f>IFERROR(VALENCIA!$J49/VALENCIA!$G49," ")</f>
        <v>0</v>
      </c>
      <c r="AI123" s="47">
        <f>IFERROR('System Summary'!$J49/'System Summary'!$G49," ")</f>
        <v>8.848733334238866E-2</v>
      </c>
    </row>
    <row r="124" spans="1:35" x14ac:dyDescent="0.35">
      <c r="A124" s="9"/>
      <c r="B124" s="9"/>
      <c r="C124" s="10" t="s">
        <v>98</v>
      </c>
      <c r="D124" s="9"/>
      <c r="E124" s="9"/>
      <c r="F124" s="9" t="s">
        <v>99</v>
      </c>
      <c r="G124" s="47" t="str">
        <f>IFERROR(EASTERN!J50/EASTERN!G50," ")</f>
        <v xml:space="preserve"> </v>
      </c>
      <c r="H124" s="47">
        <f>IFERROR(BROWARD!$J50/BROWARD!$G50," ")</f>
        <v>0.95738591395043404</v>
      </c>
      <c r="I124" s="47">
        <f>IFERROR(CENTRAL!$J50/CENTRAL!$G50," ")</f>
        <v>1</v>
      </c>
      <c r="J124" s="47" t="str">
        <f>IFERROR(CHIPOLA!$J50/CHIPOLA!$G50," ")</f>
        <v xml:space="preserve"> </v>
      </c>
      <c r="K124" s="47">
        <f>IFERROR(DAYTONA!$J50/DAYTONA!$G50," ")</f>
        <v>0</v>
      </c>
      <c r="L124" s="47" t="str">
        <f>IFERROR(SOUTHWESTERN!$J50/SOUTHWESTERN!$G50," ")</f>
        <v xml:space="preserve"> </v>
      </c>
      <c r="M124" s="47" t="str">
        <f>IFERROR('FSC JAX'!$J50/'FSC JAX'!$G50," ")</f>
        <v xml:space="preserve"> </v>
      </c>
      <c r="N124" s="47" t="str">
        <f>IFERROR('FL KEYS'!$J50/'FL KEYS'!$G50," ")</f>
        <v xml:space="preserve"> </v>
      </c>
      <c r="O124" s="47">
        <f>IFERROR('GULF COAST'!$J50/'GULF COAST'!$G50," ")</f>
        <v>0</v>
      </c>
      <c r="P124" s="47">
        <f>IFERROR(HILLSBOROUGH!$J50/HILLSBOROUGH!$G50," ")</f>
        <v>1</v>
      </c>
      <c r="Q124" s="47" t="str">
        <f>IFERROR('INDIAN RIVER'!$J50/'INDIAN RIVER'!$G50," ")</f>
        <v xml:space="preserve"> </v>
      </c>
      <c r="R124" s="47" t="str">
        <f>IFERROR(GATEWAY!$J50/GATEWAY!$G50," ")</f>
        <v xml:space="preserve"> </v>
      </c>
      <c r="S124" s="47" t="str">
        <f>IFERROR('LAKE SUMTER'!$J50/'LAKE SUMTER'!$G50," ")</f>
        <v xml:space="preserve"> </v>
      </c>
      <c r="T124" s="47" t="str">
        <f>IFERROR('SCF MANATEE'!$J50/'SCF MANATEE'!$G50," ")</f>
        <v xml:space="preserve"> </v>
      </c>
      <c r="U124" s="47" t="str">
        <f>IFERROR(MIAMI!$J50/MIAMI!$G50," ")</f>
        <v xml:space="preserve"> </v>
      </c>
      <c r="V124" s="47" t="str">
        <f>IFERROR('NORTH FLORIDA'!$J50/'NORTH FLORIDA'!$G50," ")</f>
        <v xml:space="preserve"> </v>
      </c>
      <c r="W124" s="47" t="str">
        <f>IFERROR('NORTHWEST FLORIDA'!$J50/'NORTHWEST FLORIDA'!$G50," ")</f>
        <v xml:space="preserve"> </v>
      </c>
      <c r="X124" s="47">
        <f>IFERROR('PALM BEACH'!$J50/'PALM BEACH'!$G50," ")</f>
        <v>0</v>
      </c>
      <c r="Y124" s="47" t="str">
        <f>IFERROR(PASCO!$J50/PASCO!$G50," ")</f>
        <v xml:space="preserve"> </v>
      </c>
      <c r="Z124" s="47">
        <f>IFERROR(PENSACOLA!$J50/PENSACOLA!$G50," ")</f>
        <v>0</v>
      </c>
      <c r="AA124" s="47" t="str">
        <f>IFERROR(POLK!$J50/POLK!$G50," ")</f>
        <v xml:space="preserve"> </v>
      </c>
      <c r="AB124" s="47">
        <f>IFERROR('ST JOHNS'!$J50/'ST JOHNS'!$G50," ")</f>
        <v>1</v>
      </c>
      <c r="AC124" s="47">
        <f>IFERROR('ST PETE'!$J50/'ST PETE'!$G50," ")</f>
        <v>0</v>
      </c>
      <c r="AD124" s="47" t="str">
        <f>IFERROR('SANTA FE'!$J50/'SANTA FE'!$G50," ")</f>
        <v xml:space="preserve"> </v>
      </c>
      <c r="AE124" s="47">
        <f>IFERROR(SEMINOLE!$J50/SEMINOLE!$G50," ")</f>
        <v>1</v>
      </c>
      <c r="AF124" s="47" t="str">
        <f>IFERROR('SOUTH FLORIDA'!$J50/'SOUTH FLORIDA'!$G50," ")</f>
        <v xml:space="preserve"> </v>
      </c>
      <c r="AG124" s="47" t="str">
        <f>IFERROR(TALLAHASSEE!$J50/TALLAHASSEE!$G50," ")</f>
        <v xml:space="preserve"> </v>
      </c>
      <c r="AH124" s="47" t="str">
        <f>IFERROR(VALENCIA!$J50/VALENCIA!$G50," ")</f>
        <v xml:space="preserve"> </v>
      </c>
      <c r="AI124" s="47">
        <f>IFERROR('System Summary'!$J50/'System Summary'!$G50," ")</f>
        <v>0.45495642386404878</v>
      </c>
    </row>
    <row r="125" spans="1:35" x14ac:dyDescent="0.35">
      <c r="A125" s="9"/>
      <c r="B125" s="9"/>
      <c r="C125" s="10" t="s">
        <v>100</v>
      </c>
      <c r="D125" s="9"/>
      <c r="E125" s="9"/>
      <c r="F125" s="9" t="s">
        <v>101</v>
      </c>
      <c r="G125" s="47" t="str">
        <f>IFERROR(EASTERN!J51/EASTERN!G51," ")</f>
        <v xml:space="preserve"> </v>
      </c>
      <c r="H125" s="47" t="str">
        <f>IFERROR(BROWARD!$J51/BROWARD!$G51," ")</f>
        <v xml:space="preserve"> </v>
      </c>
      <c r="I125" s="47" t="str">
        <f>IFERROR(CENTRAL!$J51/CENTRAL!$G51," ")</f>
        <v xml:space="preserve"> </v>
      </c>
      <c r="J125" s="47" t="str">
        <f>IFERROR(CHIPOLA!$J51/CHIPOLA!$G51," ")</f>
        <v xml:space="preserve"> </v>
      </c>
      <c r="K125" s="47" t="str">
        <f>IFERROR(DAYTONA!$J51/DAYTONA!$G51," ")</f>
        <v xml:space="preserve"> </v>
      </c>
      <c r="L125" s="47" t="str">
        <f>IFERROR(SOUTHWESTERN!$J51/SOUTHWESTERN!$G51," ")</f>
        <v xml:space="preserve"> </v>
      </c>
      <c r="M125" s="47" t="str">
        <f>IFERROR('FSC JAX'!$J51/'FSC JAX'!$G51," ")</f>
        <v xml:space="preserve"> </v>
      </c>
      <c r="N125" s="47" t="str">
        <f>IFERROR('FL KEYS'!$J51/'FL KEYS'!$G51," ")</f>
        <v xml:space="preserve"> </v>
      </c>
      <c r="O125" s="47" t="str">
        <f>IFERROR('GULF COAST'!$J51/'GULF COAST'!$G51," ")</f>
        <v xml:space="preserve"> </v>
      </c>
      <c r="P125" s="47" t="str">
        <f>IFERROR(HILLSBOROUGH!$J51/HILLSBOROUGH!$G51," ")</f>
        <v xml:space="preserve"> </v>
      </c>
      <c r="Q125" s="47" t="str">
        <f>IFERROR('INDIAN RIVER'!$J51/'INDIAN RIVER'!$G51," ")</f>
        <v xml:space="preserve"> </v>
      </c>
      <c r="R125" s="47" t="str">
        <f>IFERROR(GATEWAY!$J51/GATEWAY!$G51," ")</f>
        <v xml:space="preserve"> </v>
      </c>
      <c r="S125" s="47" t="str">
        <f>IFERROR('LAKE SUMTER'!$J51/'LAKE SUMTER'!$G51," ")</f>
        <v xml:space="preserve"> </v>
      </c>
      <c r="T125" s="47" t="str">
        <f>IFERROR('SCF MANATEE'!$J51/'SCF MANATEE'!$G51," ")</f>
        <v xml:space="preserve"> </v>
      </c>
      <c r="U125" s="47" t="str">
        <f>IFERROR(MIAMI!$J51/MIAMI!$G51," ")</f>
        <v xml:space="preserve"> </v>
      </c>
      <c r="V125" s="47" t="str">
        <f>IFERROR('NORTH FLORIDA'!$J51/'NORTH FLORIDA'!$G51," ")</f>
        <v xml:space="preserve"> </v>
      </c>
      <c r="W125" s="47" t="str">
        <f>IFERROR('NORTHWEST FLORIDA'!$J51/'NORTHWEST FLORIDA'!$G51," ")</f>
        <v xml:space="preserve"> </v>
      </c>
      <c r="X125" s="47" t="str">
        <f>IFERROR('PALM BEACH'!$J51/'PALM BEACH'!$G51," ")</f>
        <v xml:space="preserve"> </v>
      </c>
      <c r="Y125" s="47" t="str">
        <f>IFERROR(PASCO!$J51/PASCO!$G51," ")</f>
        <v xml:space="preserve"> </v>
      </c>
      <c r="Z125" s="47" t="str">
        <f>IFERROR(PENSACOLA!$J51/PENSACOLA!$G51," ")</f>
        <v xml:space="preserve"> </v>
      </c>
      <c r="AA125" s="47" t="str">
        <f>IFERROR(POLK!$J51/POLK!$G51," ")</f>
        <v xml:space="preserve"> </v>
      </c>
      <c r="AB125" s="47" t="str">
        <f>IFERROR('ST JOHNS'!$J51/'ST JOHNS'!$G51," ")</f>
        <v xml:space="preserve"> </v>
      </c>
      <c r="AC125" s="47" t="str">
        <f>IFERROR('ST PETE'!$J51/'ST PETE'!$G51," ")</f>
        <v xml:space="preserve"> </v>
      </c>
      <c r="AD125" s="47" t="str">
        <f>IFERROR('SANTA FE'!$J51/'SANTA FE'!$G51," ")</f>
        <v xml:space="preserve"> </v>
      </c>
      <c r="AE125" s="47" t="str">
        <f>IFERROR(SEMINOLE!$J51/SEMINOLE!$G51," ")</f>
        <v xml:space="preserve"> </v>
      </c>
      <c r="AF125" s="47" t="str">
        <f>IFERROR('SOUTH FLORIDA'!$J51/'SOUTH FLORIDA'!$G51," ")</f>
        <v xml:space="preserve"> </v>
      </c>
      <c r="AG125" s="47" t="str">
        <f>IFERROR(TALLAHASSEE!$J51/TALLAHASSEE!$G51," ")</f>
        <v xml:space="preserve"> </v>
      </c>
      <c r="AH125" s="47" t="str">
        <f>IFERROR(VALENCIA!$J51/VALENCIA!$G51," ")</f>
        <v xml:space="preserve"> </v>
      </c>
      <c r="AI125" s="47" t="str">
        <f>IFERROR('System Summary'!$J51/'System Summary'!$G51," ")</f>
        <v xml:space="preserve"> </v>
      </c>
    </row>
    <row r="126" spans="1:35" x14ac:dyDescent="0.35">
      <c r="A126" s="9"/>
      <c r="B126" s="9"/>
      <c r="C126" s="10" t="s">
        <v>102</v>
      </c>
      <c r="D126" s="9"/>
      <c r="E126" s="9"/>
      <c r="F126" s="9" t="s">
        <v>103</v>
      </c>
      <c r="G126" s="47" t="str">
        <f>IFERROR(EASTERN!J52/EASTERN!G52," ")</f>
        <v xml:space="preserve"> </v>
      </c>
      <c r="H126" s="47">
        <f>IFERROR(BROWARD!$J52/BROWARD!$G52," ")</f>
        <v>0.84602654154847579</v>
      </c>
      <c r="I126" s="47" t="str">
        <f>IFERROR(CENTRAL!$J52/CENTRAL!$G52," ")</f>
        <v xml:space="preserve"> </v>
      </c>
      <c r="J126" s="47" t="str">
        <f>IFERROR(CHIPOLA!$J52/CHIPOLA!$G52," ")</f>
        <v xml:space="preserve"> </v>
      </c>
      <c r="K126" s="47" t="str">
        <f>IFERROR(DAYTONA!$J52/DAYTONA!$G52," ")</f>
        <v xml:space="preserve"> </v>
      </c>
      <c r="L126" s="47" t="str">
        <f>IFERROR(SOUTHWESTERN!$J52/SOUTHWESTERN!$G52," ")</f>
        <v xml:space="preserve"> </v>
      </c>
      <c r="M126" s="47">
        <f>IFERROR('FSC JAX'!$J52/'FSC JAX'!$G52," ")</f>
        <v>1</v>
      </c>
      <c r="N126" s="47" t="str">
        <f>IFERROR('FL KEYS'!$J52/'FL KEYS'!$G52," ")</f>
        <v xml:space="preserve"> </v>
      </c>
      <c r="O126" s="47" t="str">
        <f>IFERROR('GULF COAST'!$J52/'GULF COAST'!$G52," ")</f>
        <v xml:space="preserve"> </v>
      </c>
      <c r="P126" s="47" t="str">
        <f>IFERROR(HILLSBOROUGH!$J52/HILLSBOROUGH!$G52," ")</f>
        <v xml:space="preserve"> </v>
      </c>
      <c r="Q126" s="47" t="str">
        <f>IFERROR('INDIAN RIVER'!$J52/'INDIAN RIVER'!$G52," ")</f>
        <v xml:space="preserve"> </v>
      </c>
      <c r="R126" s="47" t="str">
        <f>IFERROR(GATEWAY!$J52/GATEWAY!$G52," ")</f>
        <v xml:space="preserve"> </v>
      </c>
      <c r="S126" s="47" t="str">
        <f>IFERROR('LAKE SUMTER'!$J52/'LAKE SUMTER'!$G52," ")</f>
        <v xml:space="preserve"> </v>
      </c>
      <c r="T126" s="47">
        <f>IFERROR('SCF MANATEE'!$J52/'SCF MANATEE'!$G52," ")</f>
        <v>0</v>
      </c>
      <c r="U126" s="47" t="str">
        <f>IFERROR(MIAMI!$J52/MIAMI!$G52," ")</f>
        <v xml:space="preserve"> </v>
      </c>
      <c r="V126" s="47" t="str">
        <f>IFERROR('NORTH FLORIDA'!$J52/'NORTH FLORIDA'!$G52," ")</f>
        <v xml:space="preserve"> </v>
      </c>
      <c r="W126" s="47" t="str">
        <f>IFERROR('NORTHWEST FLORIDA'!$J52/'NORTHWEST FLORIDA'!$G52," ")</f>
        <v xml:space="preserve"> </v>
      </c>
      <c r="X126" s="47" t="str">
        <f>IFERROR('PALM BEACH'!$J52/'PALM BEACH'!$G52," ")</f>
        <v xml:space="preserve"> </v>
      </c>
      <c r="Y126" s="47" t="str">
        <f>IFERROR(PASCO!$J52/PASCO!$G52," ")</f>
        <v xml:space="preserve"> </v>
      </c>
      <c r="Z126" s="47" t="str">
        <f>IFERROR(PENSACOLA!$J52/PENSACOLA!$G52," ")</f>
        <v xml:space="preserve"> </v>
      </c>
      <c r="AA126" s="47" t="str">
        <f>IFERROR(POLK!$J52/POLK!$G52," ")</f>
        <v xml:space="preserve"> </v>
      </c>
      <c r="AB126" s="47" t="str">
        <f>IFERROR('ST JOHNS'!$J52/'ST JOHNS'!$G52," ")</f>
        <v xml:space="preserve"> </v>
      </c>
      <c r="AC126" s="47">
        <f>IFERROR('ST PETE'!$J52/'ST PETE'!$G52," ")</f>
        <v>0</v>
      </c>
      <c r="AD126" s="47" t="str">
        <f>IFERROR('SANTA FE'!$J52/'SANTA FE'!$G52," ")</f>
        <v xml:space="preserve"> </v>
      </c>
      <c r="AE126" s="47">
        <f>IFERROR(SEMINOLE!$J52/SEMINOLE!$G52," ")</f>
        <v>1</v>
      </c>
      <c r="AF126" s="47" t="str">
        <f>IFERROR('SOUTH FLORIDA'!$J52/'SOUTH FLORIDA'!$G52," ")</f>
        <v xml:space="preserve"> </v>
      </c>
      <c r="AG126" s="47" t="str">
        <f>IFERROR(TALLAHASSEE!$J52/TALLAHASSEE!$G52," ")</f>
        <v xml:space="preserve"> </v>
      </c>
      <c r="AH126" s="47" t="str">
        <f>IFERROR(VALENCIA!$J52/VALENCIA!$G52," ")</f>
        <v xml:space="preserve"> </v>
      </c>
      <c r="AI126" s="47">
        <f>IFERROR('System Summary'!$J52/'System Summary'!$G52," ")</f>
        <v>0.79372942382165956</v>
      </c>
    </row>
    <row r="127" spans="1:35" x14ac:dyDescent="0.35">
      <c r="A127" s="9"/>
      <c r="B127" s="9"/>
      <c r="C127" s="10" t="s">
        <v>104</v>
      </c>
      <c r="D127" s="9"/>
      <c r="E127" s="9"/>
      <c r="F127" s="9" t="s">
        <v>105</v>
      </c>
      <c r="G127" s="47" t="str">
        <f>IFERROR(EASTERN!J53/EASTERN!G53," ")</f>
        <v xml:space="preserve"> </v>
      </c>
      <c r="H127" s="47" t="str">
        <f>IFERROR(BROWARD!$J53/BROWARD!$G53," ")</f>
        <v xml:space="preserve"> </v>
      </c>
      <c r="I127" s="47" t="str">
        <f>IFERROR(CENTRAL!$J53/CENTRAL!$G53," ")</f>
        <v xml:space="preserve"> </v>
      </c>
      <c r="J127" s="47">
        <f>IFERROR(CHIPOLA!$J53/CHIPOLA!$G53," ")</f>
        <v>0</v>
      </c>
      <c r="K127" s="47">
        <f>IFERROR(DAYTONA!$J53/DAYTONA!$G53," ")</f>
        <v>0</v>
      </c>
      <c r="L127" s="47" t="str">
        <f>IFERROR(SOUTHWESTERN!$J53/SOUTHWESTERN!$G53," ")</f>
        <v xml:space="preserve"> </v>
      </c>
      <c r="M127" s="47" t="str">
        <f>IFERROR('FSC JAX'!$J53/'FSC JAX'!$G53," ")</f>
        <v xml:space="preserve"> </v>
      </c>
      <c r="N127" s="47" t="str">
        <f>IFERROR('FL KEYS'!$J53/'FL KEYS'!$G53," ")</f>
        <v xml:space="preserve"> </v>
      </c>
      <c r="O127" s="47" t="str">
        <f>IFERROR('GULF COAST'!$J53/'GULF COAST'!$G53," ")</f>
        <v xml:space="preserve"> </v>
      </c>
      <c r="P127" s="47">
        <f>IFERROR(HILLSBOROUGH!$J53/HILLSBOROUGH!$G53," ")</f>
        <v>1</v>
      </c>
      <c r="Q127" s="47" t="str">
        <f>IFERROR('INDIAN RIVER'!$J53/'INDIAN RIVER'!$G53," ")</f>
        <v xml:space="preserve"> </v>
      </c>
      <c r="R127" s="47" t="str">
        <f>IFERROR(GATEWAY!$J53/GATEWAY!$G53," ")</f>
        <v xml:space="preserve"> </v>
      </c>
      <c r="S127" s="47" t="str">
        <f>IFERROR('LAKE SUMTER'!$J53/'LAKE SUMTER'!$G53," ")</f>
        <v xml:space="preserve"> </v>
      </c>
      <c r="T127" s="47">
        <f>IFERROR('SCF MANATEE'!$J53/'SCF MANATEE'!$G53," ")</f>
        <v>0</v>
      </c>
      <c r="U127" s="47">
        <f>IFERROR(MIAMI!$J53/MIAMI!$G53," ")</f>
        <v>0</v>
      </c>
      <c r="V127" s="47" t="str">
        <f>IFERROR('NORTH FLORIDA'!$J53/'NORTH FLORIDA'!$G53," ")</f>
        <v xml:space="preserve"> </v>
      </c>
      <c r="W127" s="47" t="str">
        <f>IFERROR('NORTHWEST FLORIDA'!$J53/'NORTHWEST FLORIDA'!$G53," ")</f>
        <v xml:space="preserve"> </v>
      </c>
      <c r="X127" s="47">
        <f>IFERROR('PALM BEACH'!$J53/'PALM BEACH'!$G53," ")</f>
        <v>0</v>
      </c>
      <c r="Y127" s="47" t="str">
        <f>IFERROR(PASCO!$J53/PASCO!$G53," ")</f>
        <v xml:space="preserve"> </v>
      </c>
      <c r="Z127" s="47" t="str">
        <f>IFERROR(PENSACOLA!$J53/PENSACOLA!$G53," ")</f>
        <v xml:space="preserve"> </v>
      </c>
      <c r="AA127" s="47" t="str">
        <f>IFERROR(POLK!$J53/POLK!$G53," ")</f>
        <v xml:space="preserve"> </v>
      </c>
      <c r="AB127" s="47" t="str">
        <f>IFERROR('ST JOHNS'!$J53/'ST JOHNS'!$G53," ")</f>
        <v xml:space="preserve"> </v>
      </c>
      <c r="AC127" s="47">
        <f>IFERROR('ST PETE'!$J53/'ST PETE'!$G53," ")</f>
        <v>0</v>
      </c>
      <c r="AD127" s="47" t="str">
        <f>IFERROR('SANTA FE'!$J53/'SANTA FE'!$G53," ")</f>
        <v xml:space="preserve"> </v>
      </c>
      <c r="AE127" s="47" t="str">
        <f>IFERROR(SEMINOLE!$J53/SEMINOLE!$G53," ")</f>
        <v xml:space="preserve"> </v>
      </c>
      <c r="AF127" s="47" t="str">
        <f>IFERROR('SOUTH FLORIDA'!$J53/'SOUTH FLORIDA'!$G53," ")</f>
        <v xml:space="preserve"> </v>
      </c>
      <c r="AG127" s="47" t="str">
        <f>IFERROR(TALLAHASSEE!$J53/TALLAHASSEE!$G53," ")</f>
        <v xml:space="preserve"> </v>
      </c>
      <c r="AH127" s="47">
        <f>IFERROR(VALENCIA!$J53/VALENCIA!$G53," ")</f>
        <v>0</v>
      </c>
      <c r="AI127" s="47">
        <f>IFERROR('System Summary'!$J53/'System Summary'!$G53," ")</f>
        <v>4.9282084992206911E-2</v>
      </c>
    </row>
    <row r="128" spans="1:35" x14ac:dyDescent="0.35">
      <c r="A128" s="9"/>
      <c r="B128" s="9"/>
      <c r="C128" s="10" t="s">
        <v>106</v>
      </c>
      <c r="D128" s="9"/>
      <c r="E128" s="9"/>
      <c r="F128" s="9" t="s">
        <v>107</v>
      </c>
      <c r="G128" s="47" t="str">
        <f>IFERROR(EASTERN!J54/EASTERN!G54," ")</f>
        <v xml:space="preserve"> </v>
      </c>
      <c r="H128" s="47">
        <f>IFERROR(BROWARD!$J54/BROWARD!$G54," ")</f>
        <v>0.99685742225045337</v>
      </c>
      <c r="I128" s="47" t="str">
        <f>IFERROR(CENTRAL!$J54/CENTRAL!$G54," ")</f>
        <v xml:space="preserve"> </v>
      </c>
      <c r="J128" s="47">
        <f>IFERROR(CHIPOLA!$J54/CHIPOLA!$G54," ")</f>
        <v>1</v>
      </c>
      <c r="K128" s="47">
        <f>IFERROR(DAYTONA!$J54/DAYTONA!$G54," ")</f>
        <v>0</v>
      </c>
      <c r="L128" s="47">
        <f>IFERROR(SOUTHWESTERN!$J54/SOUTHWESTERN!$G54," ")</f>
        <v>0</v>
      </c>
      <c r="M128" s="47">
        <f>IFERROR('FSC JAX'!$J54/'FSC JAX'!$G54," ")</f>
        <v>1</v>
      </c>
      <c r="N128" s="47" t="str">
        <f>IFERROR('FL KEYS'!$J54/'FL KEYS'!$G54," ")</f>
        <v xml:space="preserve"> </v>
      </c>
      <c r="O128" s="47">
        <f>IFERROR('GULF COAST'!$J54/'GULF COAST'!$G54," ")</f>
        <v>1</v>
      </c>
      <c r="P128" s="47">
        <f>IFERROR(HILLSBOROUGH!$J54/HILLSBOROUGH!$G54," ")</f>
        <v>1</v>
      </c>
      <c r="Q128" s="47">
        <f>IFERROR('INDIAN RIVER'!$J54/'INDIAN RIVER'!$G54," ")</f>
        <v>1</v>
      </c>
      <c r="R128" s="47">
        <f>IFERROR(GATEWAY!$J54/GATEWAY!$G54," ")</f>
        <v>1</v>
      </c>
      <c r="S128" s="47">
        <f>IFERROR('LAKE SUMTER'!$J54/'LAKE SUMTER'!$G54," ")</f>
        <v>1</v>
      </c>
      <c r="T128" s="47">
        <f>IFERROR('SCF MANATEE'!$J54/'SCF MANATEE'!$G54," ")</f>
        <v>0.95</v>
      </c>
      <c r="U128" s="47">
        <f>IFERROR(MIAMI!$J54/MIAMI!$G54," ")</f>
        <v>1</v>
      </c>
      <c r="V128" s="47">
        <f>IFERROR('NORTH FLORIDA'!$J54/'NORTH FLORIDA'!$G54," ")</f>
        <v>1</v>
      </c>
      <c r="W128" s="47" t="str">
        <f>IFERROR('NORTHWEST FLORIDA'!$J54/'NORTHWEST FLORIDA'!$G54," ")</f>
        <v xml:space="preserve"> </v>
      </c>
      <c r="X128" s="47" t="str">
        <f>IFERROR('PALM BEACH'!$J54/'PALM BEACH'!$G54," ")</f>
        <v xml:space="preserve"> </v>
      </c>
      <c r="Y128" s="47">
        <f>IFERROR(PASCO!$J54/PASCO!$G54," ")</f>
        <v>1</v>
      </c>
      <c r="Z128" s="47">
        <f>IFERROR(PENSACOLA!$J54/PENSACOLA!$G54," ")</f>
        <v>0</v>
      </c>
      <c r="AA128" s="47">
        <f>IFERROR(POLK!$J54/POLK!$G54," ")</f>
        <v>1</v>
      </c>
      <c r="AB128" s="47" t="str">
        <f>IFERROR('ST JOHNS'!$J54/'ST JOHNS'!$G54," ")</f>
        <v xml:space="preserve"> </v>
      </c>
      <c r="AC128" s="47">
        <f>IFERROR('ST PETE'!$J54/'ST PETE'!$G54," ")</f>
        <v>0</v>
      </c>
      <c r="AD128" s="47">
        <f>IFERROR('SANTA FE'!$J54/'SANTA FE'!$G54," ")</f>
        <v>1</v>
      </c>
      <c r="AE128" s="47" t="str">
        <f>IFERROR(SEMINOLE!$J54/SEMINOLE!$G54," ")</f>
        <v xml:space="preserve"> </v>
      </c>
      <c r="AF128" s="47">
        <f>IFERROR('SOUTH FLORIDA'!$J54/'SOUTH FLORIDA'!$G54," ")</f>
        <v>1</v>
      </c>
      <c r="AG128" s="47">
        <f>IFERROR(TALLAHASSEE!$J54/TALLAHASSEE!$G54," ")</f>
        <v>1</v>
      </c>
      <c r="AH128" s="47">
        <f>IFERROR(VALENCIA!$J54/VALENCIA!$G54," ")</f>
        <v>1</v>
      </c>
      <c r="AI128" s="47">
        <f>IFERROR('System Summary'!$J54/'System Summary'!$G54," ")</f>
        <v>0.80223267093187822</v>
      </c>
    </row>
    <row r="129" spans="1:35" x14ac:dyDescent="0.35">
      <c r="A129" s="9"/>
      <c r="B129" s="9"/>
      <c r="C129" s="10" t="s">
        <v>108</v>
      </c>
      <c r="D129" s="9"/>
      <c r="E129" s="9"/>
      <c r="F129" s="9" t="s">
        <v>109</v>
      </c>
      <c r="G129" s="47" t="str">
        <f>IFERROR(EASTERN!J55/EASTERN!G55," ")</f>
        <v xml:space="preserve"> </v>
      </c>
      <c r="H129" s="47" t="str">
        <f>IFERROR(BROWARD!$J55/BROWARD!$G55," ")</f>
        <v xml:space="preserve"> </v>
      </c>
      <c r="I129" s="47">
        <f>IFERROR(CENTRAL!$J55/CENTRAL!$G55," ")</f>
        <v>1</v>
      </c>
      <c r="J129" s="47">
        <f>IFERROR(CHIPOLA!$J55/CHIPOLA!$G55," ")</f>
        <v>1</v>
      </c>
      <c r="K129" s="47" t="str">
        <f>IFERROR(DAYTONA!$J55/DAYTONA!$G55," ")</f>
        <v xml:space="preserve"> </v>
      </c>
      <c r="L129" s="47">
        <f>IFERROR(SOUTHWESTERN!$J55/SOUTHWESTERN!$G55," ")</f>
        <v>1</v>
      </c>
      <c r="M129" s="47">
        <f>IFERROR('FSC JAX'!$J55/'FSC JAX'!$G55," ")</f>
        <v>1</v>
      </c>
      <c r="N129" s="47">
        <f>IFERROR('FL KEYS'!$J55/'FL KEYS'!$G55," ")</f>
        <v>1</v>
      </c>
      <c r="O129" s="47">
        <f>IFERROR('GULF COAST'!$J55/'GULF COAST'!$G55," ")</f>
        <v>1</v>
      </c>
      <c r="P129" s="47">
        <f>IFERROR(HILLSBOROUGH!$J55/HILLSBOROUGH!$G55," ")</f>
        <v>1</v>
      </c>
      <c r="Q129" s="47">
        <f>IFERROR('INDIAN RIVER'!$J55/'INDIAN RIVER'!$G55," ")</f>
        <v>1</v>
      </c>
      <c r="R129" s="47" t="str">
        <f>IFERROR(GATEWAY!$J55/GATEWAY!$G55," ")</f>
        <v xml:space="preserve"> </v>
      </c>
      <c r="S129" s="47">
        <f>IFERROR('LAKE SUMTER'!$J55/'LAKE SUMTER'!$G55," ")</f>
        <v>1</v>
      </c>
      <c r="T129" s="47">
        <f>IFERROR('SCF MANATEE'!$J55/'SCF MANATEE'!$G55," ")</f>
        <v>0.95</v>
      </c>
      <c r="U129" s="47">
        <f>IFERROR(MIAMI!$J55/MIAMI!$G55," ")</f>
        <v>1</v>
      </c>
      <c r="V129" s="47">
        <f>IFERROR('NORTH FLORIDA'!$J55/'NORTH FLORIDA'!$G55," ")</f>
        <v>1</v>
      </c>
      <c r="W129" s="47" t="str">
        <f>IFERROR('NORTHWEST FLORIDA'!$J55/'NORTHWEST FLORIDA'!$G55," ")</f>
        <v xml:space="preserve"> </v>
      </c>
      <c r="X129" s="47" t="str">
        <f>IFERROR('PALM BEACH'!$J55/'PALM BEACH'!$G55," ")</f>
        <v xml:space="preserve"> </v>
      </c>
      <c r="Y129" s="47">
        <f>IFERROR(PASCO!$J55/PASCO!$G55," ")</f>
        <v>1</v>
      </c>
      <c r="Z129" s="47" t="str">
        <f>IFERROR(PENSACOLA!$J55/PENSACOLA!$G55," ")</f>
        <v xml:space="preserve"> </v>
      </c>
      <c r="AA129" s="47">
        <f>IFERROR(POLK!$J55/POLK!$G55," ")</f>
        <v>1</v>
      </c>
      <c r="AB129" s="47" t="str">
        <f>IFERROR('ST JOHNS'!$J55/'ST JOHNS'!$G55," ")</f>
        <v xml:space="preserve"> </v>
      </c>
      <c r="AC129" s="47">
        <f>IFERROR('ST PETE'!$J55/'ST PETE'!$G55," ")</f>
        <v>0</v>
      </c>
      <c r="AD129" s="47">
        <f>IFERROR('SANTA FE'!$J55/'SANTA FE'!$G55," ")</f>
        <v>1</v>
      </c>
      <c r="AE129" s="47" t="str">
        <f>IFERROR(SEMINOLE!$J55/SEMINOLE!$G55," ")</f>
        <v xml:space="preserve"> </v>
      </c>
      <c r="AF129" s="47">
        <f>IFERROR('SOUTH FLORIDA'!$J55/'SOUTH FLORIDA'!$G55," ")</f>
        <v>1</v>
      </c>
      <c r="AG129" s="47">
        <f>IFERROR(TALLAHASSEE!$J55/TALLAHASSEE!$G55," ")</f>
        <v>1</v>
      </c>
      <c r="AH129" s="47" t="str">
        <f>IFERROR(VALENCIA!$J55/VALENCIA!$G55," ")</f>
        <v xml:space="preserve"> </v>
      </c>
      <c r="AI129" s="47">
        <f>IFERROR('System Summary'!$J55/'System Summary'!$G55," ")</f>
        <v>0.96931646285861606</v>
      </c>
    </row>
    <row r="130" spans="1:35" x14ac:dyDescent="0.35">
      <c r="A130" s="9"/>
      <c r="B130" s="9"/>
      <c r="C130" s="10" t="s">
        <v>110</v>
      </c>
      <c r="D130" s="9"/>
      <c r="E130" s="9"/>
      <c r="F130" s="9" t="s">
        <v>111</v>
      </c>
      <c r="G130" s="47" t="str">
        <f>IFERROR(EASTERN!J56/EASTERN!G56," ")</f>
        <v xml:space="preserve"> </v>
      </c>
      <c r="H130" s="47" t="str">
        <f>IFERROR(BROWARD!$J56/BROWARD!$G56," ")</f>
        <v xml:space="preserve"> </v>
      </c>
      <c r="I130" s="47">
        <f>IFERROR(CENTRAL!$J56/CENTRAL!$G56," ")</f>
        <v>1</v>
      </c>
      <c r="J130" s="47">
        <f>IFERROR(CHIPOLA!$J56/CHIPOLA!$G56," ")</f>
        <v>1</v>
      </c>
      <c r="K130" s="47">
        <f>IFERROR(DAYTONA!$J56/DAYTONA!$G56," ")</f>
        <v>0</v>
      </c>
      <c r="L130" s="47" t="str">
        <f>IFERROR(SOUTHWESTERN!$J56/SOUTHWESTERN!$G56," ")</f>
        <v xml:space="preserve"> </v>
      </c>
      <c r="M130" s="47" t="str">
        <f>IFERROR('FSC JAX'!$J56/'FSC JAX'!$G56," ")</f>
        <v xml:space="preserve"> </v>
      </c>
      <c r="N130" s="47">
        <f>IFERROR('FL KEYS'!$J56/'FL KEYS'!$G56," ")</f>
        <v>0</v>
      </c>
      <c r="O130" s="47" t="str">
        <f>IFERROR('GULF COAST'!$J56/'GULF COAST'!$G56," ")</f>
        <v xml:space="preserve"> </v>
      </c>
      <c r="P130" s="47">
        <f>IFERROR(HILLSBOROUGH!$J56/HILLSBOROUGH!$G56," ")</f>
        <v>1</v>
      </c>
      <c r="Q130" s="47" t="str">
        <f>IFERROR('INDIAN RIVER'!$J56/'INDIAN RIVER'!$G56," ")</f>
        <v xml:space="preserve"> </v>
      </c>
      <c r="R130" s="47" t="str">
        <f>IFERROR(GATEWAY!$J56/GATEWAY!$G56," ")</f>
        <v xml:space="preserve"> </v>
      </c>
      <c r="S130" s="47">
        <f>IFERROR('LAKE SUMTER'!$J56/'LAKE SUMTER'!$G56," ")</f>
        <v>1</v>
      </c>
      <c r="T130" s="47">
        <f>IFERROR('SCF MANATEE'!$J56/'SCF MANATEE'!$G56," ")</f>
        <v>0.94999998759518312</v>
      </c>
      <c r="U130" s="47">
        <f>IFERROR(MIAMI!$J56/MIAMI!$G56," ")</f>
        <v>1</v>
      </c>
      <c r="V130" s="47">
        <f>IFERROR('NORTH FLORIDA'!$J56/'NORTH FLORIDA'!$G56," ")</f>
        <v>1</v>
      </c>
      <c r="W130" s="47">
        <f>IFERROR('NORTHWEST FLORIDA'!$J56/'NORTHWEST FLORIDA'!$G56," ")</f>
        <v>1</v>
      </c>
      <c r="X130" s="47">
        <f>IFERROR('PALM BEACH'!$J56/'PALM BEACH'!$G56," ")</f>
        <v>1</v>
      </c>
      <c r="Y130" s="47">
        <f>IFERROR(PASCO!$J56/PASCO!$G56," ")</f>
        <v>1</v>
      </c>
      <c r="Z130" s="47">
        <f>IFERROR(PENSACOLA!$J56/PENSACOLA!$G56," ")</f>
        <v>1</v>
      </c>
      <c r="AA130" s="47" t="str">
        <f>IFERROR(POLK!$J56/POLK!$G56," ")</f>
        <v xml:space="preserve"> </v>
      </c>
      <c r="AB130" s="47" t="str">
        <f>IFERROR('ST JOHNS'!$J56/'ST JOHNS'!$G56," ")</f>
        <v xml:space="preserve"> </v>
      </c>
      <c r="AC130" s="47">
        <f>IFERROR('ST PETE'!$J56/'ST PETE'!$G56," ")</f>
        <v>0.55983860798044438</v>
      </c>
      <c r="AD130" s="47" t="str">
        <f>IFERROR('SANTA FE'!$J56/'SANTA FE'!$G56," ")</f>
        <v xml:space="preserve"> </v>
      </c>
      <c r="AE130" s="47" t="str">
        <f>IFERROR(SEMINOLE!$J56/SEMINOLE!$G56," ")</f>
        <v xml:space="preserve"> </v>
      </c>
      <c r="AF130" s="47" t="str">
        <f>IFERROR('SOUTH FLORIDA'!$J56/'SOUTH FLORIDA'!$G56," ")</f>
        <v xml:space="preserve"> </v>
      </c>
      <c r="AG130" s="47" t="str">
        <f>IFERROR(TALLAHASSEE!$J56/TALLAHASSEE!$G56," ")</f>
        <v xml:space="preserve"> </v>
      </c>
      <c r="AH130" s="47" t="str">
        <f>IFERROR(VALENCIA!$J56/VALENCIA!$G56," ")</f>
        <v xml:space="preserve"> </v>
      </c>
      <c r="AI130" s="47">
        <f>IFERROR('System Summary'!$J56/'System Summary'!$G56," ")</f>
        <v>0.85529487020426054</v>
      </c>
    </row>
    <row r="131" spans="1:35" x14ac:dyDescent="0.35">
      <c r="A131" s="9"/>
      <c r="B131" s="9"/>
      <c r="C131" s="10" t="s">
        <v>112</v>
      </c>
      <c r="D131" s="9"/>
      <c r="E131" s="9"/>
      <c r="F131" s="9" t="s">
        <v>113</v>
      </c>
      <c r="G131" s="47">
        <f>IFERROR(EASTERN!J57/EASTERN!G57," ")</f>
        <v>1</v>
      </c>
      <c r="H131" s="47" t="str">
        <f>IFERROR(BROWARD!$J57/BROWARD!$G57," ")</f>
        <v xml:space="preserve"> </v>
      </c>
      <c r="I131" s="47">
        <f>IFERROR(CENTRAL!$J57/CENTRAL!$G57," ")</f>
        <v>1</v>
      </c>
      <c r="J131" s="47">
        <f>IFERROR(CHIPOLA!$J57/CHIPOLA!$G57," ")</f>
        <v>1</v>
      </c>
      <c r="K131" s="47">
        <f>IFERROR(DAYTONA!$J57/DAYTONA!$G57," ")</f>
        <v>1</v>
      </c>
      <c r="L131" s="47" t="str">
        <f>IFERROR(SOUTHWESTERN!$J57/SOUTHWESTERN!$G57," ")</f>
        <v xml:space="preserve"> </v>
      </c>
      <c r="M131" s="47" t="str">
        <f>IFERROR('FSC JAX'!$J57/'FSC JAX'!$G57," ")</f>
        <v xml:space="preserve"> </v>
      </c>
      <c r="N131" s="47" t="str">
        <f>IFERROR('FL KEYS'!$J57/'FL KEYS'!$G57," ")</f>
        <v xml:space="preserve"> </v>
      </c>
      <c r="O131" s="47" t="str">
        <f>IFERROR('GULF COAST'!$J57/'GULF COAST'!$G57," ")</f>
        <v xml:space="preserve"> </v>
      </c>
      <c r="P131" s="47" t="str">
        <f>IFERROR(HILLSBOROUGH!$J57/HILLSBOROUGH!$G57," ")</f>
        <v xml:space="preserve"> </v>
      </c>
      <c r="Q131" s="47">
        <f>IFERROR('INDIAN RIVER'!$J57/'INDIAN RIVER'!$G57," ")</f>
        <v>1</v>
      </c>
      <c r="R131" s="47" t="str">
        <f>IFERROR(GATEWAY!$J57/GATEWAY!$G57," ")</f>
        <v xml:space="preserve"> </v>
      </c>
      <c r="S131" s="47">
        <f>IFERROR('LAKE SUMTER'!$J57/'LAKE SUMTER'!$G57," ")</f>
        <v>1</v>
      </c>
      <c r="T131" s="47">
        <f>IFERROR('SCF MANATEE'!$J57/'SCF MANATEE'!$G57," ")</f>
        <v>0.94999993743187905</v>
      </c>
      <c r="U131" s="47">
        <f>IFERROR(MIAMI!$J57/MIAMI!$G57," ")</f>
        <v>1</v>
      </c>
      <c r="V131" s="47" t="str">
        <f>IFERROR('NORTH FLORIDA'!$J57/'NORTH FLORIDA'!$G57," ")</f>
        <v xml:space="preserve"> </v>
      </c>
      <c r="W131" s="47">
        <f>IFERROR('NORTHWEST FLORIDA'!$J57/'NORTHWEST FLORIDA'!$G57," ")</f>
        <v>0.69999943735828463</v>
      </c>
      <c r="X131" s="47" t="str">
        <f>IFERROR('PALM BEACH'!$J57/'PALM BEACH'!$G57," ")</f>
        <v xml:space="preserve"> </v>
      </c>
      <c r="Y131" s="47" t="str">
        <f>IFERROR(PASCO!$J57/PASCO!$G57," ")</f>
        <v xml:space="preserve"> </v>
      </c>
      <c r="Z131" s="47">
        <f>IFERROR(PENSACOLA!$J57/PENSACOLA!$G57," ")</f>
        <v>1</v>
      </c>
      <c r="AA131" s="47" t="str">
        <f>IFERROR(POLK!$J57/POLK!$G57," ")</f>
        <v xml:space="preserve"> </v>
      </c>
      <c r="AB131" s="47" t="str">
        <f>IFERROR('ST JOHNS'!$J57/'ST JOHNS'!$G57," ")</f>
        <v xml:space="preserve"> </v>
      </c>
      <c r="AC131" s="47">
        <f>IFERROR('ST PETE'!$J57/'ST PETE'!$G57," ")</f>
        <v>0</v>
      </c>
      <c r="AD131" s="47" t="str">
        <f>IFERROR('SANTA FE'!$J57/'SANTA FE'!$G57," ")</f>
        <v xml:space="preserve"> </v>
      </c>
      <c r="AE131" s="47" t="str">
        <f>IFERROR(SEMINOLE!$J57/SEMINOLE!$G57," ")</f>
        <v xml:space="preserve"> </v>
      </c>
      <c r="AF131" s="47" t="str">
        <f>IFERROR('SOUTH FLORIDA'!$J57/'SOUTH FLORIDA'!$G57," ")</f>
        <v xml:space="preserve"> </v>
      </c>
      <c r="AG131" s="47" t="str">
        <f>IFERROR(TALLAHASSEE!$J57/TALLAHASSEE!$G57," ")</f>
        <v xml:space="preserve"> </v>
      </c>
      <c r="AH131" s="47">
        <f>IFERROR(VALENCIA!$J57/VALENCIA!$G57," ")</f>
        <v>1</v>
      </c>
      <c r="AI131" s="47">
        <f>IFERROR('System Summary'!$J57/'System Summary'!$G57," ")</f>
        <v>0.88609776826114228</v>
      </c>
    </row>
    <row r="132" spans="1:35" x14ac:dyDescent="0.35">
      <c r="A132" s="9"/>
      <c r="B132" s="9"/>
      <c r="C132" s="10" t="s">
        <v>114</v>
      </c>
      <c r="D132" s="9"/>
      <c r="E132" s="9"/>
      <c r="F132" s="9" t="s">
        <v>115</v>
      </c>
      <c r="G132" s="47" t="str">
        <f>IFERROR(EASTERN!J58/EASTERN!G58," ")</f>
        <v xml:space="preserve"> </v>
      </c>
      <c r="H132" s="47" t="str">
        <f>IFERROR(BROWARD!$J58/BROWARD!$G58," ")</f>
        <v xml:space="preserve"> </v>
      </c>
      <c r="I132" s="47" t="str">
        <f>IFERROR(CENTRAL!$J58/CENTRAL!$G58," ")</f>
        <v xml:space="preserve"> </v>
      </c>
      <c r="J132" s="47" t="str">
        <f>IFERROR(CHIPOLA!$J58/CHIPOLA!$G58," ")</f>
        <v xml:space="preserve"> </v>
      </c>
      <c r="K132" s="47" t="str">
        <f>IFERROR(DAYTONA!$J58/DAYTONA!$G58," ")</f>
        <v xml:space="preserve"> </v>
      </c>
      <c r="L132" s="47" t="str">
        <f>IFERROR(SOUTHWESTERN!$J58/SOUTHWESTERN!$G58," ")</f>
        <v xml:space="preserve"> </v>
      </c>
      <c r="M132" s="47" t="str">
        <f>IFERROR('FSC JAX'!$J58/'FSC JAX'!$G58," ")</f>
        <v xml:space="preserve"> </v>
      </c>
      <c r="N132" s="47" t="str">
        <f>IFERROR('FL KEYS'!$J58/'FL KEYS'!$G58," ")</f>
        <v xml:space="preserve"> </v>
      </c>
      <c r="O132" s="47" t="str">
        <f>IFERROR('GULF COAST'!$J58/'GULF COAST'!$G58," ")</f>
        <v xml:space="preserve"> </v>
      </c>
      <c r="P132" s="47">
        <f>IFERROR(HILLSBOROUGH!$J58/HILLSBOROUGH!$G58," ")</f>
        <v>1</v>
      </c>
      <c r="Q132" s="47" t="str">
        <f>IFERROR('INDIAN RIVER'!$J58/'INDIAN RIVER'!$G58," ")</f>
        <v xml:space="preserve"> </v>
      </c>
      <c r="R132" s="47" t="str">
        <f>IFERROR(GATEWAY!$J58/GATEWAY!$G58," ")</f>
        <v xml:space="preserve"> </v>
      </c>
      <c r="S132" s="47" t="str">
        <f>IFERROR('LAKE SUMTER'!$J58/'LAKE SUMTER'!$G58," ")</f>
        <v xml:space="preserve"> </v>
      </c>
      <c r="T132" s="47" t="str">
        <f>IFERROR('SCF MANATEE'!$J58/'SCF MANATEE'!$G58," ")</f>
        <v xml:space="preserve"> </v>
      </c>
      <c r="U132" s="47">
        <f>IFERROR(MIAMI!$J58/MIAMI!$G58," ")</f>
        <v>1</v>
      </c>
      <c r="V132" s="47" t="str">
        <f>IFERROR('NORTH FLORIDA'!$J58/'NORTH FLORIDA'!$G58," ")</f>
        <v xml:space="preserve"> </v>
      </c>
      <c r="W132" s="47" t="str">
        <f>IFERROR('NORTHWEST FLORIDA'!$J58/'NORTHWEST FLORIDA'!$G58," ")</f>
        <v xml:space="preserve"> </v>
      </c>
      <c r="X132" s="47" t="str">
        <f>IFERROR('PALM BEACH'!$J58/'PALM BEACH'!$G58," ")</f>
        <v xml:space="preserve"> </v>
      </c>
      <c r="Y132" s="47" t="str">
        <f>IFERROR(PASCO!$J58/PASCO!$G58," ")</f>
        <v xml:space="preserve"> </v>
      </c>
      <c r="Z132" s="47" t="str">
        <f>IFERROR(PENSACOLA!$J58/PENSACOLA!$G58," ")</f>
        <v xml:space="preserve"> </v>
      </c>
      <c r="AA132" s="47" t="str">
        <f>IFERROR(POLK!$J58/POLK!$G58," ")</f>
        <v xml:space="preserve"> </v>
      </c>
      <c r="AB132" s="47" t="str">
        <f>IFERROR('ST JOHNS'!$J58/'ST JOHNS'!$G58," ")</f>
        <v xml:space="preserve"> </v>
      </c>
      <c r="AC132" s="47" t="str">
        <f>IFERROR('ST PETE'!$J58/'ST PETE'!$G58," ")</f>
        <v xml:space="preserve"> </v>
      </c>
      <c r="AD132" s="47" t="str">
        <f>IFERROR('SANTA FE'!$J58/'SANTA FE'!$G58," ")</f>
        <v xml:space="preserve"> </v>
      </c>
      <c r="AE132" s="47" t="str">
        <f>IFERROR(SEMINOLE!$J58/SEMINOLE!$G58," ")</f>
        <v xml:space="preserve"> </v>
      </c>
      <c r="AF132" s="47" t="str">
        <f>IFERROR('SOUTH FLORIDA'!$J58/'SOUTH FLORIDA'!$G58," ")</f>
        <v xml:space="preserve"> </v>
      </c>
      <c r="AG132" s="47" t="str">
        <f>IFERROR(TALLAHASSEE!$J58/TALLAHASSEE!$G58," ")</f>
        <v xml:space="preserve"> </v>
      </c>
      <c r="AH132" s="47" t="str">
        <f>IFERROR(VALENCIA!$J58/VALENCIA!$G58," ")</f>
        <v xml:space="preserve"> </v>
      </c>
      <c r="AI132" s="47">
        <f>IFERROR('System Summary'!$J58/'System Summary'!$G58," ")</f>
        <v>1</v>
      </c>
    </row>
    <row r="133" spans="1:35" x14ac:dyDescent="0.35">
      <c r="A133" s="9"/>
      <c r="B133" s="9"/>
      <c r="C133" s="10" t="s">
        <v>116</v>
      </c>
      <c r="D133" s="9"/>
      <c r="E133" s="9"/>
      <c r="F133" s="9" t="s">
        <v>117</v>
      </c>
      <c r="G133" s="47" t="str">
        <f>IFERROR(EASTERN!J59/EASTERN!G59," ")</f>
        <v xml:space="preserve"> </v>
      </c>
      <c r="H133" s="47" t="str">
        <f>IFERROR(BROWARD!$J59/BROWARD!$G59," ")</f>
        <v xml:space="preserve"> </v>
      </c>
      <c r="I133" s="47">
        <f>IFERROR(CENTRAL!$J59/CENTRAL!$G59," ")</f>
        <v>1</v>
      </c>
      <c r="J133" s="47">
        <f>IFERROR(CHIPOLA!$J59/CHIPOLA!$G59," ")</f>
        <v>1</v>
      </c>
      <c r="K133" s="47" t="str">
        <f>IFERROR(DAYTONA!$J59/DAYTONA!$G59," ")</f>
        <v xml:space="preserve"> </v>
      </c>
      <c r="L133" s="47" t="str">
        <f>IFERROR(SOUTHWESTERN!$J59/SOUTHWESTERN!$G59," ")</f>
        <v xml:space="preserve"> </v>
      </c>
      <c r="M133" s="47">
        <f>IFERROR('FSC JAX'!$J59/'FSC JAX'!$G59," ")</f>
        <v>1</v>
      </c>
      <c r="N133" s="47">
        <f>IFERROR('FL KEYS'!$J59/'FL KEYS'!$G59," ")</f>
        <v>0.94285228197516024</v>
      </c>
      <c r="O133" s="47" t="str">
        <f>IFERROR('GULF COAST'!$J59/'GULF COAST'!$G59," ")</f>
        <v xml:space="preserve"> </v>
      </c>
      <c r="P133" s="47">
        <f>IFERROR(HILLSBOROUGH!$J59/HILLSBOROUGH!$G59," ")</f>
        <v>0</v>
      </c>
      <c r="Q133" s="47" t="str">
        <f>IFERROR('INDIAN RIVER'!$J59/'INDIAN RIVER'!$G59," ")</f>
        <v xml:space="preserve"> </v>
      </c>
      <c r="R133" s="47" t="str">
        <f>IFERROR(GATEWAY!$J59/GATEWAY!$G59," ")</f>
        <v xml:space="preserve"> </v>
      </c>
      <c r="S133" s="47">
        <f>IFERROR('LAKE SUMTER'!$J59/'LAKE SUMTER'!$G59," ")</f>
        <v>1</v>
      </c>
      <c r="T133" s="47">
        <f>IFERROR('SCF MANATEE'!$J59/'SCF MANATEE'!$G59," ")</f>
        <v>0.95000000000000007</v>
      </c>
      <c r="U133" s="47">
        <f>IFERROR(MIAMI!$J59/MIAMI!$G59," ")</f>
        <v>1</v>
      </c>
      <c r="V133" s="47">
        <f>IFERROR('NORTH FLORIDA'!$J59/'NORTH FLORIDA'!$G59," ")</f>
        <v>1</v>
      </c>
      <c r="W133" s="47" t="str">
        <f>IFERROR('NORTHWEST FLORIDA'!$J59/'NORTHWEST FLORIDA'!$G59," ")</f>
        <v xml:space="preserve"> </v>
      </c>
      <c r="X133" s="47">
        <f>IFERROR('PALM BEACH'!$J59/'PALM BEACH'!$G59," ")</f>
        <v>1</v>
      </c>
      <c r="Y133" s="47" t="str">
        <f>IFERROR(PASCO!$J59/PASCO!$G59," ")</f>
        <v xml:space="preserve"> </v>
      </c>
      <c r="Z133" s="47">
        <f>IFERROR(PENSACOLA!$J59/PENSACOLA!$G59," ")</f>
        <v>1</v>
      </c>
      <c r="AA133" s="47" t="str">
        <f>IFERROR(POLK!$J59/POLK!$G59," ")</f>
        <v xml:space="preserve"> </v>
      </c>
      <c r="AB133" s="47" t="str">
        <f>IFERROR('ST JOHNS'!$J59/'ST JOHNS'!$G59," ")</f>
        <v xml:space="preserve"> </v>
      </c>
      <c r="AC133" s="47" t="str">
        <f>IFERROR('ST PETE'!$J59/'ST PETE'!$G59," ")</f>
        <v xml:space="preserve"> </v>
      </c>
      <c r="AD133" s="47" t="str">
        <f>IFERROR('SANTA FE'!$J59/'SANTA FE'!$G59," ")</f>
        <v xml:space="preserve"> </v>
      </c>
      <c r="AE133" s="47">
        <f>IFERROR(SEMINOLE!$J59/SEMINOLE!$G59," ")</f>
        <v>1</v>
      </c>
      <c r="AF133" s="47">
        <f>IFERROR('SOUTH FLORIDA'!$J59/'SOUTH FLORIDA'!$G59," ")</f>
        <v>0</v>
      </c>
      <c r="AG133" s="47">
        <f>IFERROR(TALLAHASSEE!$J59/TALLAHASSEE!$G59," ")</f>
        <v>1</v>
      </c>
      <c r="AH133" s="47">
        <f>IFERROR(VALENCIA!$J59/VALENCIA!$G59," ")</f>
        <v>1</v>
      </c>
      <c r="AI133" s="47">
        <f>IFERROR('System Summary'!$J59/'System Summary'!$G59," ")</f>
        <v>1.0085884352118737</v>
      </c>
    </row>
    <row r="134" spans="1:35" x14ac:dyDescent="0.35">
      <c r="A134" s="9"/>
      <c r="B134" s="9"/>
      <c r="C134" s="10" t="s">
        <v>118</v>
      </c>
      <c r="D134" s="9"/>
      <c r="E134" s="9"/>
      <c r="F134" s="9" t="s">
        <v>119</v>
      </c>
      <c r="G134" s="47" t="str">
        <f>IFERROR(EASTERN!J60/EASTERN!G60," ")</f>
        <v xml:space="preserve"> </v>
      </c>
      <c r="H134" s="47">
        <f>IFERROR(BROWARD!$J60/BROWARD!$G60," ")</f>
        <v>0</v>
      </c>
      <c r="I134" s="47" t="str">
        <f>IFERROR(CENTRAL!$J60/CENTRAL!$G60," ")</f>
        <v xml:space="preserve"> </v>
      </c>
      <c r="J134" s="47" t="str">
        <f>IFERROR(CHIPOLA!$J60/CHIPOLA!$G60," ")</f>
        <v xml:space="preserve"> </v>
      </c>
      <c r="K134" s="47" t="str">
        <f>IFERROR(DAYTONA!$J60/DAYTONA!$G60," ")</f>
        <v xml:space="preserve"> </v>
      </c>
      <c r="L134" s="47" t="str">
        <f>IFERROR(SOUTHWESTERN!$J60/SOUTHWESTERN!$G60," ")</f>
        <v xml:space="preserve"> </v>
      </c>
      <c r="M134" s="47">
        <f>IFERROR('FSC JAX'!$J60/'FSC JAX'!$G60," ")</f>
        <v>0</v>
      </c>
      <c r="N134" s="47" t="str">
        <f>IFERROR('FL KEYS'!$J60/'FL KEYS'!$G60," ")</f>
        <v xml:space="preserve"> </v>
      </c>
      <c r="O134" s="47">
        <f>IFERROR('GULF COAST'!$J60/'GULF COAST'!$G60," ")</f>
        <v>1</v>
      </c>
      <c r="P134" s="47">
        <f>IFERROR(HILLSBOROUGH!$J60/HILLSBOROUGH!$G60," ")</f>
        <v>1</v>
      </c>
      <c r="Q134" s="47" t="str">
        <f>IFERROR('INDIAN RIVER'!$J60/'INDIAN RIVER'!$G60," ")</f>
        <v xml:space="preserve"> </v>
      </c>
      <c r="R134" s="47" t="str">
        <f>IFERROR(GATEWAY!$J60/GATEWAY!$G60," ")</f>
        <v xml:space="preserve"> </v>
      </c>
      <c r="S134" s="47">
        <f>IFERROR('LAKE SUMTER'!$J60/'LAKE SUMTER'!$G60," ")</f>
        <v>1</v>
      </c>
      <c r="T134" s="47">
        <f>IFERROR('SCF MANATEE'!$J60/'SCF MANATEE'!$G60," ")</f>
        <v>0.95000000000000007</v>
      </c>
      <c r="U134" s="47">
        <f>IFERROR(MIAMI!$J60/MIAMI!$G60," ")</f>
        <v>0</v>
      </c>
      <c r="V134" s="47" t="str">
        <f>IFERROR('NORTH FLORIDA'!$J60/'NORTH FLORIDA'!$G60," ")</f>
        <v xml:space="preserve"> </v>
      </c>
      <c r="W134" s="47" t="str">
        <f>IFERROR('NORTHWEST FLORIDA'!$J60/'NORTHWEST FLORIDA'!$G60," ")</f>
        <v xml:space="preserve"> </v>
      </c>
      <c r="X134" s="47">
        <f>IFERROR('PALM BEACH'!$J60/'PALM BEACH'!$G60," ")</f>
        <v>1</v>
      </c>
      <c r="Y134" s="47">
        <f>IFERROR(PASCO!$J60/PASCO!$G60," ")</f>
        <v>1</v>
      </c>
      <c r="Z134" s="47">
        <f>IFERROR(PENSACOLA!$J60/PENSACOLA!$G60," ")</f>
        <v>1</v>
      </c>
      <c r="AA134" s="47" t="str">
        <f>IFERROR(POLK!$J60/POLK!$G60," ")</f>
        <v xml:space="preserve"> </v>
      </c>
      <c r="AB134" s="47" t="str">
        <f>IFERROR('ST JOHNS'!$J60/'ST JOHNS'!$G60," ")</f>
        <v xml:space="preserve"> </v>
      </c>
      <c r="AC134" s="47" t="str">
        <f>IFERROR('ST PETE'!$J60/'ST PETE'!$G60," ")</f>
        <v xml:space="preserve"> </v>
      </c>
      <c r="AD134" s="47" t="str">
        <f>IFERROR('SANTA FE'!$J60/'SANTA FE'!$G60," ")</f>
        <v xml:space="preserve"> </v>
      </c>
      <c r="AE134" s="47">
        <f>IFERROR(SEMINOLE!$J60/SEMINOLE!$G60," ")</f>
        <v>1</v>
      </c>
      <c r="AF134" s="47">
        <f>IFERROR('SOUTH FLORIDA'!$J60/'SOUTH FLORIDA'!$G60," ")</f>
        <v>0</v>
      </c>
      <c r="AG134" s="47" t="str">
        <f>IFERROR(TALLAHASSEE!$J60/TALLAHASSEE!$G60," ")</f>
        <v xml:space="preserve"> </v>
      </c>
      <c r="AH134" s="47" t="str">
        <f>IFERROR(VALENCIA!$J60/VALENCIA!$G60," ")</f>
        <v xml:space="preserve"> </v>
      </c>
      <c r="AI134" s="47">
        <f>IFERROR('System Summary'!$J60/'System Summary'!$G60," ")</f>
        <v>0.86981259550727963</v>
      </c>
    </row>
    <row r="135" spans="1:35" x14ac:dyDescent="0.35">
      <c r="A135" s="9"/>
      <c r="B135" s="9"/>
      <c r="C135" s="10" t="s">
        <v>120</v>
      </c>
      <c r="D135" s="9"/>
      <c r="E135" s="9"/>
      <c r="F135" s="9" t="s">
        <v>121</v>
      </c>
      <c r="G135" s="47">
        <f>IFERROR(EASTERN!J61/EASTERN!G61," ")</f>
        <v>1</v>
      </c>
      <c r="H135" s="47" t="str">
        <f>IFERROR(BROWARD!$J61/BROWARD!$G61," ")</f>
        <v xml:space="preserve"> </v>
      </c>
      <c r="I135" s="47" t="str">
        <f>IFERROR(CENTRAL!$J61/CENTRAL!$G61," ")</f>
        <v xml:space="preserve"> </v>
      </c>
      <c r="J135" s="47">
        <f>IFERROR(CHIPOLA!$J61/CHIPOLA!$G61," ")</f>
        <v>0</v>
      </c>
      <c r="K135" s="47">
        <f>IFERROR(DAYTONA!$J61/DAYTONA!$G61," ")</f>
        <v>1</v>
      </c>
      <c r="L135" s="47" t="str">
        <f>IFERROR(SOUTHWESTERN!$J61/SOUTHWESTERN!$G61," ")</f>
        <v xml:space="preserve"> </v>
      </c>
      <c r="M135" s="47">
        <f>IFERROR('FSC JAX'!$J61/'FSC JAX'!$G61," ")</f>
        <v>1</v>
      </c>
      <c r="N135" s="47" t="str">
        <f>IFERROR('FL KEYS'!$J61/'FL KEYS'!$G61," ")</f>
        <v xml:space="preserve"> </v>
      </c>
      <c r="O135" s="47">
        <f>IFERROR('GULF COAST'!$J61/'GULF COAST'!$G61," ")</f>
        <v>0</v>
      </c>
      <c r="P135" s="47" t="str">
        <f>IFERROR(HILLSBOROUGH!$J61/HILLSBOROUGH!$G61," ")</f>
        <v xml:space="preserve"> </v>
      </c>
      <c r="Q135" s="47">
        <f>IFERROR('INDIAN RIVER'!$J61/'INDIAN RIVER'!$G61," ")</f>
        <v>0</v>
      </c>
      <c r="R135" s="47" t="str">
        <f>IFERROR(GATEWAY!$J61/GATEWAY!$G61," ")</f>
        <v xml:space="preserve"> </v>
      </c>
      <c r="S135" s="47">
        <f>IFERROR('LAKE SUMTER'!$J61/'LAKE SUMTER'!$G61," ")</f>
        <v>0</v>
      </c>
      <c r="T135" s="47">
        <f>IFERROR('SCF MANATEE'!$J61/'SCF MANATEE'!$G61," ")</f>
        <v>0</v>
      </c>
      <c r="U135" s="47" t="str">
        <f>IFERROR(MIAMI!$J61/MIAMI!$G61," ")</f>
        <v xml:space="preserve"> </v>
      </c>
      <c r="V135" s="47">
        <f>IFERROR('NORTH FLORIDA'!$J61/'NORTH FLORIDA'!$G61," ")</f>
        <v>1</v>
      </c>
      <c r="W135" s="47">
        <f>IFERROR('NORTHWEST FLORIDA'!$J61/'NORTHWEST FLORIDA'!$G61," ")</f>
        <v>1</v>
      </c>
      <c r="X135" s="47">
        <f>IFERROR('PALM BEACH'!$J61/'PALM BEACH'!$G61," ")</f>
        <v>1</v>
      </c>
      <c r="Y135" s="47">
        <f>IFERROR(PASCO!$J61/PASCO!$G61," ")</f>
        <v>0</v>
      </c>
      <c r="Z135" s="47">
        <f>IFERROR(PENSACOLA!$J61/PENSACOLA!$G61," ")</f>
        <v>1</v>
      </c>
      <c r="AA135" s="47">
        <f>IFERROR(POLK!$J61/POLK!$G61," ")</f>
        <v>0</v>
      </c>
      <c r="AB135" s="47" t="str">
        <f>IFERROR('ST JOHNS'!$J61/'ST JOHNS'!$G61," ")</f>
        <v xml:space="preserve"> </v>
      </c>
      <c r="AC135" s="47">
        <f>IFERROR('ST PETE'!$J61/'ST PETE'!$G61," ")</f>
        <v>0</v>
      </c>
      <c r="AD135" s="47">
        <f>IFERROR('SANTA FE'!$J61/'SANTA FE'!$G61," ")</f>
        <v>0</v>
      </c>
      <c r="AE135" s="47">
        <f>IFERROR(SEMINOLE!$J61/SEMINOLE!$G61," ")</f>
        <v>0</v>
      </c>
      <c r="AF135" s="47">
        <f>IFERROR('SOUTH FLORIDA'!$J61/'SOUTH FLORIDA'!$G61," ")</f>
        <v>0</v>
      </c>
      <c r="AG135" s="47">
        <f>IFERROR(TALLAHASSEE!$J61/TALLAHASSEE!$G61," ")</f>
        <v>1</v>
      </c>
      <c r="AH135" s="47">
        <f>IFERROR(VALENCIA!$J61/VALENCIA!$G61," ")</f>
        <v>0</v>
      </c>
      <c r="AI135" s="47">
        <f>IFERROR('System Summary'!$J61/'System Summary'!$G61," ")</f>
        <v>0.60475603205291995</v>
      </c>
    </row>
    <row r="136" spans="1:35" x14ac:dyDescent="0.35">
      <c r="A136" s="9"/>
      <c r="B136" s="9"/>
      <c r="C136" s="10" t="s">
        <v>122</v>
      </c>
      <c r="D136" s="9"/>
      <c r="E136" s="9"/>
      <c r="F136" s="9" t="s">
        <v>123</v>
      </c>
      <c r="G136" s="47">
        <f>IFERROR(EASTERN!J62/EASTERN!G62," ")</f>
        <v>1</v>
      </c>
      <c r="H136" s="47">
        <f>IFERROR(BROWARD!$J62/BROWARD!$G62," ")</f>
        <v>0.41399618649280356</v>
      </c>
      <c r="I136" s="47">
        <f>IFERROR(CENTRAL!$J62/CENTRAL!$G62," ")</f>
        <v>1</v>
      </c>
      <c r="J136" s="47">
        <f>IFERROR(CHIPOLA!$J62/CHIPOLA!$G62," ")</f>
        <v>1</v>
      </c>
      <c r="K136" s="47">
        <f>IFERROR(DAYTONA!$J62/DAYTONA!$G62," ")</f>
        <v>1</v>
      </c>
      <c r="L136" s="47">
        <f>IFERROR(SOUTHWESTERN!$J62/SOUTHWESTERN!$G62," ")</f>
        <v>0.87224755315908409</v>
      </c>
      <c r="M136" s="47">
        <f>IFERROR('FSC JAX'!$J62/'FSC JAX'!$G62," ")</f>
        <v>1</v>
      </c>
      <c r="N136" s="47" t="str">
        <f>IFERROR('FL KEYS'!$J62/'FL KEYS'!$G62," ")</f>
        <v xml:space="preserve"> </v>
      </c>
      <c r="O136" s="47">
        <f>IFERROR('GULF COAST'!$J62/'GULF COAST'!$G62," ")</f>
        <v>1</v>
      </c>
      <c r="P136" s="47" t="str">
        <f>IFERROR(HILLSBOROUGH!$J62/HILLSBOROUGH!$G62," ")</f>
        <v xml:space="preserve"> </v>
      </c>
      <c r="Q136" s="47" t="str">
        <f>IFERROR('INDIAN RIVER'!$J62/'INDIAN RIVER'!$G62," ")</f>
        <v xml:space="preserve"> </v>
      </c>
      <c r="R136" s="47">
        <f>IFERROR(GATEWAY!$J62/GATEWAY!$G62," ")</f>
        <v>1</v>
      </c>
      <c r="S136" s="47">
        <f>IFERROR('LAKE SUMTER'!$J62/'LAKE SUMTER'!$G62," ")</f>
        <v>1</v>
      </c>
      <c r="T136" s="47">
        <f>IFERROR('SCF MANATEE'!$J62/'SCF MANATEE'!$G62," ")</f>
        <v>0.94999999745458841</v>
      </c>
      <c r="U136" s="47">
        <f>IFERROR(MIAMI!$J62/MIAMI!$G62," ")</f>
        <v>1</v>
      </c>
      <c r="V136" s="47" t="str">
        <f>IFERROR('NORTH FLORIDA'!$J62/'NORTH FLORIDA'!$G62," ")</f>
        <v xml:space="preserve"> </v>
      </c>
      <c r="W136" s="47">
        <f>IFERROR('NORTHWEST FLORIDA'!$J62/'NORTHWEST FLORIDA'!$G62," ")</f>
        <v>1</v>
      </c>
      <c r="X136" s="47" t="str">
        <f>IFERROR('PALM BEACH'!$J62/'PALM BEACH'!$G62," ")</f>
        <v xml:space="preserve"> </v>
      </c>
      <c r="Y136" s="47">
        <f>IFERROR(PASCO!$J62/PASCO!$G62," ")</f>
        <v>1</v>
      </c>
      <c r="Z136" s="47">
        <f>IFERROR(PENSACOLA!$J62/PENSACOLA!$G62," ")</f>
        <v>1</v>
      </c>
      <c r="AA136" s="47">
        <f>IFERROR(POLK!$J62/POLK!$G62," ")</f>
        <v>1</v>
      </c>
      <c r="AB136" s="47" t="str">
        <f>IFERROR('ST JOHNS'!$J62/'ST JOHNS'!$G62," ")</f>
        <v xml:space="preserve"> </v>
      </c>
      <c r="AC136" s="47">
        <f>IFERROR('ST PETE'!$J62/'ST PETE'!$G62," ")</f>
        <v>1</v>
      </c>
      <c r="AD136" s="47">
        <f>IFERROR('SANTA FE'!$J62/'SANTA FE'!$G62," ")</f>
        <v>1</v>
      </c>
      <c r="AE136" s="47">
        <f>IFERROR(SEMINOLE!$J62/SEMINOLE!$G62," ")</f>
        <v>0.86418372008468325</v>
      </c>
      <c r="AF136" s="47">
        <f>IFERROR('SOUTH FLORIDA'!$J62/'SOUTH FLORIDA'!$G62," ")</f>
        <v>0</v>
      </c>
      <c r="AG136" s="47">
        <f>IFERROR(TALLAHASSEE!$J62/TALLAHASSEE!$G62," ")</f>
        <v>0</v>
      </c>
      <c r="AH136" s="47">
        <f>IFERROR(VALENCIA!$J62/VALENCIA!$G62," ")</f>
        <v>1</v>
      </c>
      <c r="AI136" s="47">
        <f>IFERROR('System Summary'!$J62/'System Summary'!$G62," ")</f>
        <v>0.97376655733129824</v>
      </c>
    </row>
    <row r="137" spans="1:35" x14ac:dyDescent="0.35">
      <c r="A137" s="9"/>
      <c r="B137" s="9"/>
      <c r="C137" s="10" t="s">
        <v>124</v>
      </c>
      <c r="D137" s="9"/>
      <c r="E137" s="9"/>
      <c r="F137" s="9" t="s">
        <v>125</v>
      </c>
      <c r="G137" s="47">
        <f>IFERROR(EASTERN!J63/EASTERN!G63," ")</f>
        <v>1</v>
      </c>
      <c r="H137" s="47" t="str">
        <f>IFERROR(BROWARD!$J63/BROWARD!$G63," ")</f>
        <v xml:space="preserve"> </v>
      </c>
      <c r="I137" s="47" t="str">
        <f>IFERROR(CENTRAL!$J63/CENTRAL!$G63," ")</f>
        <v xml:space="preserve"> </v>
      </c>
      <c r="J137" s="47">
        <f>IFERROR(CHIPOLA!$J63/CHIPOLA!$G63," ")</f>
        <v>1</v>
      </c>
      <c r="K137" s="47">
        <f>IFERROR(DAYTONA!$J63/DAYTONA!$G63," ")</f>
        <v>1</v>
      </c>
      <c r="L137" s="47">
        <f>IFERROR(SOUTHWESTERN!$J63/SOUTHWESTERN!$G63," ")</f>
        <v>1</v>
      </c>
      <c r="M137" s="47">
        <f>IFERROR('FSC JAX'!$J63/'FSC JAX'!$G63," ")</f>
        <v>1</v>
      </c>
      <c r="N137" s="47" t="str">
        <f>IFERROR('FL KEYS'!$J63/'FL KEYS'!$G63," ")</f>
        <v xml:space="preserve"> </v>
      </c>
      <c r="O137" s="47">
        <f>IFERROR('GULF COAST'!$J63/'GULF COAST'!$G63," ")</f>
        <v>1</v>
      </c>
      <c r="P137" s="47" t="str">
        <f>IFERROR(HILLSBOROUGH!$J63/HILLSBOROUGH!$G63," ")</f>
        <v xml:space="preserve"> </v>
      </c>
      <c r="Q137" s="47" t="str">
        <f>IFERROR('INDIAN RIVER'!$J63/'INDIAN RIVER'!$G63," ")</f>
        <v xml:space="preserve"> </v>
      </c>
      <c r="R137" s="47">
        <f>IFERROR(GATEWAY!$J63/GATEWAY!$G63," ")</f>
        <v>1</v>
      </c>
      <c r="S137" s="47">
        <f>IFERROR('LAKE SUMTER'!$J63/'LAKE SUMTER'!$G63," ")</f>
        <v>1</v>
      </c>
      <c r="T137" s="47">
        <f>IFERROR('SCF MANATEE'!$J63/'SCF MANATEE'!$G63," ")</f>
        <v>1</v>
      </c>
      <c r="U137" s="47" t="str">
        <f>IFERROR(MIAMI!$J63/MIAMI!$G63," ")</f>
        <v xml:space="preserve"> </v>
      </c>
      <c r="V137" s="47">
        <f>IFERROR('NORTH FLORIDA'!$J63/'NORTH FLORIDA'!$G63," ")</f>
        <v>1</v>
      </c>
      <c r="W137" s="47" t="str">
        <f>IFERROR('NORTHWEST FLORIDA'!$J63/'NORTHWEST FLORIDA'!$G63," ")</f>
        <v xml:space="preserve"> </v>
      </c>
      <c r="X137" s="47">
        <f>IFERROR('PALM BEACH'!$J63/'PALM BEACH'!$G63," ")</f>
        <v>1</v>
      </c>
      <c r="Y137" s="47">
        <f>IFERROR(PASCO!$J63/PASCO!$G63," ")</f>
        <v>1</v>
      </c>
      <c r="Z137" s="47">
        <f>IFERROR(PENSACOLA!$J63/PENSACOLA!$G63," ")</f>
        <v>1</v>
      </c>
      <c r="AA137" s="47">
        <f>IFERROR(POLK!$J63/POLK!$G63," ")</f>
        <v>1</v>
      </c>
      <c r="AB137" s="47" t="str">
        <f>IFERROR('ST JOHNS'!$J63/'ST JOHNS'!$G63," ")</f>
        <v xml:space="preserve"> </v>
      </c>
      <c r="AC137" s="47">
        <f>IFERROR('ST PETE'!$J63/'ST PETE'!$G63," ")</f>
        <v>5.2426322658370099E-2</v>
      </c>
      <c r="AD137" s="47" t="str">
        <f>IFERROR('SANTA FE'!$J63/'SANTA FE'!$G63," ")</f>
        <v xml:space="preserve"> </v>
      </c>
      <c r="AE137" s="47">
        <f>IFERROR(SEMINOLE!$J63/SEMINOLE!$G63," ")</f>
        <v>1</v>
      </c>
      <c r="AF137" s="47">
        <f>IFERROR('SOUTH FLORIDA'!$J63/'SOUTH FLORIDA'!$G63," ")</f>
        <v>0</v>
      </c>
      <c r="AG137" s="47" t="str">
        <f>IFERROR(TALLAHASSEE!$J63/TALLAHASSEE!$G63," ")</f>
        <v xml:space="preserve"> </v>
      </c>
      <c r="AH137" s="47" t="str">
        <f>IFERROR(VALENCIA!$J63/VALENCIA!$G63," ")</f>
        <v xml:space="preserve"> </v>
      </c>
      <c r="AI137" s="47">
        <f>IFERROR('System Summary'!$J63/'System Summary'!$G63," ")</f>
        <v>0.86145841818033719</v>
      </c>
    </row>
    <row r="138" spans="1:35" x14ac:dyDescent="0.35">
      <c r="A138" s="9"/>
      <c r="B138" s="9" t="s">
        <v>126</v>
      </c>
      <c r="C138" s="10"/>
      <c r="D138" s="9"/>
      <c r="E138" s="9" t="s">
        <v>127</v>
      </c>
      <c r="F138" s="9"/>
      <c r="G138" s="47" t="str">
        <f>IFERROR(EASTERN!J64/EASTERN!G64," ")</f>
        <v xml:space="preserve"> </v>
      </c>
      <c r="H138" s="47" t="str">
        <f>IFERROR(BROWARD!$J64/BROWARD!$G64," ")</f>
        <v xml:space="preserve"> </v>
      </c>
      <c r="I138" s="47" t="str">
        <f>IFERROR(CENTRAL!$J64/CENTRAL!$G64," ")</f>
        <v xml:space="preserve"> </v>
      </c>
      <c r="J138" s="47" t="str">
        <f>IFERROR(CHIPOLA!$J64/CHIPOLA!$G64," ")</f>
        <v xml:space="preserve"> </v>
      </c>
      <c r="K138" s="47" t="str">
        <f>IFERROR(DAYTONA!$J64/DAYTONA!$G64," ")</f>
        <v xml:space="preserve"> </v>
      </c>
      <c r="L138" s="47" t="str">
        <f>IFERROR(SOUTHWESTERN!$J64/SOUTHWESTERN!$G64," ")</f>
        <v xml:space="preserve"> </v>
      </c>
      <c r="M138" s="47" t="str">
        <f>IFERROR('FSC JAX'!$J64/'FSC JAX'!$G64," ")</f>
        <v xml:space="preserve"> </v>
      </c>
      <c r="N138" s="47" t="str">
        <f>IFERROR('FL KEYS'!$J64/'FL KEYS'!$G64," ")</f>
        <v xml:space="preserve"> </v>
      </c>
      <c r="O138" s="47" t="str">
        <f>IFERROR('GULF COAST'!$J64/'GULF COAST'!$G64," ")</f>
        <v xml:space="preserve"> </v>
      </c>
      <c r="P138" s="47" t="str">
        <f>IFERROR(HILLSBOROUGH!$J64/HILLSBOROUGH!$G64," ")</f>
        <v xml:space="preserve"> </v>
      </c>
      <c r="Q138" s="47" t="str">
        <f>IFERROR('INDIAN RIVER'!$J64/'INDIAN RIVER'!$G64," ")</f>
        <v xml:space="preserve"> </v>
      </c>
      <c r="R138" s="47" t="str">
        <f>IFERROR(GATEWAY!$J64/GATEWAY!$G64," ")</f>
        <v xml:space="preserve"> </v>
      </c>
      <c r="S138" s="47" t="str">
        <f>IFERROR('LAKE SUMTER'!$J64/'LAKE SUMTER'!$G64," ")</f>
        <v xml:space="preserve"> </v>
      </c>
      <c r="T138" s="47" t="str">
        <f>IFERROR('SCF MANATEE'!$J64/'SCF MANATEE'!$G64," ")</f>
        <v xml:space="preserve"> </v>
      </c>
      <c r="U138" s="47" t="str">
        <f>IFERROR(MIAMI!$J64/MIAMI!$G64," ")</f>
        <v xml:space="preserve"> </v>
      </c>
      <c r="V138" s="47" t="str">
        <f>IFERROR('NORTH FLORIDA'!$J64/'NORTH FLORIDA'!$G64," ")</f>
        <v xml:space="preserve"> </v>
      </c>
      <c r="W138" s="47" t="str">
        <f>IFERROR('NORTHWEST FLORIDA'!$J64/'NORTHWEST FLORIDA'!$G64," ")</f>
        <v xml:space="preserve"> </v>
      </c>
      <c r="X138" s="47" t="str">
        <f>IFERROR('PALM BEACH'!$J64/'PALM BEACH'!$G64," ")</f>
        <v xml:space="preserve"> </v>
      </c>
      <c r="Y138" s="47" t="str">
        <f>IFERROR(PASCO!$J64/PASCO!$G64," ")</f>
        <v xml:space="preserve"> </v>
      </c>
      <c r="Z138" s="47" t="str">
        <f>IFERROR(PENSACOLA!$J64/PENSACOLA!$G64," ")</f>
        <v xml:space="preserve"> </v>
      </c>
      <c r="AA138" s="47" t="str">
        <f>IFERROR(POLK!$J64/POLK!$G64," ")</f>
        <v xml:space="preserve"> </v>
      </c>
      <c r="AB138" s="47" t="str">
        <f>IFERROR('ST JOHNS'!$J64/'ST JOHNS'!$G64," ")</f>
        <v xml:space="preserve"> </v>
      </c>
      <c r="AC138" s="47" t="str">
        <f>IFERROR('ST PETE'!$J64/'ST PETE'!$G64," ")</f>
        <v xml:space="preserve"> </v>
      </c>
      <c r="AD138" s="47" t="str">
        <f>IFERROR('SANTA FE'!$J64/'SANTA FE'!$G64," ")</f>
        <v xml:space="preserve"> </v>
      </c>
      <c r="AE138" s="47" t="str">
        <f>IFERROR(SEMINOLE!$J64/SEMINOLE!$G64," ")</f>
        <v xml:space="preserve"> </v>
      </c>
      <c r="AF138" s="47" t="str">
        <f>IFERROR('SOUTH FLORIDA'!$J64/'SOUTH FLORIDA'!$G64," ")</f>
        <v xml:space="preserve"> </v>
      </c>
      <c r="AG138" s="47" t="str">
        <f>IFERROR(TALLAHASSEE!$J64/TALLAHASSEE!$G64," ")</f>
        <v xml:space="preserve"> </v>
      </c>
      <c r="AH138" s="47" t="str">
        <f>IFERROR(VALENCIA!$J64/VALENCIA!$G64," ")</f>
        <v xml:space="preserve"> </v>
      </c>
      <c r="AI138" s="47" t="str">
        <f>IFERROR('System Summary'!$J64/'System Summary'!$G64," ")</f>
        <v xml:space="preserve"> </v>
      </c>
    </row>
    <row r="139" spans="1:35" x14ac:dyDescent="0.35">
      <c r="A139" s="9"/>
      <c r="B139" s="9" t="s">
        <v>128</v>
      </c>
      <c r="C139" s="10"/>
      <c r="D139" s="9"/>
      <c r="E139" s="9" t="s">
        <v>127</v>
      </c>
      <c r="F139" s="9"/>
      <c r="G139" s="47" t="str">
        <f>IFERROR(EASTERN!J65/EASTERN!G65," ")</f>
        <v xml:space="preserve"> </v>
      </c>
      <c r="H139" s="47" t="str">
        <f>IFERROR(BROWARD!$J65/BROWARD!$G65," ")</f>
        <v xml:space="preserve"> </v>
      </c>
      <c r="I139" s="47" t="str">
        <f>IFERROR(CENTRAL!$J65/CENTRAL!$G65," ")</f>
        <v xml:space="preserve"> </v>
      </c>
      <c r="J139" s="47" t="str">
        <f>IFERROR(CHIPOLA!$J65/CHIPOLA!$G65," ")</f>
        <v xml:space="preserve"> </v>
      </c>
      <c r="K139" s="47" t="str">
        <f>IFERROR(DAYTONA!$J65/DAYTONA!$G65," ")</f>
        <v xml:space="preserve"> </v>
      </c>
      <c r="L139" s="47" t="str">
        <f>IFERROR(SOUTHWESTERN!$J65/SOUTHWESTERN!$G65," ")</f>
        <v xml:space="preserve"> </v>
      </c>
      <c r="M139" s="47" t="str">
        <f>IFERROR('FSC JAX'!$J65/'FSC JAX'!$G65," ")</f>
        <v xml:space="preserve"> </v>
      </c>
      <c r="N139" s="47" t="str">
        <f>IFERROR('FL KEYS'!$J65/'FL KEYS'!$G65," ")</f>
        <v xml:space="preserve"> </v>
      </c>
      <c r="O139" s="47" t="str">
        <f>IFERROR('GULF COAST'!$J65/'GULF COAST'!$G65," ")</f>
        <v xml:space="preserve"> </v>
      </c>
      <c r="P139" s="47" t="str">
        <f>IFERROR(HILLSBOROUGH!$J65/HILLSBOROUGH!$G65," ")</f>
        <v xml:space="preserve"> </v>
      </c>
      <c r="Q139" s="47" t="str">
        <f>IFERROR('INDIAN RIVER'!$J65/'INDIAN RIVER'!$G65," ")</f>
        <v xml:space="preserve"> </v>
      </c>
      <c r="R139" s="47" t="str">
        <f>IFERROR(GATEWAY!$J65/GATEWAY!$G65," ")</f>
        <v xml:space="preserve"> </v>
      </c>
      <c r="S139" s="47" t="str">
        <f>IFERROR('LAKE SUMTER'!$J65/'LAKE SUMTER'!$G65," ")</f>
        <v xml:space="preserve"> </v>
      </c>
      <c r="T139" s="47" t="str">
        <f>IFERROR('SCF MANATEE'!$J65/'SCF MANATEE'!$G65," ")</f>
        <v xml:space="preserve"> </v>
      </c>
      <c r="U139" s="47" t="str">
        <f>IFERROR(MIAMI!$J65/MIAMI!$G65," ")</f>
        <v xml:space="preserve"> </v>
      </c>
      <c r="V139" s="47" t="str">
        <f>IFERROR('NORTH FLORIDA'!$J65/'NORTH FLORIDA'!$G65," ")</f>
        <v xml:space="preserve"> </v>
      </c>
      <c r="W139" s="47" t="str">
        <f>IFERROR('NORTHWEST FLORIDA'!$J65/'NORTHWEST FLORIDA'!$G65," ")</f>
        <v xml:space="preserve"> </v>
      </c>
      <c r="X139" s="47" t="str">
        <f>IFERROR('PALM BEACH'!$J65/'PALM BEACH'!$G65," ")</f>
        <v xml:space="preserve"> </v>
      </c>
      <c r="Y139" s="47" t="str">
        <f>IFERROR(PASCO!$J65/PASCO!$G65," ")</f>
        <v xml:space="preserve"> </v>
      </c>
      <c r="Z139" s="47" t="str">
        <f>IFERROR(PENSACOLA!$J65/PENSACOLA!$G65," ")</f>
        <v xml:space="preserve"> </v>
      </c>
      <c r="AA139" s="47" t="str">
        <f>IFERROR(POLK!$J65/POLK!$G65," ")</f>
        <v xml:space="preserve"> </v>
      </c>
      <c r="AB139" s="47" t="str">
        <f>IFERROR('ST JOHNS'!$J65/'ST JOHNS'!$G65," ")</f>
        <v xml:space="preserve"> </v>
      </c>
      <c r="AC139" s="47" t="str">
        <f>IFERROR('ST PETE'!$J65/'ST PETE'!$G65," ")</f>
        <v xml:space="preserve"> </v>
      </c>
      <c r="AD139" s="47" t="str">
        <f>IFERROR('SANTA FE'!$J65/'SANTA FE'!$G65," ")</f>
        <v xml:space="preserve"> </v>
      </c>
      <c r="AE139" s="47" t="str">
        <f>IFERROR(SEMINOLE!$J65/SEMINOLE!$G65," ")</f>
        <v xml:space="preserve"> </v>
      </c>
      <c r="AF139" s="47" t="str">
        <f>IFERROR('SOUTH FLORIDA'!$J65/'SOUTH FLORIDA'!$G65," ")</f>
        <v xml:space="preserve"> </v>
      </c>
      <c r="AG139" s="47" t="str">
        <f>IFERROR(TALLAHASSEE!$J65/TALLAHASSEE!$G65," ")</f>
        <v xml:space="preserve"> </v>
      </c>
      <c r="AH139" s="47" t="str">
        <f>IFERROR(VALENCIA!$J65/VALENCIA!$G65," ")</f>
        <v xml:space="preserve"> </v>
      </c>
      <c r="AI139" s="47" t="str">
        <f>IFERROR('System Summary'!$J65/'System Summary'!$G65," ")</f>
        <v xml:space="preserve"> </v>
      </c>
    </row>
    <row r="140" spans="1:35" x14ac:dyDescent="0.35">
      <c r="A140" s="9"/>
      <c r="B140" s="9" t="s">
        <v>129</v>
      </c>
      <c r="C140" s="10"/>
      <c r="D140" s="9"/>
      <c r="E140" s="9" t="s">
        <v>130</v>
      </c>
      <c r="F140" s="9"/>
      <c r="G140" s="47" t="str">
        <f>IFERROR(EASTERN!J66/EASTERN!G66," ")</f>
        <v xml:space="preserve"> </v>
      </c>
      <c r="H140" s="47">
        <f>IFERROR(BROWARD!$J66/BROWARD!$G66," ")</f>
        <v>0.631646368329154</v>
      </c>
      <c r="I140" s="47">
        <f>IFERROR(CENTRAL!$J66/CENTRAL!$G66," ")</f>
        <v>0</v>
      </c>
      <c r="J140" s="47" t="str">
        <f>IFERROR(CHIPOLA!$J66/CHIPOLA!$G66," ")</f>
        <v xml:space="preserve"> </v>
      </c>
      <c r="K140" s="47" t="str">
        <f>IFERROR(DAYTONA!$J66/DAYTONA!$G66," ")</f>
        <v xml:space="preserve"> </v>
      </c>
      <c r="L140" s="47" t="str">
        <f>IFERROR(SOUTHWESTERN!$J66/SOUTHWESTERN!$G66," ")</f>
        <v xml:space="preserve"> </v>
      </c>
      <c r="M140" s="47" t="str">
        <f>IFERROR('FSC JAX'!$J66/'FSC JAX'!$G66," ")</f>
        <v xml:space="preserve"> </v>
      </c>
      <c r="N140" s="47" t="str">
        <f>IFERROR('FL KEYS'!$J66/'FL KEYS'!$G66," ")</f>
        <v xml:space="preserve"> </v>
      </c>
      <c r="O140" s="47" t="str">
        <f>IFERROR('GULF COAST'!$J66/'GULF COAST'!$G66," ")</f>
        <v xml:space="preserve"> </v>
      </c>
      <c r="P140" s="47">
        <f>IFERROR(HILLSBOROUGH!$J66/HILLSBOROUGH!$G66," ")</f>
        <v>0</v>
      </c>
      <c r="Q140" s="47" t="str">
        <f>IFERROR('INDIAN RIVER'!$J66/'INDIAN RIVER'!$G66," ")</f>
        <v xml:space="preserve"> </v>
      </c>
      <c r="R140" s="47" t="str">
        <f>IFERROR(GATEWAY!$J66/GATEWAY!$G66," ")</f>
        <v xml:space="preserve"> </v>
      </c>
      <c r="S140" s="47" t="str">
        <f>IFERROR('LAKE SUMTER'!$J66/'LAKE SUMTER'!$G66," ")</f>
        <v xml:space="preserve"> </v>
      </c>
      <c r="T140" s="47" t="str">
        <f>IFERROR('SCF MANATEE'!$J66/'SCF MANATEE'!$G66," ")</f>
        <v xml:space="preserve"> </v>
      </c>
      <c r="U140" s="47" t="str">
        <f>IFERROR(MIAMI!$J66/MIAMI!$G66," ")</f>
        <v xml:space="preserve"> </v>
      </c>
      <c r="V140" s="47" t="str">
        <f>IFERROR('NORTH FLORIDA'!$J66/'NORTH FLORIDA'!$G66," ")</f>
        <v xml:space="preserve"> </v>
      </c>
      <c r="W140" s="47" t="str">
        <f>IFERROR('NORTHWEST FLORIDA'!$J66/'NORTHWEST FLORIDA'!$G66," ")</f>
        <v xml:space="preserve"> </v>
      </c>
      <c r="X140" s="47" t="str">
        <f>IFERROR('PALM BEACH'!$J66/'PALM BEACH'!$G66," ")</f>
        <v xml:space="preserve"> </v>
      </c>
      <c r="Y140" s="47" t="str">
        <f>IFERROR(PASCO!$J66/PASCO!$G66," ")</f>
        <v xml:space="preserve"> </v>
      </c>
      <c r="Z140" s="47">
        <f>IFERROR(PENSACOLA!$J66/PENSACOLA!$G66," ")</f>
        <v>0</v>
      </c>
      <c r="AA140" s="47">
        <f>IFERROR(POLK!$J66/POLK!$G66," ")</f>
        <v>0</v>
      </c>
      <c r="AB140" s="47" t="str">
        <f>IFERROR('ST JOHNS'!$J66/'ST JOHNS'!$G66," ")</f>
        <v xml:space="preserve"> </v>
      </c>
      <c r="AC140" s="47">
        <f>IFERROR('ST PETE'!$J66/'ST PETE'!$G66," ")</f>
        <v>0</v>
      </c>
      <c r="AD140" s="47">
        <f>IFERROR('SANTA FE'!$J66/'SANTA FE'!$G66," ")</f>
        <v>1</v>
      </c>
      <c r="AE140" s="47" t="str">
        <f>IFERROR(SEMINOLE!$J66/SEMINOLE!$G66," ")</f>
        <v xml:space="preserve"> </v>
      </c>
      <c r="AF140" s="47" t="str">
        <f>IFERROR('SOUTH FLORIDA'!$J66/'SOUTH FLORIDA'!$G66," ")</f>
        <v xml:space="preserve"> </v>
      </c>
      <c r="AG140" s="47">
        <f>IFERROR(TALLAHASSEE!$J66/TALLAHASSEE!$G66," ")</f>
        <v>1</v>
      </c>
      <c r="AH140" s="47">
        <f>IFERROR(VALENCIA!$J66/VALENCIA!$G66," ")</f>
        <v>0.65998470858874014</v>
      </c>
      <c r="AI140" s="47">
        <f>IFERROR('System Summary'!$J66/'System Summary'!$G66," ")</f>
        <v>0.6089440749017363</v>
      </c>
    </row>
    <row r="141" spans="1:35" x14ac:dyDescent="0.35">
      <c r="A141" s="9"/>
      <c r="B141" s="9"/>
      <c r="C141" s="10" t="s">
        <v>131</v>
      </c>
      <c r="D141" s="9"/>
      <c r="E141" s="9"/>
      <c r="F141" s="9" t="s">
        <v>132</v>
      </c>
      <c r="G141" s="47" t="str">
        <f>IFERROR(EASTERN!J67/EASTERN!G67," ")</f>
        <v xml:space="preserve"> </v>
      </c>
      <c r="H141" s="47" t="str">
        <f>IFERROR(BROWARD!$J67/BROWARD!$G67," ")</f>
        <v xml:space="preserve"> </v>
      </c>
      <c r="I141" s="47" t="str">
        <f>IFERROR(CENTRAL!$J67/CENTRAL!$G67," ")</f>
        <v xml:space="preserve"> </v>
      </c>
      <c r="J141" s="47" t="str">
        <f>IFERROR(CHIPOLA!$J67/CHIPOLA!$G67," ")</f>
        <v xml:space="preserve"> </v>
      </c>
      <c r="K141" s="47" t="str">
        <f>IFERROR(DAYTONA!$J67/DAYTONA!$G67," ")</f>
        <v xml:space="preserve"> </v>
      </c>
      <c r="L141" s="47" t="str">
        <f>IFERROR(SOUTHWESTERN!$J67/SOUTHWESTERN!$G67," ")</f>
        <v xml:space="preserve"> </v>
      </c>
      <c r="M141" s="47" t="str">
        <f>IFERROR('FSC JAX'!$J67/'FSC JAX'!$G67," ")</f>
        <v xml:space="preserve"> </v>
      </c>
      <c r="N141" s="47" t="str">
        <f>IFERROR('FL KEYS'!$J67/'FL KEYS'!$G67," ")</f>
        <v xml:space="preserve"> </v>
      </c>
      <c r="O141" s="47" t="str">
        <f>IFERROR('GULF COAST'!$J67/'GULF COAST'!$G67," ")</f>
        <v xml:space="preserve"> </v>
      </c>
      <c r="P141" s="47">
        <f>IFERROR(HILLSBOROUGH!$J67/HILLSBOROUGH!$G67," ")</f>
        <v>0</v>
      </c>
      <c r="Q141" s="47" t="str">
        <f>IFERROR('INDIAN RIVER'!$J67/'INDIAN RIVER'!$G67," ")</f>
        <v xml:space="preserve"> </v>
      </c>
      <c r="R141" s="47" t="str">
        <f>IFERROR(GATEWAY!$J67/GATEWAY!$G67," ")</f>
        <v xml:space="preserve"> </v>
      </c>
      <c r="S141" s="47" t="str">
        <f>IFERROR('LAKE SUMTER'!$J67/'LAKE SUMTER'!$G67," ")</f>
        <v xml:space="preserve"> </v>
      </c>
      <c r="T141" s="47" t="str">
        <f>IFERROR('SCF MANATEE'!$J67/'SCF MANATEE'!$G67," ")</f>
        <v xml:space="preserve"> </v>
      </c>
      <c r="U141" s="47" t="str">
        <f>IFERROR(MIAMI!$J67/MIAMI!$G67," ")</f>
        <v xml:space="preserve"> </v>
      </c>
      <c r="V141" s="47" t="str">
        <f>IFERROR('NORTH FLORIDA'!$J67/'NORTH FLORIDA'!$G67," ")</f>
        <v xml:space="preserve"> </v>
      </c>
      <c r="W141" s="47" t="str">
        <f>IFERROR('NORTHWEST FLORIDA'!$J67/'NORTHWEST FLORIDA'!$G67," ")</f>
        <v xml:space="preserve"> </v>
      </c>
      <c r="X141" s="47" t="str">
        <f>IFERROR('PALM BEACH'!$J67/'PALM BEACH'!$G67," ")</f>
        <v xml:space="preserve"> </v>
      </c>
      <c r="Y141" s="47" t="str">
        <f>IFERROR(PASCO!$J67/PASCO!$G67," ")</f>
        <v xml:space="preserve"> </v>
      </c>
      <c r="Z141" s="47">
        <f>IFERROR(PENSACOLA!$J67/PENSACOLA!$G67," ")</f>
        <v>0</v>
      </c>
      <c r="AA141" s="47">
        <f>IFERROR(POLK!$J67/POLK!$G67," ")</f>
        <v>0</v>
      </c>
      <c r="AB141" s="47" t="str">
        <f>IFERROR('ST JOHNS'!$J67/'ST JOHNS'!$G67," ")</f>
        <v xml:space="preserve"> </v>
      </c>
      <c r="AC141" s="47">
        <f>IFERROR('ST PETE'!$J67/'ST PETE'!$G67," ")</f>
        <v>0</v>
      </c>
      <c r="AD141" s="47" t="str">
        <f>IFERROR('SANTA FE'!$J67/'SANTA FE'!$G67," ")</f>
        <v xml:space="preserve"> </v>
      </c>
      <c r="AE141" s="47" t="str">
        <f>IFERROR(SEMINOLE!$J67/SEMINOLE!$G67," ")</f>
        <v xml:space="preserve"> </v>
      </c>
      <c r="AF141" s="47" t="str">
        <f>IFERROR('SOUTH FLORIDA'!$J67/'SOUTH FLORIDA'!$G67," ")</f>
        <v xml:space="preserve"> </v>
      </c>
      <c r="AG141" s="47">
        <f>IFERROR(TALLAHASSEE!$J67/TALLAHASSEE!$G67," ")</f>
        <v>1</v>
      </c>
      <c r="AH141" s="47">
        <f>IFERROR(VALENCIA!$J67/VALENCIA!$G67," ")</f>
        <v>0</v>
      </c>
      <c r="AI141" s="47">
        <f>IFERROR('System Summary'!$J67/'System Summary'!$G67," ")</f>
        <v>2.743006902107489E-2</v>
      </c>
    </row>
    <row r="142" spans="1:35" x14ac:dyDescent="0.35">
      <c r="A142" s="9"/>
      <c r="B142" s="9"/>
      <c r="C142" s="10" t="s">
        <v>133</v>
      </c>
      <c r="D142" s="9"/>
      <c r="E142" s="9"/>
      <c r="F142" s="9" t="s">
        <v>134</v>
      </c>
      <c r="G142" s="47" t="str">
        <f>IFERROR(EASTERN!J68/EASTERN!G68," ")</f>
        <v xml:space="preserve"> </v>
      </c>
      <c r="H142" s="47" t="str">
        <f>IFERROR(BROWARD!$J68/BROWARD!$G68," ")</f>
        <v xml:space="preserve"> </v>
      </c>
      <c r="I142" s="47" t="str">
        <f>IFERROR(CENTRAL!$J68/CENTRAL!$G68," ")</f>
        <v xml:space="preserve"> </v>
      </c>
      <c r="J142" s="47" t="str">
        <f>IFERROR(CHIPOLA!$J68/CHIPOLA!$G68," ")</f>
        <v xml:space="preserve"> </v>
      </c>
      <c r="K142" s="47" t="str">
        <f>IFERROR(DAYTONA!$J68/DAYTONA!$G68," ")</f>
        <v xml:space="preserve"> </v>
      </c>
      <c r="L142" s="47" t="str">
        <f>IFERROR(SOUTHWESTERN!$J68/SOUTHWESTERN!$G68," ")</f>
        <v xml:space="preserve"> </v>
      </c>
      <c r="M142" s="47" t="str">
        <f>IFERROR('FSC JAX'!$J68/'FSC JAX'!$G68," ")</f>
        <v xml:space="preserve"> </v>
      </c>
      <c r="N142" s="47" t="str">
        <f>IFERROR('FL KEYS'!$J68/'FL KEYS'!$G68," ")</f>
        <v xml:space="preserve"> </v>
      </c>
      <c r="O142" s="47" t="str">
        <f>IFERROR('GULF COAST'!$J68/'GULF COAST'!$G68," ")</f>
        <v xml:space="preserve"> </v>
      </c>
      <c r="P142" s="47" t="str">
        <f>IFERROR(HILLSBOROUGH!$J68/HILLSBOROUGH!$G68," ")</f>
        <v xml:space="preserve"> </v>
      </c>
      <c r="Q142" s="47" t="str">
        <f>IFERROR('INDIAN RIVER'!$J68/'INDIAN RIVER'!$G68," ")</f>
        <v xml:space="preserve"> </v>
      </c>
      <c r="R142" s="47" t="str">
        <f>IFERROR(GATEWAY!$J68/GATEWAY!$G68," ")</f>
        <v xml:space="preserve"> </v>
      </c>
      <c r="S142" s="47" t="str">
        <f>IFERROR('LAKE SUMTER'!$J68/'LAKE SUMTER'!$G68," ")</f>
        <v xml:space="preserve"> </v>
      </c>
      <c r="T142" s="47" t="str">
        <f>IFERROR('SCF MANATEE'!$J68/'SCF MANATEE'!$G68," ")</f>
        <v xml:space="preserve"> </v>
      </c>
      <c r="U142" s="47" t="str">
        <f>IFERROR(MIAMI!$J68/MIAMI!$G68," ")</f>
        <v xml:space="preserve"> </v>
      </c>
      <c r="V142" s="47" t="str">
        <f>IFERROR('NORTH FLORIDA'!$J68/'NORTH FLORIDA'!$G68," ")</f>
        <v xml:space="preserve"> </v>
      </c>
      <c r="W142" s="47" t="str">
        <f>IFERROR('NORTHWEST FLORIDA'!$J68/'NORTHWEST FLORIDA'!$G68," ")</f>
        <v xml:space="preserve"> </v>
      </c>
      <c r="X142" s="47" t="str">
        <f>IFERROR('PALM BEACH'!$J68/'PALM BEACH'!$G68," ")</f>
        <v xml:space="preserve"> </v>
      </c>
      <c r="Y142" s="47" t="str">
        <f>IFERROR(PASCO!$J68/PASCO!$G68," ")</f>
        <v xml:space="preserve"> </v>
      </c>
      <c r="Z142" s="47" t="str">
        <f>IFERROR(PENSACOLA!$J68/PENSACOLA!$G68," ")</f>
        <v xml:space="preserve"> </v>
      </c>
      <c r="AA142" s="47" t="str">
        <f>IFERROR(POLK!$J68/POLK!$G68," ")</f>
        <v xml:space="preserve"> </v>
      </c>
      <c r="AB142" s="47" t="str">
        <f>IFERROR('ST JOHNS'!$J68/'ST JOHNS'!$G68," ")</f>
        <v xml:space="preserve"> </v>
      </c>
      <c r="AC142" s="47" t="str">
        <f>IFERROR('ST PETE'!$J68/'ST PETE'!$G68," ")</f>
        <v xml:space="preserve"> </v>
      </c>
      <c r="AD142" s="47" t="str">
        <f>IFERROR('SANTA FE'!$J68/'SANTA FE'!$G68," ")</f>
        <v xml:space="preserve"> </v>
      </c>
      <c r="AE142" s="47" t="str">
        <f>IFERROR(SEMINOLE!$J68/SEMINOLE!$G68," ")</f>
        <v xml:space="preserve"> </v>
      </c>
      <c r="AF142" s="47" t="str">
        <f>IFERROR('SOUTH FLORIDA'!$J68/'SOUTH FLORIDA'!$G68," ")</f>
        <v xml:space="preserve"> </v>
      </c>
      <c r="AG142" s="47" t="str">
        <f>IFERROR(TALLAHASSEE!$J68/TALLAHASSEE!$G68," ")</f>
        <v xml:space="preserve"> </v>
      </c>
      <c r="AH142" s="47" t="str">
        <f>IFERROR(VALENCIA!$J68/VALENCIA!$G68," ")</f>
        <v xml:space="preserve"> </v>
      </c>
      <c r="AI142" s="47" t="str">
        <f>IFERROR('System Summary'!$J68/'System Summary'!$G68," ")</f>
        <v xml:space="preserve"> </v>
      </c>
    </row>
    <row r="143" spans="1:35" x14ac:dyDescent="0.35">
      <c r="A143" s="9"/>
      <c r="B143" s="9"/>
      <c r="C143" s="10" t="s">
        <v>135</v>
      </c>
      <c r="D143" s="9"/>
      <c r="E143" s="9"/>
      <c r="F143" s="9" t="s">
        <v>136</v>
      </c>
      <c r="G143" s="47" t="str">
        <f>IFERROR(EASTERN!J69/EASTERN!G69," ")</f>
        <v xml:space="preserve"> </v>
      </c>
      <c r="H143" s="47">
        <f>IFERROR(BROWARD!$J69/BROWARD!$G69," ")</f>
        <v>0.631646368329154</v>
      </c>
      <c r="I143" s="47">
        <f>IFERROR(CENTRAL!$J69/CENTRAL!$G69," ")</f>
        <v>0</v>
      </c>
      <c r="J143" s="47" t="str">
        <f>IFERROR(CHIPOLA!$J69/CHIPOLA!$G69," ")</f>
        <v xml:space="preserve"> </v>
      </c>
      <c r="K143" s="47" t="str">
        <f>IFERROR(DAYTONA!$J69/DAYTONA!$G69," ")</f>
        <v xml:space="preserve"> </v>
      </c>
      <c r="L143" s="47" t="str">
        <f>IFERROR(SOUTHWESTERN!$J69/SOUTHWESTERN!$G69," ")</f>
        <v xml:space="preserve"> </v>
      </c>
      <c r="M143" s="47" t="str">
        <f>IFERROR('FSC JAX'!$J69/'FSC JAX'!$G69," ")</f>
        <v xml:space="preserve"> </v>
      </c>
      <c r="N143" s="47" t="str">
        <f>IFERROR('FL KEYS'!$J69/'FL KEYS'!$G69," ")</f>
        <v xml:space="preserve"> </v>
      </c>
      <c r="O143" s="47" t="str">
        <f>IFERROR('GULF COAST'!$J69/'GULF COAST'!$G69," ")</f>
        <v xml:space="preserve"> </v>
      </c>
      <c r="P143" s="47" t="str">
        <f>IFERROR(HILLSBOROUGH!$J69/HILLSBOROUGH!$G69," ")</f>
        <v xml:space="preserve"> </v>
      </c>
      <c r="Q143" s="47" t="str">
        <f>IFERROR('INDIAN RIVER'!$J69/'INDIAN RIVER'!$G69," ")</f>
        <v xml:space="preserve"> </v>
      </c>
      <c r="R143" s="47" t="str">
        <f>IFERROR(GATEWAY!$J69/GATEWAY!$G69," ")</f>
        <v xml:space="preserve"> </v>
      </c>
      <c r="S143" s="47" t="str">
        <f>IFERROR('LAKE SUMTER'!$J69/'LAKE SUMTER'!$G69," ")</f>
        <v xml:space="preserve"> </v>
      </c>
      <c r="T143" s="47" t="str">
        <f>IFERROR('SCF MANATEE'!$J69/'SCF MANATEE'!$G69," ")</f>
        <v xml:space="preserve"> </v>
      </c>
      <c r="U143" s="47" t="str">
        <f>IFERROR(MIAMI!$J69/MIAMI!$G69," ")</f>
        <v xml:space="preserve"> </v>
      </c>
      <c r="V143" s="47" t="str">
        <f>IFERROR('NORTH FLORIDA'!$J69/'NORTH FLORIDA'!$G69," ")</f>
        <v xml:space="preserve"> </v>
      </c>
      <c r="W143" s="47" t="str">
        <f>IFERROR('NORTHWEST FLORIDA'!$J69/'NORTHWEST FLORIDA'!$G69," ")</f>
        <v xml:space="preserve"> </v>
      </c>
      <c r="X143" s="47" t="str">
        <f>IFERROR('PALM BEACH'!$J69/'PALM BEACH'!$G69," ")</f>
        <v xml:space="preserve"> </v>
      </c>
      <c r="Y143" s="47" t="str">
        <f>IFERROR(PASCO!$J69/PASCO!$G69," ")</f>
        <v xml:space="preserve"> </v>
      </c>
      <c r="Z143" s="47" t="str">
        <f>IFERROR(PENSACOLA!$J69/PENSACOLA!$G69," ")</f>
        <v xml:space="preserve"> </v>
      </c>
      <c r="AA143" s="47" t="str">
        <f>IFERROR(POLK!$J69/POLK!$G69," ")</f>
        <v xml:space="preserve"> </v>
      </c>
      <c r="AB143" s="47" t="str">
        <f>IFERROR('ST JOHNS'!$J69/'ST JOHNS'!$G69," ")</f>
        <v xml:space="preserve"> </v>
      </c>
      <c r="AC143" s="47" t="str">
        <f>IFERROR('ST PETE'!$J69/'ST PETE'!$G69," ")</f>
        <v xml:space="preserve"> </v>
      </c>
      <c r="AD143" s="47">
        <f>IFERROR('SANTA FE'!$J69/'SANTA FE'!$G69," ")</f>
        <v>1</v>
      </c>
      <c r="AE143" s="47" t="str">
        <f>IFERROR(SEMINOLE!$J69/SEMINOLE!$G69," ")</f>
        <v xml:space="preserve"> </v>
      </c>
      <c r="AF143" s="47" t="str">
        <f>IFERROR('SOUTH FLORIDA'!$J69/'SOUTH FLORIDA'!$G69," ")</f>
        <v xml:space="preserve"> </v>
      </c>
      <c r="AG143" s="47" t="str">
        <f>IFERROR(TALLAHASSEE!$J69/TALLAHASSEE!$G69," ")</f>
        <v xml:space="preserve"> </v>
      </c>
      <c r="AH143" s="47">
        <f>IFERROR(VALENCIA!$J69/VALENCIA!$G69," ")</f>
        <v>1</v>
      </c>
      <c r="AI143" s="47">
        <f>IFERROR('System Summary'!$J69/'System Summary'!$G69," ")</f>
        <v>0.92860843522135816</v>
      </c>
    </row>
    <row r="144" spans="1:35" x14ac:dyDescent="0.35">
      <c r="A144" s="9"/>
      <c r="B144" s="9" t="s">
        <v>137</v>
      </c>
      <c r="C144" s="10"/>
      <c r="D144" s="9"/>
      <c r="E144" s="9" t="s">
        <v>138</v>
      </c>
      <c r="F144" s="9"/>
      <c r="G144" s="47">
        <f>IFERROR(EASTERN!J70/EASTERN!G70," ")</f>
        <v>1</v>
      </c>
      <c r="H144" s="47">
        <f>IFERROR(BROWARD!$J70/BROWARD!$G70," ")</f>
        <v>0.25282800763615831</v>
      </c>
      <c r="I144" s="47">
        <f>IFERROR(CENTRAL!$J70/CENTRAL!$G70," ")</f>
        <v>0.81150927384023386</v>
      </c>
      <c r="J144" s="47">
        <f>IFERROR(CHIPOLA!$J70/CHIPOLA!$G70," ")</f>
        <v>0.86573698400356913</v>
      </c>
      <c r="K144" s="47">
        <f>IFERROR(DAYTONA!$J70/DAYTONA!$G70," ")</f>
        <v>0.36952404855398308</v>
      </c>
      <c r="L144" s="47">
        <f>IFERROR(SOUTHWESTERN!$J70/SOUTHWESTERN!$G70," ")</f>
        <v>1</v>
      </c>
      <c r="M144" s="47">
        <f>IFERROR('FSC JAX'!$J70/'FSC JAX'!$G70," ")</f>
        <v>1</v>
      </c>
      <c r="N144" s="47">
        <f>IFERROR('FL KEYS'!$J70/'FL KEYS'!$G70," ")</f>
        <v>1</v>
      </c>
      <c r="O144" s="47">
        <f>IFERROR('GULF COAST'!$J70/'GULF COAST'!$G70," ")</f>
        <v>1</v>
      </c>
      <c r="P144" s="47">
        <f>IFERROR(HILLSBOROUGH!$J70/HILLSBOROUGH!$G70," ")</f>
        <v>0</v>
      </c>
      <c r="Q144" s="47">
        <f>IFERROR('INDIAN RIVER'!$J70/'INDIAN RIVER'!$G70," ")</f>
        <v>0.99999978929038902</v>
      </c>
      <c r="R144" s="47">
        <f>IFERROR(GATEWAY!$J70/GATEWAY!$G70," ")</f>
        <v>1</v>
      </c>
      <c r="S144" s="47">
        <f>IFERROR('LAKE SUMTER'!$J70/'LAKE SUMTER'!$G70," ")</f>
        <v>0.48345981249829267</v>
      </c>
      <c r="T144" s="47">
        <f>IFERROR('SCF MANATEE'!$J70/'SCF MANATEE'!$G70," ")</f>
        <v>0.71941630911985655</v>
      </c>
      <c r="U144" s="47">
        <f>IFERROR(MIAMI!$J70/MIAMI!$G70," ")</f>
        <v>0</v>
      </c>
      <c r="V144" s="47">
        <f>IFERROR('NORTH FLORIDA'!$J70/'NORTH FLORIDA'!$G70," ")</f>
        <v>1</v>
      </c>
      <c r="W144" s="47">
        <f>IFERROR('NORTHWEST FLORIDA'!$J70/'NORTHWEST FLORIDA'!$G70," ")</f>
        <v>1</v>
      </c>
      <c r="X144" s="47">
        <f>IFERROR('PALM BEACH'!$J70/'PALM BEACH'!$G70," ")</f>
        <v>1</v>
      </c>
      <c r="Y144" s="47">
        <f>IFERROR(PASCO!$J70/PASCO!$G70," ")</f>
        <v>0.96722438992121362</v>
      </c>
      <c r="Z144" s="47">
        <f>IFERROR(PENSACOLA!$J70/PENSACOLA!$G70," ")</f>
        <v>1</v>
      </c>
      <c r="AA144" s="47">
        <f>IFERROR(POLK!$J70/POLK!$G70," ")</f>
        <v>0.50202278827264168</v>
      </c>
      <c r="AB144" s="47">
        <f>IFERROR('ST JOHNS'!$J70/'ST JOHNS'!$G70," ")</f>
        <v>0.64093662408956387</v>
      </c>
      <c r="AC144" s="47">
        <f>IFERROR('ST PETE'!$J70/'ST PETE'!$G70," ")</f>
        <v>0.18572339225461629</v>
      </c>
      <c r="AD144" s="47">
        <f>IFERROR('SANTA FE'!$J70/'SANTA FE'!$G70," ")</f>
        <v>0.58015080432045862</v>
      </c>
      <c r="AE144" s="47">
        <f>IFERROR(SEMINOLE!$J70/SEMINOLE!$G70," ")</f>
        <v>0.5267617405041215</v>
      </c>
      <c r="AF144" s="47">
        <f>IFERROR('SOUTH FLORIDA'!$J70/'SOUTH FLORIDA'!$G70," ")</f>
        <v>0.39607042529704473</v>
      </c>
      <c r="AG144" s="47">
        <f>IFERROR(TALLAHASSEE!$J70/TALLAHASSEE!$G70," ")</f>
        <v>0.68467567497339776</v>
      </c>
      <c r="AH144" s="47">
        <f>IFERROR(VALENCIA!$J70/VALENCIA!$G70," ")</f>
        <v>0.31060268525912116</v>
      </c>
      <c r="AI144" s="47">
        <f>IFERROR('System Summary'!$J70/'System Summary'!$G70," ")</f>
        <v>0.53228745063316141</v>
      </c>
    </row>
    <row r="145" spans="1:35" x14ac:dyDescent="0.35">
      <c r="A145" s="9"/>
      <c r="B145" s="9"/>
      <c r="C145" s="10" t="s">
        <v>139</v>
      </c>
      <c r="D145" s="9"/>
      <c r="E145" s="9"/>
      <c r="F145" s="9" t="s">
        <v>140</v>
      </c>
      <c r="G145" s="47" t="str">
        <f>IFERROR(EASTERN!J71/EASTERN!G71," ")</f>
        <v xml:space="preserve"> </v>
      </c>
      <c r="H145" s="47">
        <f>IFERROR(BROWARD!$J71/BROWARD!$G71," ")</f>
        <v>0.57885541160944964</v>
      </c>
      <c r="I145" s="47" t="str">
        <f>IFERROR(CENTRAL!$J71/CENTRAL!$G71," ")</f>
        <v xml:space="preserve"> </v>
      </c>
      <c r="J145" s="47">
        <f>IFERROR(CHIPOLA!$J71/CHIPOLA!$G71," ")</f>
        <v>1</v>
      </c>
      <c r="K145" s="47">
        <f>IFERROR(DAYTONA!$J71/DAYTONA!$G71," ")</f>
        <v>0</v>
      </c>
      <c r="L145" s="47" t="str">
        <f>IFERROR(SOUTHWESTERN!$J71/SOUTHWESTERN!$G71," ")</f>
        <v xml:space="preserve"> </v>
      </c>
      <c r="M145" s="47" t="str">
        <f>IFERROR('FSC JAX'!$J71/'FSC JAX'!$G71," ")</f>
        <v xml:space="preserve"> </v>
      </c>
      <c r="N145" s="47">
        <f>IFERROR('FL KEYS'!$J71/'FL KEYS'!$G71," ")</f>
        <v>1</v>
      </c>
      <c r="O145" s="47" t="str">
        <f>IFERROR('GULF COAST'!$J71/'GULF COAST'!$G71," ")</f>
        <v xml:space="preserve"> </v>
      </c>
      <c r="P145" s="47" t="str">
        <f>IFERROR(HILLSBOROUGH!$J71/HILLSBOROUGH!$G71," ")</f>
        <v xml:space="preserve"> </v>
      </c>
      <c r="Q145" s="47" t="str">
        <f>IFERROR('INDIAN RIVER'!$J71/'INDIAN RIVER'!$G71," ")</f>
        <v xml:space="preserve"> </v>
      </c>
      <c r="R145" s="47" t="str">
        <f>IFERROR(GATEWAY!$J71/GATEWAY!$G71," ")</f>
        <v xml:space="preserve"> </v>
      </c>
      <c r="S145" s="47" t="str">
        <f>IFERROR('LAKE SUMTER'!$J71/'LAKE SUMTER'!$G71," ")</f>
        <v xml:space="preserve"> </v>
      </c>
      <c r="T145" s="47">
        <f>IFERROR('SCF MANATEE'!$J71/'SCF MANATEE'!$G71," ")</f>
        <v>0.71941630911985655</v>
      </c>
      <c r="U145" s="47" t="str">
        <f>IFERROR(MIAMI!$J71/MIAMI!$G71," ")</f>
        <v xml:space="preserve"> </v>
      </c>
      <c r="V145" s="47" t="str">
        <f>IFERROR('NORTH FLORIDA'!$J71/'NORTH FLORIDA'!$G71," ")</f>
        <v xml:space="preserve"> </v>
      </c>
      <c r="W145" s="47" t="str">
        <f>IFERROR('NORTHWEST FLORIDA'!$J71/'NORTHWEST FLORIDA'!$G71," ")</f>
        <v xml:space="preserve"> </v>
      </c>
      <c r="X145" s="47" t="str">
        <f>IFERROR('PALM BEACH'!$J71/'PALM BEACH'!$G71," ")</f>
        <v xml:space="preserve"> </v>
      </c>
      <c r="Y145" s="47">
        <f>IFERROR(PASCO!$J71/PASCO!$G71," ")</f>
        <v>1</v>
      </c>
      <c r="Z145" s="47">
        <f>IFERROR(PENSACOLA!$J71/PENSACOLA!$G71," ")</f>
        <v>1</v>
      </c>
      <c r="AA145" s="47" t="str">
        <f>IFERROR(POLK!$J71/POLK!$G71," ")</f>
        <v xml:space="preserve"> </v>
      </c>
      <c r="AB145" s="47">
        <f>IFERROR('ST JOHNS'!$J71/'ST JOHNS'!$G71," ")</f>
        <v>0.50000058880262277</v>
      </c>
      <c r="AC145" s="47" t="str">
        <f>IFERROR('ST PETE'!$J71/'ST PETE'!$G71," ")</f>
        <v xml:space="preserve"> </v>
      </c>
      <c r="AD145" s="47" t="str">
        <f>IFERROR('SANTA FE'!$J71/'SANTA FE'!$G71," ")</f>
        <v xml:space="preserve"> </v>
      </c>
      <c r="AE145" s="47" t="str">
        <f>IFERROR(SEMINOLE!$J71/SEMINOLE!$G71," ")</f>
        <v xml:space="preserve"> </v>
      </c>
      <c r="AF145" s="47" t="str">
        <f>IFERROR('SOUTH FLORIDA'!$J71/'SOUTH FLORIDA'!$G71," ")</f>
        <v xml:space="preserve"> </v>
      </c>
      <c r="AG145" s="47" t="str">
        <f>IFERROR(TALLAHASSEE!$J71/TALLAHASSEE!$G71," ")</f>
        <v xml:space="preserve"> </v>
      </c>
      <c r="AH145" s="47" t="str">
        <f>IFERROR(VALENCIA!$J71/VALENCIA!$G71," ")</f>
        <v xml:space="preserve"> </v>
      </c>
      <c r="AI145" s="47">
        <f>IFERROR('System Summary'!$J71/'System Summary'!$G71," ")</f>
        <v>0.69407592307374555</v>
      </c>
    </row>
    <row r="146" spans="1:35" x14ac:dyDescent="0.35">
      <c r="A146" s="9"/>
      <c r="B146" s="9"/>
      <c r="C146" s="10" t="s">
        <v>141</v>
      </c>
      <c r="D146" s="9"/>
      <c r="E146" s="9"/>
      <c r="F146" s="9" t="s">
        <v>142</v>
      </c>
      <c r="G146" s="47">
        <f>IFERROR(EASTERN!J72/EASTERN!G72," ")</f>
        <v>1</v>
      </c>
      <c r="H146" s="47">
        <f>IFERROR(BROWARD!$J72/BROWARD!$G72," ")</f>
        <v>0.1361113258066165</v>
      </c>
      <c r="I146" s="47">
        <f>IFERROR(CENTRAL!$J72/CENTRAL!$G72," ")</f>
        <v>1</v>
      </c>
      <c r="J146" s="47">
        <f>IFERROR(CHIPOLA!$J72/CHIPOLA!$G72," ")</f>
        <v>0.80441297009522195</v>
      </c>
      <c r="K146" s="47">
        <f>IFERROR(DAYTONA!$J72/DAYTONA!$G72," ")</f>
        <v>0</v>
      </c>
      <c r="L146" s="47">
        <f>IFERROR(SOUTHWESTERN!$J72/SOUTHWESTERN!$G72," ")</f>
        <v>1</v>
      </c>
      <c r="M146" s="47">
        <f>IFERROR('FSC JAX'!$J72/'FSC JAX'!$G72," ")</f>
        <v>1</v>
      </c>
      <c r="N146" s="47">
        <f>IFERROR('FL KEYS'!$J72/'FL KEYS'!$G72," ")</f>
        <v>1</v>
      </c>
      <c r="O146" s="47">
        <f>IFERROR('GULF COAST'!$J72/'GULF COAST'!$G72," ")</f>
        <v>1</v>
      </c>
      <c r="P146" s="47">
        <f>IFERROR(HILLSBOROUGH!$J72/HILLSBOROUGH!$G72," ")</f>
        <v>0</v>
      </c>
      <c r="Q146" s="47" t="str">
        <f>IFERROR('INDIAN RIVER'!$J72/'INDIAN RIVER'!$G72," ")</f>
        <v xml:space="preserve"> </v>
      </c>
      <c r="R146" s="47">
        <f>IFERROR(GATEWAY!$J72/GATEWAY!$G72," ")</f>
        <v>1</v>
      </c>
      <c r="S146" s="47">
        <f>IFERROR('LAKE SUMTER'!$J72/'LAKE SUMTER'!$G72," ")</f>
        <v>0.18594288350386512</v>
      </c>
      <c r="T146" s="47" t="str">
        <f>IFERROR('SCF MANATEE'!$J72/'SCF MANATEE'!$G72," ")</f>
        <v xml:space="preserve"> </v>
      </c>
      <c r="U146" s="47">
        <f>IFERROR(MIAMI!$J72/MIAMI!$G72," ")</f>
        <v>0</v>
      </c>
      <c r="V146" s="47">
        <f>IFERROR('NORTH FLORIDA'!$J72/'NORTH FLORIDA'!$G72," ")</f>
        <v>1</v>
      </c>
      <c r="W146" s="47">
        <f>IFERROR('NORTHWEST FLORIDA'!$J72/'NORTHWEST FLORIDA'!$G72," ")</f>
        <v>1</v>
      </c>
      <c r="X146" s="47">
        <f>IFERROR('PALM BEACH'!$J72/'PALM BEACH'!$G72," ")</f>
        <v>1</v>
      </c>
      <c r="Y146" s="47">
        <f>IFERROR(PASCO!$J72/PASCO!$G72," ")</f>
        <v>0.94999999695671522</v>
      </c>
      <c r="Z146" s="47">
        <f>IFERROR(PENSACOLA!$J72/PENSACOLA!$G72," ")</f>
        <v>1</v>
      </c>
      <c r="AA146" s="47">
        <f>IFERROR(POLK!$J72/POLK!$G72," ")</f>
        <v>0.21581089094102479</v>
      </c>
      <c r="AB146" s="47">
        <f>IFERROR('ST JOHNS'!$J72/'ST JOHNS'!$G72," ")</f>
        <v>0.5</v>
      </c>
      <c r="AC146" s="47">
        <f>IFERROR('ST PETE'!$J72/'ST PETE'!$G72," ")</f>
        <v>0.18572339225461629</v>
      </c>
      <c r="AD146" s="47">
        <f>IFERROR('SANTA FE'!$J72/'SANTA FE'!$G72," ")</f>
        <v>0.16988396500794939</v>
      </c>
      <c r="AE146" s="47">
        <f>IFERROR(SEMINOLE!$J72/SEMINOLE!$G72," ")</f>
        <v>0.39653332769968253</v>
      </c>
      <c r="AF146" s="47">
        <f>IFERROR('SOUTH FLORIDA'!$J72/'SOUTH FLORIDA'!$G72," ")</f>
        <v>0</v>
      </c>
      <c r="AG146" s="47">
        <f>IFERROR(TALLAHASSEE!$J72/TALLAHASSEE!$G72," ")</f>
        <v>0.5</v>
      </c>
      <c r="AH146" s="47">
        <f>IFERROR(VALENCIA!$J72/VALENCIA!$G72," ")</f>
        <v>0.32572065573245179</v>
      </c>
      <c r="AI146" s="47">
        <f>IFERROR('System Summary'!$J72/'System Summary'!$G72," ")</f>
        <v>0.42489833376158093</v>
      </c>
    </row>
    <row r="147" spans="1:35" x14ac:dyDescent="0.35">
      <c r="A147" s="9"/>
      <c r="B147" s="9"/>
      <c r="C147" s="10" t="s">
        <v>143</v>
      </c>
      <c r="D147" s="9"/>
      <c r="E147" s="9"/>
      <c r="F147" s="9" t="s">
        <v>144</v>
      </c>
      <c r="G147" s="47">
        <f>IFERROR(EASTERN!J73/EASTERN!G73," ")</f>
        <v>1</v>
      </c>
      <c r="H147" s="47">
        <f>IFERROR(BROWARD!$J73/BROWARD!$G73," ")</f>
        <v>0.32622085676241847</v>
      </c>
      <c r="I147" s="47">
        <f>IFERROR(CENTRAL!$J73/CENTRAL!$G73," ")</f>
        <v>0.50000101586579193</v>
      </c>
      <c r="J147" s="47" t="str">
        <f>IFERROR(CHIPOLA!$J73/CHIPOLA!$G73," ")</f>
        <v xml:space="preserve"> </v>
      </c>
      <c r="K147" s="47">
        <f>IFERROR(DAYTONA!$J73/DAYTONA!$G73," ")</f>
        <v>1</v>
      </c>
      <c r="L147" s="47">
        <f>IFERROR(SOUTHWESTERN!$J73/SOUTHWESTERN!$G73," ")</f>
        <v>1</v>
      </c>
      <c r="M147" s="47">
        <f>IFERROR('FSC JAX'!$J73/'FSC JAX'!$G73," ")</f>
        <v>1</v>
      </c>
      <c r="N147" s="47" t="str">
        <f>IFERROR('FL KEYS'!$J73/'FL KEYS'!$G73," ")</f>
        <v xml:space="preserve"> </v>
      </c>
      <c r="O147" s="47" t="str">
        <f>IFERROR('GULF COAST'!$J73/'GULF COAST'!$G73," ")</f>
        <v xml:space="preserve"> </v>
      </c>
      <c r="P147" s="47">
        <f>IFERROR(HILLSBOROUGH!$J73/HILLSBOROUGH!$G73," ")</f>
        <v>0</v>
      </c>
      <c r="Q147" s="47">
        <f>IFERROR('INDIAN RIVER'!$J73/'INDIAN RIVER'!$G73," ")</f>
        <v>0.99999978929038902</v>
      </c>
      <c r="R147" s="47">
        <f>IFERROR(GATEWAY!$J73/GATEWAY!$G73," ")</f>
        <v>1</v>
      </c>
      <c r="S147" s="47">
        <f>IFERROR('LAKE SUMTER'!$J73/'LAKE SUMTER'!$G73," ")</f>
        <v>1</v>
      </c>
      <c r="T147" s="47" t="str">
        <f>IFERROR('SCF MANATEE'!$J73/'SCF MANATEE'!$G73," ")</f>
        <v xml:space="preserve"> </v>
      </c>
      <c r="U147" s="47" t="str">
        <f>IFERROR(MIAMI!$J73/MIAMI!$G73," ")</f>
        <v xml:space="preserve"> </v>
      </c>
      <c r="V147" s="47">
        <f>IFERROR('NORTH FLORIDA'!$J73/'NORTH FLORIDA'!$G73," ")</f>
        <v>1</v>
      </c>
      <c r="W147" s="47">
        <f>IFERROR('NORTHWEST FLORIDA'!$J73/'NORTHWEST FLORIDA'!$G73," ")</f>
        <v>1</v>
      </c>
      <c r="X147" s="47">
        <f>IFERROR('PALM BEACH'!$J73/'PALM BEACH'!$G73," ")</f>
        <v>1</v>
      </c>
      <c r="Y147" s="47">
        <f>IFERROR(PASCO!$J73/PASCO!$G73," ")</f>
        <v>1</v>
      </c>
      <c r="Z147" s="47">
        <f>IFERROR(PENSACOLA!$J73/PENSACOLA!$G73," ")</f>
        <v>1</v>
      </c>
      <c r="AA147" s="47">
        <f>IFERROR(POLK!$J73/POLK!$G73," ")</f>
        <v>1</v>
      </c>
      <c r="AB147" s="47">
        <f>IFERROR('ST JOHNS'!$J73/'ST JOHNS'!$G73," ")</f>
        <v>1</v>
      </c>
      <c r="AC147" s="47" t="str">
        <f>IFERROR('ST PETE'!$J73/'ST PETE'!$G73," ")</f>
        <v xml:space="preserve"> </v>
      </c>
      <c r="AD147" s="47">
        <f>IFERROR('SANTA FE'!$J73/'SANTA FE'!$G73," ")</f>
        <v>1</v>
      </c>
      <c r="AE147" s="47">
        <f>IFERROR(SEMINOLE!$J73/SEMINOLE!$G73," ")</f>
        <v>1</v>
      </c>
      <c r="AF147" s="47">
        <f>IFERROR('SOUTH FLORIDA'!$J73/'SOUTH FLORIDA'!$G73," ")</f>
        <v>1</v>
      </c>
      <c r="AG147" s="47">
        <f>IFERROR(TALLAHASSEE!$J73/TALLAHASSEE!$G73," ")</f>
        <v>1</v>
      </c>
      <c r="AH147" s="47">
        <f>IFERROR(VALENCIA!$J73/VALENCIA!$G73," ")</f>
        <v>0</v>
      </c>
      <c r="AI147" s="47">
        <f>IFERROR('System Summary'!$J73/'System Summary'!$G73," ")</f>
        <v>0.84099782723955108</v>
      </c>
    </row>
    <row r="148" spans="1:35" x14ac:dyDescent="0.35">
      <c r="A148" s="9"/>
      <c r="B148" s="9" t="s">
        <v>145</v>
      </c>
      <c r="C148" s="10"/>
      <c r="D148" s="9"/>
      <c r="E148" s="9" t="s">
        <v>127</v>
      </c>
      <c r="F148" s="9"/>
      <c r="G148" s="47" t="str">
        <f>IFERROR(EASTERN!J74/EASTERN!G74," ")</f>
        <v xml:space="preserve"> </v>
      </c>
      <c r="H148" s="47" t="str">
        <f>IFERROR(BROWARD!$J74/BROWARD!$G74," ")</f>
        <v xml:space="preserve"> </v>
      </c>
      <c r="I148" s="47" t="str">
        <f>IFERROR(CENTRAL!$J74/CENTRAL!$G74," ")</f>
        <v xml:space="preserve"> </v>
      </c>
      <c r="J148" s="47" t="str">
        <f>IFERROR(CHIPOLA!$J74/CHIPOLA!$G74," ")</f>
        <v xml:space="preserve"> </v>
      </c>
      <c r="K148" s="47" t="str">
        <f>IFERROR(DAYTONA!$J74/DAYTONA!$G74," ")</f>
        <v xml:space="preserve"> </v>
      </c>
      <c r="L148" s="47" t="str">
        <f>IFERROR(SOUTHWESTERN!$J74/SOUTHWESTERN!$G74," ")</f>
        <v xml:space="preserve"> </v>
      </c>
      <c r="M148" s="47" t="str">
        <f>IFERROR('FSC JAX'!$J74/'FSC JAX'!$G74," ")</f>
        <v xml:space="preserve"> </v>
      </c>
      <c r="N148" s="47" t="str">
        <f>IFERROR('FL KEYS'!$J74/'FL KEYS'!$G74," ")</f>
        <v xml:space="preserve"> </v>
      </c>
      <c r="O148" s="47" t="str">
        <f>IFERROR('GULF COAST'!$J74/'GULF COAST'!$G74," ")</f>
        <v xml:space="preserve"> </v>
      </c>
      <c r="P148" s="47" t="str">
        <f>IFERROR(HILLSBOROUGH!$J74/HILLSBOROUGH!$G74," ")</f>
        <v xml:space="preserve"> </v>
      </c>
      <c r="Q148" s="47" t="str">
        <f>IFERROR('INDIAN RIVER'!$J74/'INDIAN RIVER'!$G74," ")</f>
        <v xml:space="preserve"> </v>
      </c>
      <c r="R148" s="47" t="str">
        <f>IFERROR(GATEWAY!$J74/GATEWAY!$G74," ")</f>
        <v xml:space="preserve"> </v>
      </c>
      <c r="S148" s="47" t="str">
        <f>IFERROR('LAKE SUMTER'!$J74/'LAKE SUMTER'!$G74," ")</f>
        <v xml:space="preserve"> </v>
      </c>
      <c r="T148" s="47" t="str">
        <f>IFERROR('SCF MANATEE'!$J74/'SCF MANATEE'!$G74," ")</f>
        <v xml:space="preserve"> </v>
      </c>
      <c r="U148" s="47" t="str">
        <f>IFERROR(MIAMI!$J74/MIAMI!$G74," ")</f>
        <v xml:space="preserve"> </v>
      </c>
      <c r="V148" s="47" t="str">
        <f>IFERROR('NORTH FLORIDA'!$J74/'NORTH FLORIDA'!$G74," ")</f>
        <v xml:space="preserve"> </v>
      </c>
      <c r="W148" s="47" t="str">
        <f>IFERROR('NORTHWEST FLORIDA'!$J74/'NORTHWEST FLORIDA'!$G74," ")</f>
        <v xml:space="preserve"> </v>
      </c>
      <c r="X148" s="47" t="str">
        <f>IFERROR('PALM BEACH'!$J74/'PALM BEACH'!$G74," ")</f>
        <v xml:space="preserve"> </v>
      </c>
      <c r="Y148" s="47" t="str">
        <f>IFERROR(PASCO!$J74/PASCO!$G74," ")</f>
        <v xml:space="preserve"> </v>
      </c>
      <c r="Z148" s="47" t="str">
        <f>IFERROR(PENSACOLA!$J74/PENSACOLA!$G74," ")</f>
        <v xml:space="preserve"> </v>
      </c>
      <c r="AA148" s="47" t="str">
        <f>IFERROR(POLK!$J74/POLK!$G74," ")</f>
        <v xml:space="preserve"> </v>
      </c>
      <c r="AB148" s="47" t="str">
        <f>IFERROR('ST JOHNS'!$J74/'ST JOHNS'!$G74," ")</f>
        <v xml:space="preserve"> </v>
      </c>
      <c r="AC148" s="47" t="str">
        <f>IFERROR('ST PETE'!$J74/'ST PETE'!$G74," ")</f>
        <v xml:space="preserve"> </v>
      </c>
      <c r="AD148" s="47" t="str">
        <f>IFERROR('SANTA FE'!$J74/'SANTA FE'!$G74," ")</f>
        <v xml:space="preserve"> </v>
      </c>
      <c r="AE148" s="47" t="str">
        <f>IFERROR(SEMINOLE!$J74/SEMINOLE!$G74," ")</f>
        <v xml:space="preserve"> </v>
      </c>
      <c r="AF148" s="47" t="str">
        <f>IFERROR('SOUTH FLORIDA'!$J74/'SOUTH FLORIDA'!$G74," ")</f>
        <v xml:space="preserve"> </v>
      </c>
      <c r="AG148" s="47" t="str">
        <f>IFERROR(TALLAHASSEE!$J74/TALLAHASSEE!$G74," ")</f>
        <v xml:space="preserve"> </v>
      </c>
      <c r="AH148" s="47" t="str">
        <f>IFERROR(VALENCIA!$J74/VALENCIA!$G74," ")</f>
        <v xml:space="preserve"> </v>
      </c>
      <c r="AI148" s="47" t="str">
        <f>IFERROR('System Summary'!$J74/'System Summary'!$G74," ")</f>
        <v xml:space="preserve"> </v>
      </c>
    </row>
    <row r="149" spans="1:35" x14ac:dyDescent="0.35">
      <c r="A149" s="9"/>
      <c r="B149" s="9" t="s">
        <v>146</v>
      </c>
      <c r="C149" s="10"/>
      <c r="D149" s="9"/>
      <c r="E149" s="9" t="s">
        <v>127</v>
      </c>
      <c r="F149" s="9"/>
      <c r="G149" s="47" t="str">
        <f>IFERROR(EASTERN!J75/EASTERN!G75," ")</f>
        <v xml:space="preserve"> </v>
      </c>
      <c r="H149" s="47" t="str">
        <f>IFERROR(BROWARD!$J75/BROWARD!$G75," ")</f>
        <v xml:space="preserve"> </v>
      </c>
      <c r="I149" s="47" t="str">
        <f>IFERROR(CENTRAL!$J75/CENTRAL!$G75," ")</f>
        <v xml:space="preserve"> </v>
      </c>
      <c r="J149" s="47" t="str">
        <f>IFERROR(CHIPOLA!$J75/CHIPOLA!$G75," ")</f>
        <v xml:space="preserve"> </v>
      </c>
      <c r="K149" s="47" t="str">
        <f>IFERROR(DAYTONA!$J75/DAYTONA!$G75," ")</f>
        <v xml:space="preserve"> </v>
      </c>
      <c r="L149" s="47" t="str">
        <f>IFERROR(SOUTHWESTERN!$J75/SOUTHWESTERN!$G75," ")</f>
        <v xml:space="preserve"> </v>
      </c>
      <c r="M149" s="47" t="str">
        <f>IFERROR('FSC JAX'!$J75/'FSC JAX'!$G75," ")</f>
        <v xml:space="preserve"> </v>
      </c>
      <c r="N149" s="47" t="str">
        <f>IFERROR('FL KEYS'!$J75/'FL KEYS'!$G75," ")</f>
        <v xml:space="preserve"> </v>
      </c>
      <c r="O149" s="47" t="str">
        <f>IFERROR('GULF COAST'!$J75/'GULF COAST'!$G75," ")</f>
        <v xml:space="preserve"> </v>
      </c>
      <c r="P149" s="47" t="str">
        <f>IFERROR(HILLSBOROUGH!$J75/HILLSBOROUGH!$G75," ")</f>
        <v xml:space="preserve"> </v>
      </c>
      <c r="Q149" s="47" t="str">
        <f>IFERROR('INDIAN RIVER'!$J75/'INDIAN RIVER'!$G75," ")</f>
        <v xml:space="preserve"> </v>
      </c>
      <c r="R149" s="47" t="str">
        <f>IFERROR(GATEWAY!$J75/GATEWAY!$G75," ")</f>
        <v xml:space="preserve"> </v>
      </c>
      <c r="S149" s="47" t="str">
        <f>IFERROR('LAKE SUMTER'!$J75/'LAKE SUMTER'!$G75," ")</f>
        <v xml:space="preserve"> </v>
      </c>
      <c r="T149" s="47" t="str">
        <f>IFERROR('SCF MANATEE'!$J75/'SCF MANATEE'!$G75," ")</f>
        <v xml:space="preserve"> </v>
      </c>
      <c r="U149" s="47" t="str">
        <f>IFERROR(MIAMI!$J75/MIAMI!$G75," ")</f>
        <v xml:space="preserve"> </v>
      </c>
      <c r="V149" s="47" t="str">
        <f>IFERROR('NORTH FLORIDA'!$J75/'NORTH FLORIDA'!$G75," ")</f>
        <v xml:space="preserve"> </v>
      </c>
      <c r="W149" s="47" t="str">
        <f>IFERROR('NORTHWEST FLORIDA'!$J75/'NORTHWEST FLORIDA'!$G75," ")</f>
        <v xml:space="preserve"> </v>
      </c>
      <c r="X149" s="47" t="str">
        <f>IFERROR('PALM BEACH'!$J75/'PALM BEACH'!$G75," ")</f>
        <v xml:space="preserve"> </v>
      </c>
      <c r="Y149" s="47" t="str">
        <f>IFERROR(PASCO!$J75/PASCO!$G75," ")</f>
        <v xml:space="preserve"> </v>
      </c>
      <c r="Z149" s="47" t="str">
        <f>IFERROR(PENSACOLA!$J75/PENSACOLA!$G75," ")</f>
        <v xml:space="preserve"> </v>
      </c>
      <c r="AA149" s="47" t="str">
        <f>IFERROR(POLK!$J75/POLK!$G75," ")</f>
        <v xml:space="preserve"> </v>
      </c>
      <c r="AB149" s="47" t="str">
        <f>IFERROR('ST JOHNS'!$J75/'ST JOHNS'!$G75," ")</f>
        <v xml:space="preserve"> </v>
      </c>
      <c r="AC149" s="47" t="str">
        <f>IFERROR('ST PETE'!$J75/'ST PETE'!$G75," ")</f>
        <v xml:space="preserve"> </v>
      </c>
      <c r="AD149" s="47" t="str">
        <f>IFERROR('SANTA FE'!$J75/'SANTA FE'!$G75," ")</f>
        <v xml:space="preserve"> </v>
      </c>
      <c r="AE149" s="47" t="str">
        <f>IFERROR(SEMINOLE!$J75/SEMINOLE!$G75," ")</f>
        <v xml:space="preserve"> </v>
      </c>
      <c r="AF149" s="47" t="str">
        <f>IFERROR('SOUTH FLORIDA'!$J75/'SOUTH FLORIDA'!$G75," ")</f>
        <v xml:space="preserve"> </v>
      </c>
      <c r="AG149" s="47" t="str">
        <f>IFERROR(TALLAHASSEE!$J75/TALLAHASSEE!$G75," ")</f>
        <v xml:space="preserve"> </v>
      </c>
      <c r="AH149" s="47" t="str">
        <f>IFERROR(VALENCIA!$J75/VALENCIA!$G75," ")</f>
        <v xml:space="preserve"> </v>
      </c>
      <c r="AI149" s="47" t="str">
        <f>IFERROR('System Summary'!$J75/'System Summary'!$G75," ")</f>
        <v xml:space="preserve"> </v>
      </c>
    </row>
    <row r="150" spans="1:35" x14ac:dyDescent="0.35">
      <c r="A150" s="4" t="s">
        <v>147</v>
      </c>
      <c r="B150" s="4"/>
      <c r="C150" s="22"/>
      <c r="D150" s="4"/>
      <c r="E150" s="4"/>
      <c r="F150" s="4"/>
      <c r="G150" s="47">
        <f>IFERROR(EASTERN!J76/EASTERN!G76," ")</f>
        <v>0.70479994253071865</v>
      </c>
      <c r="H150" s="47">
        <f>IFERROR(BROWARD!$J76/BROWARD!$G76," ")</f>
        <v>0.59402397633046078</v>
      </c>
      <c r="I150" s="47">
        <f>IFERROR(CENTRAL!$J76/CENTRAL!$G76," ")</f>
        <v>0.86244555420742441</v>
      </c>
      <c r="J150" s="47">
        <f>IFERROR(CHIPOLA!$J76/CHIPOLA!$G76," ")</f>
        <v>0.58257804950021252</v>
      </c>
      <c r="K150" s="47">
        <f>IFERROR(DAYTONA!$J76/DAYTONA!$G76," ")</f>
        <v>0.46630067833936972</v>
      </c>
      <c r="L150" s="47">
        <f>IFERROR(SOUTHWESTERN!$J76/SOUTHWESTERN!$G76," ")</f>
        <v>0.44851505561280497</v>
      </c>
      <c r="M150" s="47">
        <f>IFERROR('FSC JAX'!$J76/'FSC JAX'!$G76," ")</f>
        <v>0.66704936303997941</v>
      </c>
      <c r="N150" s="47">
        <f>IFERROR('FL KEYS'!$J76/'FL KEYS'!$G76," ")</f>
        <v>0.66429356011484575</v>
      </c>
      <c r="O150" s="47">
        <f>IFERROR('GULF COAST'!$J76/'GULF COAST'!$G76," ")</f>
        <v>0.60588790404704951</v>
      </c>
      <c r="P150" s="47">
        <f>IFERROR(HILLSBOROUGH!$J76/HILLSBOROUGH!$G76," ")</f>
        <v>0.43480451091584349</v>
      </c>
      <c r="Q150" s="47">
        <f>IFERROR('INDIAN RIVER'!$J76/'INDIAN RIVER'!$G76," ")</f>
        <v>0.38829287358039033</v>
      </c>
      <c r="R150" s="47">
        <f>IFERROR(GATEWAY!$J76/GATEWAY!$G76," ")</f>
        <v>0.37331718223461979</v>
      </c>
      <c r="S150" s="47">
        <f>IFERROR('LAKE SUMTER'!$J76/'LAKE SUMTER'!$G76," ")</f>
        <v>0.63014874731294734</v>
      </c>
      <c r="T150" s="47">
        <f>IFERROR('SCF MANATEE'!$J76/'SCF MANATEE'!$G76," ")</f>
        <v>0.72888389887182004</v>
      </c>
      <c r="U150" s="47">
        <f>IFERROR(MIAMI!$J76/MIAMI!$G76," ")</f>
        <v>0.67308277324708554</v>
      </c>
      <c r="V150" s="47">
        <f>IFERROR('NORTH FLORIDA'!$J76/'NORTH FLORIDA'!$G76," ")</f>
        <v>0.56455755635348992</v>
      </c>
      <c r="W150" s="47">
        <f>IFERROR('NORTHWEST FLORIDA'!$J76/'NORTHWEST FLORIDA'!$G76," ")</f>
        <v>0.60768186917667066</v>
      </c>
      <c r="X150" s="47">
        <f>IFERROR('PALM BEACH'!$J76/'PALM BEACH'!$G76," ")</f>
        <v>0.58144108022801111</v>
      </c>
      <c r="Y150" s="47">
        <f>IFERROR(PASCO!$J76/PASCO!$G76," ")</f>
        <v>0.72241735134533147</v>
      </c>
      <c r="Z150" s="47">
        <f>IFERROR(PENSACOLA!$J76/PENSACOLA!$G76," ")</f>
        <v>0.6767472071322902</v>
      </c>
      <c r="AA150" s="47">
        <f>IFERROR(POLK!$J76/POLK!$G76," ")</f>
        <v>0.51760441430176629</v>
      </c>
      <c r="AB150" s="47">
        <f>IFERROR('ST JOHNS'!$J76/'ST JOHNS'!$G76," ")</f>
        <v>0.55456758642517401</v>
      </c>
      <c r="AC150" s="47">
        <f>IFERROR('ST PETE'!$J76/'ST PETE'!$G76," ")</f>
        <v>0.27058744868048878</v>
      </c>
      <c r="AD150" s="47">
        <f>IFERROR('SANTA FE'!$J76/'SANTA FE'!$G76," ")</f>
        <v>0.68368628842288159</v>
      </c>
      <c r="AE150" s="47">
        <f>IFERROR(SEMINOLE!$J76/SEMINOLE!$G76," ")</f>
        <v>0.50314518687137166</v>
      </c>
      <c r="AF150" s="47">
        <f>IFERROR('SOUTH FLORIDA'!$J76/'SOUTH FLORIDA'!$G76," ")</f>
        <v>0.45804961580049397</v>
      </c>
      <c r="AG150" s="47">
        <f>IFERROR(TALLAHASSEE!$J76/TALLAHASSEE!$G76," ")</f>
        <v>0.79620255731560197</v>
      </c>
      <c r="AH150" s="47">
        <f>IFERROR(VALENCIA!$J76/VALENCIA!$G76," ")</f>
        <v>0.53580030649957056</v>
      </c>
      <c r="AI150" s="47">
        <f>IFERROR('System Summary'!$J76/'System Summary'!$G76," ")</f>
        <v>0.59718906546750372</v>
      </c>
    </row>
  </sheetData>
  <conditionalFormatting sqref="G10:AH10">
    <cfRule type="cellIs" dxfId="578" priority="112" operator="notEqual">
      <formula>$AI$10</formula>
    </cfRule>
  </conditionalFormatting>
  <conditionalFormatting sqref="G10:AH25">
    <cfRule type="cellIs" priority="79" stopIfTrue="1" operator="equal">
      <formula>" "</formula>
    </cfRule>
  </conditionalFormatting>
  <conditionalFormatting sqref="G11:AH11">
    <cfRule type="cellIs" dxfId="577" priority="108" operator="notEqual">
      <formula>$AI$11</formula>
    </cfRule>
  </conditionalFormatting>
  <conditionalFormatting sqref="G12:AH12">
    <cfRule type="cellIs" dxfId="576" priority="106" operator="notEqual">
      <formula>$AI$12</formula>
    </cfRule>
  </conditionalFormatting>
  <conditionalFormatting sqref="G13:AH13">
    <cfRule type="cellIs" dxfId="575" priority="104" operator="notEqual">
      <formula>$AI$13</formula>
    </cfRule>
  </conditionalFormatting>
  <conditionalFormatting sqref="G14:AH14">
    <cfRule type="cellIs" dxfId="574" priority="102" operator="notEqual">
      <formula>$AI$14</formula>
    </cfRule>
  </conditionalFormatting>
  <conditionalFormatting sqref="G15:AH15">
    <cfRule type="cellIs" dxfId="573" priority="100" operator="notEqual">
      <formula>$AI$15</formula>
    </cfRule>
  </conditionalFormatting>
  <conditionalFormatting sqref="G16:AH16">
    <cfRule type="cellIs" dxfId="572" priority="98" operator="notEqual">
      <formula>$AI$16</formula>
    </cfRule>
  </conditionalFormatting>
  <conditionalFormatting sqref="G17:AH17">
    <cfRule type="cellIs" dxfId="571" priority="96" operator="notEqual">
      <formula>$AI$17</formula>
    </cfRule>
  </conditionalFormatting>
  <conditionalFormatting sqref="G18:AH18">
    <cfRule type="cellIs" dxfId="570" priority="94" operator="notEqual">
      <formula>$AI$18</formula>
    </cfRule>
  </conditionalFormatting>
  <conditionalFormatting sqref="G19:AH19">
    <cfRule type="cellIs" dxfId="569" priority="92" operator="notEqual">
      <formula>$AI$19</formula>
    </cfRule>
  </conditionalFormatting>
  <conditionalFormatting sqref="G20:AH20">
    <cfRule type="cellIs" dxfId="568" priority="90" operator="notEqual">
      <formula>$AI$20</formula>
    </cfRule>
  </conditionalFormatting>
  <conditionalFormatting sqref="G21:AH21">
    <cfRule type="cellIs" dxfId="567" priority="88" operator="notEqual">
      <formula>$AI$21</formula>
    </cfRule>
  </conditionalFormatting>
  <conditionalFormatting sqref="G22:AH22">
    <cfRule type="cellIs" dxfId="566" priority="86" operator="notEqual">
      <formula>$AI$22</formula>
    </cfRule>
  </conditionalFormatting>
  <conditionalFormatting sqref="G23:AH23">
    <cfRule type="cellIs" dxfId="565" priority="84" operator="notEqual">
      <formula>$AI$23</formula>
    </cfRule>
  </conditionalFormatting>
  <conditionalFormatting sqref="G24:AH24">
    <cfRule type="cellIs" dxfId="564" priority="82" operator="notEqual">
      <formula>$AI$24</formula>
    </cfRule>
  </conditionalFormatting>
  <conditionalFormatting sqref="G25:AH25">
    <cfRule type="cellIs" dxfId="563" priority="80" operator="notEqual">
      <formula>$AI$25</formula>
    </cfRule>
  </conditionalFormatting>
  <conditionalFormatting sqref="G27:AH27">
    <cfRule type="cellIs" dxfId="562" priority="78" operator="notEqual">
      <formula>$AI$27</formula>
    </cfRule>
  </conditionalFormatting>
  <conditionalFormatting sqref="G27:AH38">
    <cfRule type="cellIs" priority="55" stopIfTrue="1" operator="equal">
      <formula>" "</formula>
    </cfRule>
  </conditionalFormatting>
  <conditionalFormatting sqref="G28:AH28">
    <cfRule type="cellIs" dxfId="561" priority="76" operator="notEqual">
      <formula>$AI$28</formula>
    </cfRule>
  </conditionalFormatting>
  <conditionalFormatting sqref="G29:AH29">
    <cfRule type="cellIs" dxfId="560" priority="74" operator="notEqual">
      <formula>$AI$29</formula>
    </cfRule>
  </conditionalFormatting>
  <conditionalFormatting sqref="G30:AH30">
    <cfRule type="cellIs" dxfId="559" priority="72" operator="notEqual">
      <formula>$AI$30</formula>
    </cfRule>
  </conditionalFormatting>
  <conditionalFormatting sqref="G31:AH31">
    <cfRule type="cellIs" dxfId="558" priority="70" operator="notEqual">
      <formula>$AI$31</formula>
    </cfRule>
  </conditionalFormatting>
  <conditionalFormatting sqref="G32:AH32">
    <cfRule type="cellIs" dxfId="557" priority="68" operator="notEqual">
      <formula>$AI$32</formula>
    </cfRule>
  </conditionalFormatting>
  <conditionalFormatting sqref="G33:AH33">
    <cfRule type="cellIs" dxfId="556" priority="66" operator="notEqual">
      <formula>$AI$33</formula>
    </cfRule>
  </conditionalFormatting>
  <conditionalFormatting sqref="G34:AH34">
    <cfRule type="cellIs" dxfId="555" priority="64" operator="notEqual">
      <formula>$AI$34</formula>
    </cfRule>
  </conditionalFormatting>
  <conditionalFormatting sqref="G35:AH35">
    <cfRule type="cellIs" dxfId="554" priority="62" operator="notEqual">
      <formula>$AI$35</formula>
    </cfRule>
  </conditionalFormatting>
  <conditionalFormatting sqref="G36:AH36">
    <cfRule type="cellIs" dxfId="553" priority="60" operator="notEqual">
      <formula>$AI$36</formula>
    </cfRule>
  </conditionalFormatting>
  <conditionalFormatting sqref="G37:AH37">
    <cfRule type="cellIs" dxfId="552" priority="58" operator="notEqual">
      <formula>$AI$37</formula>
    </cfRule>
  </conditionalFormatting>
  <conditionalFormatting sqref="G38:AH38">
    <cfRule type="cellIs" dxfId="551" priority="56" operator="notEqual">
      <formula>$AI$38</formula>
    </cfRule>
  </conditionalFormatting>
  <conditionalFormatting sqref="G41:AH41">
    <cfRule type="cellIs" dxfId="550" priority="54" operator="notEqual">
      <formula>$AI$41</formula>
    </cfRule>
  </conditionalFormatting>
  <conditionalFormatting sqref="G41:AH42">
    <cfRule type="cellIs" priority="51" stopIfTrue="1" operator="equal">
      <formula>" "</formula>
    </cfRule>
  </conditionalFormatting>
  <conditionalFormatting sqref="G42:AH42">
    <cfRule type="cellIs" dxfId="549" priority="52" operator="notEqual">
      <formula>$AI$42</formula>
    </cfRule>
  </conditionalFormatting>
  <conditionalFormatting sqref="G44:AH44">
    <cfRule type="cellIs" dxfId="548" priority="50" operator="notEqual">
      <formula>$AI$44</formula>
    </cfRule>
  </conditionalFormatting>
  <conditionalFormatting sqref="G44:AH51">
    <cfRule type="cellIs" priority="35" stopIfTrue="1" operator="equal">
      <formula>" "</formula>
    </cfRule>
  </conditionalFormatting>
  <conditionalFormatting sqref="G45:AH45">
    <cfRule type="cellIs" dxfId="547" priority="48" operator="notEqual">
      <formula>$AI$45</formula>
    </cfRule>
  </conditionalFormatting>
  <conditionalFormatting sqref="G46:AH46">
    <cfRule type="cellIs" dxfId="546" priority="46" operator="notEqual">
      <formula>$AI$46</formula>
    </cfRule>
  </conditionalFormatting>
  <conditionalFormatting sqref="G47:AH47">
    <cfRule type="cellIs" dxfId="545" priority="44" operator="notEqual">
      <formula>$AI$47</formula>
    </cfRule>
  </conditionalFormatting>
  <conditionalFormatting sqref="G48:AH48">
    <cfRule type="cellIs" dxfId="544" priority="42" operator="notEqual">
      <formula>$AI$48</formula>
    </cfRule>
  </conditionalFormatting>
  <conditionalFormatting sqref="G49:AH49">
    <cfRule type="cellIs" dxfId="543" priority="40" operator="notEqual">
      <formula>$AI$49</formula>
    </cfRule>
  </conditionalFormatting>
  <conditionalFormatting sqref="G50:AH50">
    <cfRule type="cellIs" dxfId="542" priority="38" operator="notEqual">
      <formula>$AI$50</formula>
    </cfRule>
  </conditionalFormatting>
  <conditionalFormatting sqref="G51:AH51">
    <cfRule type="cellIs" dxfId="541" priority="36" operator="notEqual">
      <formula>$AI$51</formula>
    </cfRule>
  </conditionalFormatting>
  <conditionalFormatting sqref="G53:AH53">
    <cfRule type="cellIs" dxfId="540" priority="34" operator="notEqual">
      <formula>$AI$53</formula>
    </cfRule>
  </conditionalFormatting>
  <conditionalFormatting sqref="G53:AH64">
    <cfRule type="cellIs" priority="11" stopIfTrue="1" operator="equal">
      <formula>" "</formula>
    </cfRule>
  </conditionalFormatting>
  <conditionalFormatting sqref="G54:AH54">
    <cfRule type="cellIs" dxfId="539" priority="32" operator="notEqual">
      <formula>$AI$54</formula>
    </cfRule>
  </conditionalFormatting>
  <conditionalFormatting sqref="G55:AH55">
    <cfRule type="cellIs" dxfId="538" priority="30" operator="notEqual">
      <formula>$AI$55</formula>
    </cfRule>
  </conditionalFormatting>
  <conditionalFormatting sqref="G56:AH56">
    <cfRule type="cellIs" dxfId="537" priority="28" operator="notEqual">
      <formula>$AI$56</formula>
    </cfRule>
  </conditionalFormatting>
  <conditionalFormatting sqref="G57:AH57">
    <cfRule type="cellIs" dxfId="536" priority="26" operator="notEqual">
      <formula>$AI$57</formula>
    </cfRule>
  </conditionalFormatting>
  <conditionalFormatting sqref="G58:AH58">
    <cfRule type="cellIs" dxfId="535" priority="24" operator="notEqual">
      <formula>$AI$58</formula>
    </cfRule>
  </conditionalFormatting>
  <conditionalFormatting sqref="G59:AH59">
    <cfRule type="cellIs" dxfId="534" priority="22" operator="notEqual">
      <formula>$AI$59</formula>
    </cfRule>
  </conditionalFormatting>
  <conditionalFormatting sqref="G60:AH60">
    <cfRule type="cellIs" dxfId="533" priority="20" operator="notEqual">
      <formula>$AI$60</formula>
    </cfRule>
  </conditionalFormatting>
  <conditionalFormatting sqref="G61:AH61">
    <cfRule type="cellIs" dxfId="532" priority="18" operator="notEqual">
      <formula>$AI$61</formula>
    </cfRule>
  </conditionalFormatting>
  <conditionalFormatting sqref="G62:AH62">
    <cfRule type="cellIs" dxfId="531" priority="16" operator="notEqual">
      <formula>$AI$62</formula>
    </cfRule>
  </conditionalFormatting>
  <conditionalFormatting sqref="G63:AH63">
    <cfRule type="cellIs" dxfId="530" priority="14" operator="notEqual">
      <formula>$AI$63</formula>
    </cfRule>
  </conditionalFormatting>
  <conditionalFormatting sqref="G64:AH64">
    <cfRule type="cellIs" dxfId="529" priority="12" operator="notEqual">
      <formula>$AI$64</formula>
    </cfRule>
  </conditionalFormatting>
  <conditionalFormatting sqref="G68:AH68">
    <cfRule type="cellIs" dxfId="528" priority="10" operator="notEqual">
      <formula>$AI$68</formula>
    </cfRule>
    <cfRule type="cellIs" priority="9" stopIfTrue="1" operator="equal">
      <formula>" "</formula>
    </cfRule>
  </conditionalFormatting>
  <conditionalFormatting sqref="G70:AH70">
    <cfRule type="cellIs" dxfId="527" priority="8" operator="notEqual">
      <formula>$AI$70</formula>
    </cfRule>
    <cfRule type="cellIs" priority="7" stopIfTrue="1" operator="equal">
      <formula>" "</formula>
    </cfRule>
  </conditionalFormatting>
  <conditionalFormatting sqref="G72:AH72">
    <cfRule type="cellIs" dxfId="526" priority="6" operator="notEqual">
      <formula>$AI$72</formula>
    </cfRule>
  </conditionalFormatting>
  <conditionalFormatting sqref="G72:AH74">
    <cfRule type="cellIs" priority="1" stopIfTrue="1" operator="equal">
      <formula>" "</formula>
    </cfRule>
  </conditionalFormatting>
  <conditionalFormatting sqref="G73:AH73">
    <cfRule type="cellIs" dxfId="525" priority="4" operator="notEqual">
      <formula>$AI$73</formula>
    </cfRule>
  </conditionalFormatting>
  <conditionalFormatting sqref="G74:AH74">
    <cfRule type="cellIs" dxfId="524" priority="2" operator="notEqual">
      <formula>$AI$74</formula>
    </cfRule>
  </conditionalFormatting>
  <conditionalFormatting sqref="G82:AH149">
    <cfRule type="colorScale" priority="115">
      <colorScale>
        <cfvo type="min"/>
        <cfvo type="percentile" val="50"/>
        <cfvo type="max"/>
        <color rgb="FF5A8AC6"/>
        <color rgb="FFFCFCFF"/>
        <color rgb="FFFFC000"/>
      </colorScale>
    </cfRule>
  </conditionalFormatting>
  <pageMargins left="0.7" right="0.7" top="0.75" bottom="0.75" header="0.3" footer="0.3"/>
  <pageSetup paperSize="5" scale="37" fitToHeight="2" orientation="landscape" r:id="rId1"/>
  <headerFooter>
    <oddFooter>&amp;L&amp;16&amp;Z&amp;F</oddFooter>
  </headerFooter>
  <rowBreaks count="1" manualBreakCount="1">
    <brk id="76" max="34" man="1"/>
  </rowBreaks>
  <colBreaks count="1" manualBreakCount="1">
    <brk id="35" max="1048575" man="1"/>
  </colBreaks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rgb="FF00B0F0"/>
    <pageSetUpPr fitToPage="1"/>
  </sheetPr>
  <dimension ref="A1:L109"/>
  <sheetViews>
    <sheetView workbookViewId="0"/>
  </sheetViews>
  <sheetFormatPr defaultRowHeight="14.5" x14ac:dyDescent="0.35"/>
  <cols>
    <col min="1" max="2" width="2.81640625" customWidth="1"/>
    <col min="3" max="3" width="10.453125" style="123" bestFit="1" customWidth="1"/>
    <col min="4" max="5" width="2.81640625" customWidth="1"/>
    <col min="6" max="6" width="80.7265625" bestFit="1" customWidth="1"/>
    <col min="7" max="7" width="27.81640625" customWidth="1"/>
    <col min="8" max="8" width="15.26953125" bestFit="1" customWidth="1"/>
    <col min="9" max="9" width="27.26953125" customWidth="1"/>
    <col min="10" max="10" width="26.81640625" customWidth="1"/>
    <col min="11" max="11" width="25.81640625" customWidth="1"/>
    <col min="12" max="12" width="82.54296875" customWidth="1"/>
  </cols>
  <sheetData>
    <row r="1" spans="1:12" x14ac:dyDescent="0.35">
      <c r="A1" s="7"/>
      <c r="B1" s="7"/>
      <c r="C1" s="7"/>
      <c r="D1" s="7"/>
      <c r="E1" s="7"/>
      <c r="F1" s="7"/>
      <c r="G1" s="7"/>
      <c r="H1" s="7"/>
      <c r="I1" s="7" t="s">
        <v>0</v>
      </c>
      <c r="J1" s="7"/>
      <c r="K1" s="7"/>
      <c r="L1" s="7"/>
    </row>
    <row r="2" spans="1:12" x14ac:dyDescent="0.35">
      <c r="A2" s="7"/>
      <c r="B2" s="7"/>
      <c r="C2" s="7"/>
      <c r="D2" s="7"/>
      <c r="E2" s="7"/>
      <c r="F2" s="7"/>
      <c r="G2" s="7"/>
      <c r="H2" s="7"/>
      <c r="I2" s="132" t="s">
        <v>197</v>
      </c>
      <c r="J2" s="7"/>
      <c r="K2" s="7"/>
      <c r="L2" s="7"/>
    </row>
    <row r="3" spans="1:12" x14ac:dyDescent="0.35">
      <c r="A3" s="136" t="s">
        <v>198</v>
      </c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</row>
    <row r="4" spans="1:12" ht="19.5" customHeight="1" x14ac:dyDescent="0.35">
      <c r="A4" s="137" t="str">
        <f>'[14]Data Entry - CA2'!A2</f>
        <v>North Florida College</v>
      </c>
      <c r="C4"/>
    </row>
    <row r="5" spans="1:12" x14ac:dyDescent="0.35">
      <c r="C5"/>
    </row>
    <row r="6" spans="1:12" s="7" customFormat="1" x14ac:dyDescent="0.35">
      <c r="A6" s="3" t="s">
        <v>2</v>
      </c>
      <c r="B6" s="4"/>
      <c r="C6" s="4"/>
      <c r="D6" s="3" t="s">
        <v>3</v>
      </c>
      <c r="E6" s="4"/>
      <c r="F6" s="4"/>
      <c r="G6" s="118" t="s">
        <v>274</v>
      </c>
      <c r="H6" s="6" t="s">
        <v>4</v>
      </c>
      <c r="I6" s="6" t="s">
        <v>5</v>
      </c>
      <c r="J6" s="6" t="s">
        <v>6</v>
      </c>
      <c r="K6" s="6" t="s">
        <v>7</v>
      </c>
      <c r="L6" s="6" t="s">
        <v>199</v>
      </c>
    </row>
    <row r="7" spans="1:12" x14ac:dyDescent="0.35">
      <c r="A7" s="8" t="s">
        <v>9</v>
      </c>
      <c r="B7" s="9"/>
      <c r="C7" s="119"/>
      <c r="D7" s="11" t="s">
        <v>10</v>
      </c>
      <c r="E7" s="119"/>
      <c r="F7" s="119"/>
      <c r="G7" s="69"/>
      <c r="H7" s="9"/>
      <c r="I7" s="69"/>
      <c r="J7" s="69"/>
      <c r="K7" s="69"/>
      <c r="L7" s="11"/>
    </row>
    <row r="8" spans="1:12" x14ac:dyDescent="0.35">
      <c r="A8" s="8"/>
      <c r="B8" s="9" t="s">
        <v>11</v>
      </c>
      <c r="C8" s="119"/>
      <c r="D8" s="13"/>
      <c r="E8" s="9" t="s">
        <v>12</v>
      </c>
      <c r="F8" s="119"/>
      <c r="G8" s="69">
        <f>SUM(G9:G24)</f>
        <v>694256</v>
      </c>
      <c r="H8" s="9"/>
      <c r="I8" s="69">
        <f>SUM(I9:I24)</f>
        <v>345008</v>
      </c>
      <c r="J8" s="69">
        <f>SUM(J9:J24)</f>
        <v>349248</v>
      </c>
      <c r="K8" s="69"/>
      <c r="L8" s="14"/>
    </row>
    <row r="9" spans="1:12" x14ac:dyDescent="0.35">
      <c r="A9" s="8"/>
      <c r="B9" s="9"/>
      <c r="C9" s="119" t="s">
        <v>13</v>
      </c>
      <c r="D9" s="13"/>
      <c r="E9" s="119"/>
      <c r="F9" s="9" t="s">
        <v>14</v>
      </c>
      <c r="G9" s="70">
        <v>0</v>
      </c>
      <c r="H9" s="16" t="s">
        <v>15</v>
      </c>
      <c r="I9" s="70">
        <v>0</v>
      </c>
      <c r="J9" s="70"/>
      <c r="K9" s="69">
        <f t="shared" ref="K9:K63" si="0">I9+J9</f>
        <v>0</v>
      </c>
      <c r="L9" s="17"/>
    </row>
    <row r="10" spans="1:12" x14ac:dyDescent="0.35">
      <c r="A10" s="8"/>
      <c r="B10" s="9"/>
      <c r="C10" s="119" t="s">
        <v>16</v>
      </c>
      <c r="D10" s="13"/>
      <c r="E10" s="119"/>
      <c r="F10" s="9" t="s">
        <v>17</v>
      </c>
      <c r="G10" s="70">
        <v>1554</v>
      </c>
      <c r="H10" s="16" t="s">
        <v>15</v>
      </c>
      <c r="I10" s="70">
        <v>1554</v>
      </c>
      <c r="J10" s="70"/>
      <c r="K10" s="69">
        <f t="shared" si="0"/>
        <v>1554</v>
      </c>
      <c r="L10" s="17"/>
    </row>
    <row r="11" spans="1:12" x14ac:dyDescent="0.35">
      <c r="A11" s="8"/>
      <c r="B11" s="9"/>
      <c r="C11" s="119" t="s">
        <v>18</v>
      </c>
      <c r="D11" s="13"/>
      <c r="E11" s="119"/>
      <c r="F11" s="9" t="s">
        <v>19</v>
      </c>
      <c r="G11" s="70">
        <f>320746-36154-10853-14570</f>
        <v>259169</v>
      </c>
      <c r="H11" s="16" t="s">
        <v>15</v>
      </c>
      <c r="I11" s="70">
        <v>259169</v>
      </c>
      <c r="J11" s="70">
        <v>0</v>
      </c>
      <c r="K11" s="69">
        <f t="shared" si="0"/>
        <v>259169</v>
      </c>
      <c r="L11" s="17"/>
    </row>
    <row r="12" spans="1:12" x14ac:dyDescent="0.35">
      <c r="A12" s="8"/>
      <c r="B12" s="9"/>
      <c r="C12" s="119" t="s">
        <v>20</v>
      </c>
      <c r="D12" s="13"/>
      <c r="E12" s="119"/>
      <c r="F12" s="9" t="s">
        <v>21</v>
      </c>
      <c r="G12" s="70">
        <f>36154+10853+14570</f>
        <v>61577</v>
      </c>
      <c r="H12" s="16" t="s">
        <v>15</v>
      </c>
      <c r="I12" s="70">
        <v>61577</v>
      </c>
      <c r="J12" s="70"/>
      <c r="K12" s="69">
        <f t="shared" si="0"/>
        <v>61577</v>
      </c>
      <c r="L12" s="17"/>
    </row>
    <row r="13" spans="1:12" x14ac:dyDescent="0.35">
      <c r="A13" s="8"/>
      <c r="B13" s="9"/>
      <c r="C13" s="119" t="s">
        <v>22</v>
      </c>
      <c r="D13" s="13"/>
      <c r="E13" s="119"/>
      <c r="F13" s="9" t="s">
        <v>23</v>
      </c>
      <c r="G13" s="70"/>
      <c r="H13" s="16"/>
      <c r="I13" s="70"/>
      <c r="J13" s="70"/>
      <c r="K13" s="69">
        <f t="shared" si="0"/>
        <v>0</v>
      </c>
      <c r="L13" s="17"/>
    </row>
    <row r="14" spans="1:12" x14ac:dyDescent="0.35">
      <c r="A14" s="8"/>
      <c r="B14" s="9"/>
      <c r="C14" s="119" t="s">
        <v>25</v>
      </c>
      <c r="D14" s="13"/>
      <c r="E14" s="119"/>
      <c r="F14" s="9" t="s">
        <v>26</v>
      </c>
      <c r="G14" s="70"/>
      <c r="H14" s="16"/>
      <c r="I14" s="70"/>
      <c r="J14" s="70"/>
      <c r="K14" s="69">
        <f t="shared" si="0"/>
        <v>0</v>
      </c>
      <c r="L14" s="17"/>
    </row>
    <row r="15" spans="1:12" x14ac:dyDescent="0.35">
      <c r="A15" s="8"/>
      <c r="B15" s="9"/>
      <c r="C15" s="119" t="s">
        <v>27</v>
      </c>
      <c r="D15" s="13"/>
      <c r="E15" s="119"/>
      <c r="F15" s="9" t="s">
        <v>28</v>
      </c>
      <c r="G15" s="70"/>
      <c r="H15" s="16"/>
      <c r="I15" s="70"/>
      <c r="J15" s="70"/>
      <c r="K15" s="69">
        <f t="shared" si="0"/>
        <v>0</v>
      </c>
      <c r="L15" s="17"/>
    </row>
    <row r="16" spans="1:12" x14ac:dyDescent="0.35">
      <c r="A16" s="8"/>
      <c r="B16" s="9"/>
      <c r="C16" s="119" t="s">
        <v>29</v>
      </c>
      <c r="D16" s="13"/>
      <c r="E16" s="119"/>
      <c r="F16" s="9" t="s">
        <v>30</v>
      </c>
      <c r="G16" s="70"/>
      <c r="H16" s="16"/>
      <c r="I16" s="70"/>
      <c r="J16" s="70"/>
      <c r="K16" s="69">
        <f t="shared" si="0"/>
        <v>0</v>
      </c>
      <c r="L16" s="17"/>
    </row>
    <row r="17" spans="1:12" x14ac:dyDescent="0.35">
      <c r="A17" s="8"/>
      <c r="B17" s="9"/>
      <c r="C17" s="119" t="s">
        <v>31</v>
      </c>
      <c r="D17" s="13"/>
      <c r="E17" s="119"/>
      <c r="F17" s="9" t="s">
        <v>32</v>
      </c>
      <c r="G17" s="70"/>
      <c r="H17" s="16"/>
      <c r="I17" s="70"/>
      <c r="J17" s="70"/>
      <c r="K17" s="69">
        <f t="shared" si="0"/>
        <v>0</v>
      </c>
      <c r="L17" s="17"/>
    </row>
    <row r="18" spans="1:12" x14ac:dyDescent="0.35">
      <c r="A18" s="8"/>
      <c r="B18" s="9"/>
      <c r="C18" s="119" t="s">
        <v>33</v>
      </c>
      <c r="D18" s="13"/>
      <c r="E18" s="119"/>
      <c r="F18" s="9" t="s">
        <v>34</v>
      </c>
      <c r="G18" s="70">
        <v>349248</v>
      </c>
      <c r="H18" s="16" t="s">
        <v>24</v>
      </c>
      <c r="I18" s="70"/>
      <c r="J18" s="70">
        <v>349248</v>
      </c>
      <c r="K18" s="69">
        <f t="shared" si="0"/>
        <v>349248</v>
      </c>
      <c r="L18" s="17"/>
    </row>
    <row r="19" spans="1:12" x14ac:dyDescent="0.35">
      <c r="A19" s="8"/>
      <c r="B19" s="9"/>
      <c r="C19" s="119" t="s">
        <v>35</v>
      </c>
      <c r="D19" s="13"/>
      <c r="E19" s="119"/>
      <c r="F19" s="9" t="s">
        <v>36</v>
      </c>
      <c r="G19" s="71"/>
      <c r="H19" s="16"/>
      <c r="I19" s="71"/>
      <c r="J19" s="71"/>
      <c r="K19" s="69">
        <f t="shared" si="0"/>
        <v>0</v>
      </c>
      <c r="L19" s="17"/>
    </row>
    <row r="20" spans="1:12" x14ac:dyDescent="0.35">
      <c r="A20" s="8"/>
      <c r="B20" s="9"/>
      <c r="C20" s="119" t="s">
        <v>37</v>
      </c>
      <c r="D20" s="13"/>
      <c r="E20" s="119"/>
      <c r="F20" s="9" t="s">
        <v>38</v>
      </c>
      <c r="G20" s="70">
        <v>22708</v>
      </c>
      <c r="H20" s="16" t="s">
        <v>15</v>
      </c>
      <c r="I20" s="70">
        <v>22708</v>
      </c>
      <c r="J20" s="70"/>
      <c r="K20" s="69">
        <f t="shared" si="0"/>
        <v>22708</v>
      </c>
      <c r="L20" s="17"/>
    </row>
    <row r="21" spans="1:12" x14ac:dyDescent="0.35">
      <c r="A21" s="8"/>
      <c r="B21" s="9"/>
      <c r="C21" s="119" t="s">
        <v>39</v>
      </c>
      <c r="D21" s="13"/>
      <c r="E21" s="119"/>
      <c r="F21" s="9" t="s">
        <v>40</v>
      </c>
      <c r="G21" s="70"/>
      <c r="H21" s="16"/>
      <c r="I21" s="70"/>
      <c r="J21" s="70"/>
      <c r="K21" s="69">
        <f t="shared" si="0"/>
        <v>0</v>
      </c>
      <c r="L21" s="17"/>
    </row>
    <row r="22" spans="1:12" x14ac:dyDescent="0.35">
      <c r="A22" s="8"/>
      <c r="B22" s="9"/>
      <c r="C22" s="119" t="s">
        <v>41</v>
      </c>
      <c r="D22" s="13"/>
      <c r="E22" s="119"/>
      <c r="F22" s="9" t="s">
        <v>42</v>
      </c>
      <c r="G22" s="70"/>
      <c r="H22" s="16"/>
      <c r="I22" s="70"/>
      <c r="J22" s="70"/>
      <c r="K22" s="69">
        <f t="shared" si="0"/>
        <v>0</v>
      </c>
      <c r="L22" s="17"/>
    </row>
    <row r="23" spans="1:12" x14ac:dyDescent="0.35">
      <c r="A23" s="8"/>
      <c r="B23" s="9"/>
      <c r="C23" s="119" t="s">
        <v>43</v>
      </c>
      <c r="D23" s="13"/>
      <c r="E23" s="119"/>
      <c r="F23" s="9" t="s">
        <v>44</v>
      </c>
      <c r="G23" s="70"/>
      <c r="H23" s="16"/>
      <c r="I23" s="70"/>
      <c r="J23" s="70"/>
      <c r="K23" s="69">
        <f t="shared" si="0"/>
        <v>0</v>
      </c>
      <c r="L23" s="17"/>
    </row>
    <row r="24" spans="1:12" x14ac:dyDescent="0.35">
      <c r="A24" s="9"/>
      <c r="B24" s="9"/>
      <c r="C24" s="120" t="s">
        <v>45</v>
      </c>
      <c r="D24" s="13"/>
      <c r="E24" s="120"/>
      <c r="F24" s="9" t="s">
        <v>46</v>
      </c>
      <c r="G24" s="72"/>
      <c r="H24" s="16"/>
      <c r="I24" s="72"/>
      <c r="J24" s="72"/>
      <c r="K24" s="69">
        <f t="shared" si="0"/>
        <v>0</v>
      </c>
      <c r="L24" s="17"/>
    </row>
    <row r="25" spans="1:12" x14ac:dyDescent="0.35">
      <c r="A25" s="8"/>
      <c r="B25" s="9" t="s">
        <v>47</v>
      </c>
      <c r="C25" s="119"/>
      <c r="D25" s="13"/>
      <c r="E25" s="9" t="s">
        <v>48</v>
      </c>
      <c r="F25" s="119"/>
      <c r="G25" s="69">
        <f>SUM(G26:G41)</f>
        <v>352579</v>
      </c>
      <c r="H25" s="9"/>
      <c r="I25" s="69">
        <f>SUM(I26:I41)</f>
        <v>352579</v>
      </c>
      <c r="J25" s="69">
        <f>SUM(J26:J41)</f>
        <v>0</v>
      </c>
      <c r="K25" s="69"/>
      <c r="L25" s="14"/>
    </row>
    <row r="26" spans="1:12" x14ac:dyDescent="0.35">
      <c r="A26" s="8"/>
      <c r="B26" s="9"/>
      <c r="C26" s="119" t="s">
        <v>49</v>
      </c>
      <c r="D26" s="13"/>
      <c r="E26" s="119"/>
      <c r="F26" s="9" t="s">
        <v>50</v>
      </c>
      <c r="G26" s="70"/>
      <c r="H26" s="16"/>
      <c r="I26" s="70"/>
      <c r="J26" s="70"/>
      <c r="K26" s="69">
        <f t="shared" si="0"/>
        <v>0</v>
      </c>
      <c r="L26" s="17"/>
    </row>
    <row r="27" spans="1:12" x14ac:dyDescent="0.35">
      <c r="A27" s="8"/>
      <c r="B27" s="9"/>
      <c r="C27" s="119" t="s">
        <v>51</v>
      </c>
      <c r="D27" s="13"/>
      <c r="E27" s="119"/>
      <c r="F27" s="9" t="s">
        <v>52</v>
      </c>
      <c r="G27" s="70">
        <f>175021-26642</f>
        <v>148379</v>
      </c>
      <c r="H27" s="16" t="s">
        <v>15</v>
      </c>
      <c r="I27" s="70">
        <v>148379</v>
      </c>
      <c r="J27" s="70"/>
      <c r="K27" s="69">
        <f t="shared" si="0"/>
        <v>148379</v>
      </c>
      <c r="L27" s="17"/>
    </row>
    <row r="28" spans="1:12" x14ac:dyDescent="0.35">
      <c r="A28" s="8"/>
      <c r="B28" s="9"/>
      <c r="C28" s="119" t="s">
        <v>53</v>
      </c>
      <c r="D28" s="13"/>
      <c r="E28" s="119"/>
      <c r="F28" s="9" t="s">
        <v>54</v>
      </c>
      <c r="G28" s="70">
        <v>75220</v>
      </c>
      <c r="H28" s="16" t="s">
        <v>15</v>
      </c>
      <c r="I28" s="70">
        <v>75220</v>
      </c>
      <c r="J28" s="70"/>
      <c r="K28" s="69">
        <f t="shared" si="0"/>
        <v>75220</v>
      </c>
      <c r="L28" s="17"/>
    </row>
    <row r="29" spans="1:12" x14ac:dyDescent="0.35">
      <c r="A29" s="8"/>
      <c r="B29" s="9"/>
      <c r="C29" s="119" t="s">
        <v>55</v>
      </c>
      <c r="D29" s="13"/>
      <c r="E29" s="119"/>
      <c r="F29" s="9" t="s">
        <v>56</v>
      </c>
      <c r="G29" s="70"/>
      <c r="H29" s="16"/>
      <c r="I29" s="70"/>
      <c r="J29" s="70"/>
      <c r="K29" s="69">
        <f t="shared" si="0"/>
        <v>0</v>
      </c>
      <c r="L29" s="17"/>
    </row>
    <row r="30" spans="1:12" x14ac:dyDescent="0.35">
      <c r="A30" s="8"/>
      <c r="B30" s="9"/>
      <c r="C30" s="119" t="s">
        <v>57</v>
      </c>
      <c r="D30" s="13"/>
      <c r="E30" s="119"/>
      <c r="F30" s="9" t="s">
        <v>58</v>
      </c>
      <c r="G30" s="70">
        <f>230451-75220-40299+26642-12594</f>
        <v>128980</v>
      </c>
      <c r="H30" s="16" t="s">
        <v>15</v>
      </c>
      <c r="I30" s="70">
        <v>128980</v>
      </c>
      <c r="J30" s="70"/>
      <c r="K30" s="69">
        <f t="shared" si="0"/>
        <v>128980</v>
      </c>
      <c r="L30" s="17"/>
    </row>
    <row r="31" spans="1:12" x14ac:dyDescent="0.35">
      <c r="A31" s="8"/>
      <c r="B31" s="9"/>
      <c r="C31" s="119" t="s">
        <v>60</v>
      </c>
      <c r="D31" s="13"/>
      <c r="E31" s="119"/>
      <c r="F31" s="9" t="s">
        <v>61</v>
      </c>
      <c r="G31" s="70"/>
      <c r="H31" s="16"/>
      <c r="I31" s="70"/>
      <c r="J31" s="70"/>
      <c r="K31" s="69">
        <f t="shared" si="0"/>
        <v>0</v>
      </c>
      <c r="L31" s="17"/>
    </row>
    <row r="32" spans="1:12" x14ac:dyDescent="0.35">
      <c r="A32" s="8"/>
      <c r="B32" s="9"/>
      <c r="C32" s="119" t="s">
        <v>62</v>
      </c>
      <c r="D32" s="13"/>
      <c r="E32" s="119"/>
      <c r="F32" s="9" t="s">
        <v>63</v>
      </c>
      <c r="G32" s="70"/>
      <c r="H32" s="16"/>
      <c r="I32" s="70"/>
      <c r="J32" s="70"/>
      <c r="K32" s="69">
        <f t="shared" si="0"/>
        <v>0</v>
      </c>
      <c r="L32" s="17"/>
    </row>
    <row r="33" spans="1:12" x14ac:dyDescent="0.35">
      <c r="A33" s="9"/>
      <c r="B33" s="9"/>
      <c r="C33" s="119" t="s">
        <v>64</v>
      </c>
      <c r="D33" s="9"/>
      <c r="E33" s="119"/>
      <c r="F33" s="9" t="s">
        <v>65</v>
      </c>
      <c r="G33" s="70"/>
      <c r="H33" s="16"/>
      <c r="I33" s="70"/>
      <c r="J33" s="70"/>
      <c r="K33" s="69">
        <f t="shared" si="0"/>
        <v>0</v>
      </c>
      <c r="L33" s="17"/>
    </row>
    <row r="34" spans="1:12" x14ac:dyDescent="0.35">
      <c r="A34" s="9"/>
      <c r="B34" s="9"/>
      <c r="C34" s="119" t="s">
        <v>66</v>
      </c>
      <c r="D34" s="9"/>
      <c r="E34" s="9"/>
      <c r="F34" s="9" t="s">
        <v>67</v>
      </c>
      <c r="G34" s="70"/>
      <c r="H34" s="16"/>
      <c r="I34" s="70"/>
      <c r="J34" s="70"/>
      <c r="K34" s="69">
        <f t="shared" si="0"/>
        <v>0</v>
      </c>
      <c r="L34" s="17"/>
    </row>
    <row r="35" spans="1:12" x14ac:dyDescent="0.35">
      <c r="A35" s="9"/>
      <c r="B35" s="9"/>
      <c r="C35" s="119" t="s">
        <v>68</v>
      </c>
      <c r="D35" s="9"/>
      <c r="E35" s="119"/>
      <c r="F35" s="9" t="s">
        <v>69</v>
      </c>
      <c r="G35" s="70"/>
      <c r="H35" s="16"/>
      <c r="I35" s="70"/>
      <c r="J35" s="70"/>
      <c r="K35" s="69">
        <f t="shared" si="0"/>
        <v>0</v>
      </c>
      <c r="L35" s="17"/>
    </row>
    <row r="36" spans="1:12" x14ac:dyDescent="0.35">
      <c r="A36" s="9"/>
      <c r="B36" s="9"/>
      <c r="C36" s="119" t="s">
        <v>70</v>
      </c>
      <c r="D36" s="9"/>
      <c r="E36" s="9"/>
      <c r="F36" s="9" t="s">
        <v>71</v>
      </c>
      <c r="G36" s="70"/>
      <c r="H36" s="16"/>
      <c r="I36" s="70"/>
      <c r="J36" s="70"/>
      <c r="K36" s="69">
        <f t="shared" si="0"/>
        <v>0</v>
      </c>
      <c r="L36" s="17"/>
    </row>
    <row r="37" spans="1:12" x14ac:dyDescent="0.35">
      <c r="A37" s="9"/>
      <c r="B37" s="9"/>
      <c r="C37" s="119" t="s">
        <v>72</v>
      </c>
      <c r="D37" s="9"/>
      <c r="E37" s="121"/>
      <c r="F37" s="9" t="s">
        <v>73</v>
      </c>
      <c r="G37" s="70"/>
      <c r="H37" s="16"/>
      <c r="I37" s="70"/>
      <c r="J37" s="70"/>
      <c r="K37" s="69">
        <f t="shared" si="0"/>
        <v>0</v>
      </c>
      <c r="L37" s="17"/>
    </row>
    <row r="38" spans="1:12" x14ac:dyDescent="0.35">
      <c r="A38" s="9"/>
      <c r="B38" s="9"/>
      <c r="C38" s="119" t="s">
        <v>74</v>
      </c>
      <c r="D38" s="9"/>
      <c r="E38" s="9"/>
      <c r="F38" s="9" t="s">
        <v>75</v>
      </c>
      <c r="G38" s="70"/>
      <c r="H38" s="16"/>
      <c r="I38" s="70"/>
      <c r="J38" s="70"/>
      <c r="K38" s="69">
        <f t="shared" si="0"/>
        <v>0</v>
      </c>
      <c r="L38" s="17"/>
    </row>
    <row r="39" spans="1:12" x14ac:dyDescent="0.35">
      <c r="A39" s="9"/>
      <c r="B39" s="9"/>
      <c r="C39" s="119" t="s">
        <v>76</v>
      </c>
      <c r="D39" s="9"/>
      <c r="E39" s="9"/>
      <c r="F39" s="9" t="s">
        <v>77</v>
      </c>
      <c r="G39" s="70"/>
      <c r="H39" s="16"/>
      <c r="I39" s="70"/>
      <c r="J39" s="70"/>
      <c r="K39" s="69">
        <f t="shared" si="0"/>
        <v>0</v>
      </c>
      <c r="L39" s="17"/>
    </row>
    <row r="40" spans="1:12" x14ac:dyDescent="0.35">
      <c r="A40" s="9"/>
      <c r="B40" s="9"/>
      <c r="C40" s="119" t="s">
        <v>78</v>
      </c>
      <c r="D40" s="9"/>
      <c r="E40" s="9"/>
      <c r="F40" s="9" t="s">
        <v>79</v>
      </c>
      <c r="G40" s="70"/>
      <c r="H40" s="16"/>
      <c r="I40" s="70"/>
      <c r="J40" s="70"/>
      <c r="K40" s="69">
        <f t="shared" si="0"/>
        <v>0</v>
      </c>
      <c r="L40" s="17"/>
    </row>
    <row r="41" spans="1:12" x14ac:dyDescent="0.35">
      <c r="A41" s="9"/>
      <c r="B41" s="9"/>
      <c r="C41" s="119" t="s">
        <v>80</v>
      </c>
      <c r="D41" s="9"/>
      <c r="E41" s="9"/>
      <c r="F41" s="9" t="s">
        <v>81</v>
      </c>
      <c r="G41" s="70"/>
      <c r="H41" s="16"/>
      <c r="I41" s="70"/>
      <c r="J41" s="70"/>
      <c r="K41" s="69">
        <f t="shared" si="0"/>
        <v>0</v>
      </c>
      <c r="L41" s="17"/>
    </row>
    <row r="42" spans="1:12" x14ac:dyDescent="0.35">
      <c r="A42" s="9"/>
      <c r="B42" s="9" t="s">
        <v>82</v>
      </c>
      <c r="C42" s="119"/>
      <c r="D42" s="9"/>
      <c r="E42" s="9" t="s">
        <v>83</v>
      </c>
      <c r="F42" s="9"/>
      <c r="G42" s="69">
        <f>SUM(G43:G63)</f>
        <v>657816</v>
      </c>
      <c r="H42" s="9"/>
      <c r="I42" s="69">
        <f>SUM(I43:I63)</f>
        <v>276206</v>
      </c>
      <c r="J42" s="69">
        <f>SUM(J43:J63)</f>
        <v>381610</v>
      </c>
      <c r="K42" s="69"/>
      <c r="L42" s="14"/>
    </row>
    <row r="43" spans="1:12" x14ac:dyDescent="0.35">
      <c r="A43" s="9"/>
      <c r="B43" s="9"/>
      <c r="C43" s="119" t="s">
        <v>84</v>
      </c>
      <c r="D43" s="9"/>
      <c r="E43" s="9"/>
      <c r="F43" s="9" t="s">
        <v>85</v>
      </c>
      <c r="G43" s="70">
        <v>115897</v>
      </c>
      <c r="H43" s="16" t="s">
        <v>24</v>
      </c>
      <c r="I43" s="70"/>
      <c r="J43" s="70">
        <v>115897</v>
      </c>
      <c r="K43" s="69">
        <f t="shared" si="0"/>
        <v>115897</v>
      </c>
      <c r="L43" s="17"/>
    </row>
    <row r="44" spans="1:12" x14ac:dyDescent="0.35">
      <c r="A44" s="9"/>
      <c r="B44" s="9"/>
      <c r="C44" s="119" t="s">
        <v>86</v>
      </c>
      <c r="D44" s="9"/>
      <c r="E44" s="9"/>
      <c r="F44" s="9" t="s">
        <v>87</v>
      </c>
      <c r="G44" s="70"/>
      <c r="H44" s="16"/>
      <c r="I44" s="70"/>
      <c r="J44" s="70"/>
      <c r="K44" s="69">
        <f t="shared" si="0"/>
        <v>0</v>
      </c>
      <c r="L44" s="17"/>
    </row>
    <row r="45" spans="1:12" x14ac:dyDescent="0.35">
      <c r="A45" s="9"/>
      <c r="B45" s="9"/>
      <c r="C45" s="119" t="s">
        <v>88</v>
      </c>
      <c r="D45" s="9"/>
      <c r="E45" s="9"/>
      <c r="F45" s="9" t="s">
        <v>89</v>
      </c>
      <c r="G45" s="70"/>
      <c r="H45" s="16"/>
      <c r="I45" s="70"/>
      <c r="J45" s="70"/>
      <c r="K45" s="69">
        <f t="shared" si="0"/>
        <v>0</v>
      </c>
      <c r="L45" s="17"/>
    </row>
    <row r="46" spans="1:12" x14ac:dyDescent="0.35">
      <c r="A46" s="9"/>
      <c r="B46" s="9"/>
      <c r="C46" s="119" t="s">
        <v>90</v>
      </c>
      <c r="D46" s="9"/>
      <c r="E46" s="9"/>
      <c r="F46" s="9" t="s">
        <v>91</v>
      </c>
      <c r="G46" s="70"/>
      <c r="H46" s="16"/>
      <c r="I46" s="70"/>
      <c r="J46" s="70"/>
      <c r="K46" s="69">
        <f t="shared" si="0"/>
        <v>0</v>
      </c>
      <c r="L46" s="17"/>
    </row>
    <row r="47" spans="1:12" x14ac:dyDescent="0.35">
      <c r="A47" s="9"/>
      <c r="B47" s="9"/>
      <c r="C47" s="119" t="s">
        <v>92</v>
      </c>
      <c r="D47" s="9"/>
      <c r="E47" s="9"/>
      <c r="F47" s="9" t="s">
        <v>93</v>
      </c>
      <c r="G47" s="70">
        <v>223313</v>
      </c>
      <c r="H47" s="16" t="s">
        <v>15</v>
      </c>
      <c r="I47" s="70">
        <v>223313</v>
      </c>
      <c r="J47" s="70"/>
      <c r="K47" s="69">
        <f t="shared" si="0"/>
        <v>223313</v>
      </c>
      <c r="L47" s="17"/>
    </row>
    <row r="48" spans="1:12" x14ac:dyDescent="0.35">
      <c r="A48" s="9"/>
      <c r="B48" s="9"/>
      <c r="C48" s="119" t="s">
        <v>94</v>
      </c>
      <c r="D48" s="9"/>
      <c r="E48" s="9"/>
      <c r="F48" s="9" t="s">
        <v>95</v>
      </c>
      <c r="G48" s="70"/>
      <c r="H48" s="16"/>
      <c r="I48" s="70"/>
      <c r="J48" s="70"/>
      <c r="K48" s="69">
        <f t="shared" si="0"/>
        <v>0</v>
      </c>
      <c r="L48" s="17"/>
    </row>
    <row r="49" spans="1:12" x14ac:dyDescent="0.35">
      <c r="A49" s="9"/>
      <c r="B49" s="9"/>
      <c r="C49" s="119" t="s">
        <v>96</v>
      </c>
      <c r="D49" s="9"/>
      <c r="E49" s="9"/>
      <c r="F49" s="9" t="s">
        <v>97</v>
      </c>
      <c r="G49" s="70">
        <f>7622+32677+12594</f>
        <v>52893</v>
      </c>
      <c r="H49" s="16" t="s">
        <v>15</v>
      </c>
      <c r="I49" s="70">
        <v>52893</v>
      </c>
      <c r="J49" s="70"/>
      <c r="K49" s="69">
        <f t="shared" si="0"/>
        <v>52893</v>
      </c>
      <c r="L49" s="17"/>
    </row>
    <row r="50" spans="1:12" x14ac:dyDescent="0.35">
      <c r="A50" s="9"/>
      <c r="B50" s="9"/>
      <c r="C50" s="119" t="s">
        <v>98</v>
      </c>
      <c r="D50" s="9"/>
      <c r="E50" s="9"/>
      <c r="F50" s="9" t="s">
        <v>99</v>
      </c>
      <c r="G50" s="70"/>
      <c r="H50" s="16"/>
      <c r="I50" s="70"/>
      <c r="J50" s="70"/>
      <c r="K50" s="69">
        <f t="shared" si="0"/>
        <v>0</v>
      </c>
      <c r="L50" s="17"/>
    </row>
    <row r="51" spans="1:12" x14ac:dyDescent="0.35">
      <c r="A51" s="9"/>
      <c r="B51" s="9"/>
      <c r="C51" s="119" t="s">
        <v>100</v>
      </c>
      <c r="D51" s="9"/>
      <c r="E51" s="9"/>
      <c r="F51" s="9" t="s">
        <v>101</v>
      </c>
      <c r="G51" s="70"/>
      <c r="H51" s="16"/>
      <c r="I51" s="70"/>
      <c r="J51" s="70"/>
      <c r="K51" s="69">
        <f t="shared" si="0"/>
        <v>0</v>
      </c>
      <c r="L51" s="17"/>
    </row>
    <row r="52" spans="1:12" x14ac:dyDescent="0.35">
      <c r="A52" s="9"/>
      <c r="B52" s="9"/>
      <c r="C52" s="119" t="s">
        <v>102</v>
      </c>
      <c r="D52" s="9"/>
      <c r="E52" s="9"/>
      <c r="F52" s="9" t="s">
        <v>103</v>
      </c>
      <c r="G52" s="70"/>
      <c r="H52" s="16"/>
      <c r="I52" s="70"/>
      <c r="J52" s="70"/>
      <c r="K52" s="69">
        <f t="shared" si="0"/>
        <v>0</v>
      </c>
      <c r="L52" s="17"/>
    </row>
    <row r="53" spans="1:12" x14ac:dyDescent="0.35">
      <c r="A53" s="9"/>
      <c r="B53" s="9"/>
      <c r="C53" s="119" t="s">
        <v>104</v>
      </c>
      <c r="D53" s="9"/>
      <c r="E53" s="9"/>
      <c r="F53" s="9" t="s">
        <v>105</v>
      </c>
      <c r="G53" s="70"/>
      <c r="H53" s="16"/>
      <c r="I53" s="70"/>
      <c r="J53" s="70"/>
      <c r="K53" s="69">
        <f t="shared" si="0"/>
        <v>0</v>
      </c>
      <c r="L53" s="17"/>
    </row>
    <row r="54" spans="1:12" x14ac:dyDescent="0.35">
      <c r="A54" s="9"/>
      <c r="B54" s="9"/>
      <c r="C54" s="119" t="s">
        <v>106</v>
      </c>
      <c r="D54" s="9"/>
      <c r="E54" s="9"/>
      <c r="F54" s="9" t="s">
        <v>107</v>
      </c>
      <c r="G54" s="70">
        <v>17032</v>
      </c>
      <c r="H54" s="16" t="s">
        <v>24</v>
      </c>
      <c r="I54" s="70"/>
      <c r="J54" s="70">
        <v>17032</v>
      </c>
      <c r="K54" s="69">
        <f t="shared" si="0"/>
        <v>17032</v>
      </c>
      <c r="L54" s="17"/>
    </row>
    <row r="55" spans="1:12" x14ac:dyDescent="0.35">
      <c r="A55" s="9"/>
      <c r="B55" s="9"/>
      <c r="C55" s="119" t="s">
        <v>108</v>
      </c>
      <c r="D55" s="9"/>
      <c r="E55" s="9"/>
      <c r="F55" s="9" t="s">
        <v>109</v>
      </c>
      <c r="G55" s="70">
        <v>138202</v>
      </c>
      <c r="H55" s="16" t="s">
        <v>24</v>
      </c>
      <c r="I55" s="70"/>
      <c r="J55" s="70">
        <v>138202</v>
      </c>
      <c r="K55" s="69">
        <f t="shared" si="0"/>
        <v>138202</v>
      </c>
      <c r="L55" s="17"/>
    </row>
    <row r="56" spans="1:12" x14ac:dyDescent="0.35">
      <c r="A56" s="9"/>
      <c r="B56" s="9"/>
      <c r="C56" s="119" t="s">
        <v>110</v>
      </c>
      <c r="D56" s="9"/>
      <c r="E56" s="9"/>
      <c r="F56" s="9" t="s">
        <v>111</v>
      </c>
      <c r="G56" s="70">
        <v>26872</v>
      </c>
      <c r="H56" s="16" t="s">
        <v>24</v>
      </c>
      <c r="I56" s="70"/>
      <c r="J56" s="70">
        <v>26872</v>
      </c>
      <c r="K56" s="69">
        <f t="shared" si="0"/>
        <v>26872</v>
      </c>
      <c r="L56" s="17"/>
    </row>
    <row r="57" spans="1:12" x14ac:dyDescent="0.35">
      <c r="A57" s="9"/>
      <c r="B57" s="9"/>
      <c r="C57" s="119" t="s">
        <v>112</v>
      </c>
      <c r="D57" s="9"/>
      <c r="E57" s="9"/>
      <c r="F57" s="9" t="s">
        <v>113</v>
      </c>
      <c r="G57" s="70"/>
      <c r="H57" s="16"/>
      <c r="I57" s="70"/>
      <c r="J57" s="70"/>
      <c r="K57" s="69">
        <f t="shared" si="0"/>
        <v>0</v>
      </c>
      <c r="L57" s="17"/>
    </row>
    <row r="58" spans="1:12" x14ac:dyDescent="0.35">
      <c r="A58" s="9"/>
      <c r="B58" s="9"/>
      <c r="C58" s="119" t="s">
        <v>114</v>
      </c>
      <c r="D58" s="9"/>
      <c r="E58" s="9"/>
      <c r="F58" s="9" t="s">
        <v>115</v>
      </c>
      <c r="G58" s="70"/>
      <c r="H58" s="16"/>
      <c r="I58" s="70"/>
      <c r="J58" s="70"/>
      <c r="K58" s="69">
        <f t="shared" si="0"/>
        <v>0</v>
      </c>
      <c r="L58" s="17"/>
    </row>
    <row r="59" spans="1:12" x14ac:dyDescent="0.35">
      <c r="A59" s="9"/>
      <c r="B59" s="9"/>
      <c r="C59" s="119" t="s">
        <v>116</v>
      </c>
      <c r="D59" s="9"/>
      <c r="E59" s="9"/>
      <c r="F59" s="9" t="s">
        <v>117</v>
      </c>
      <c r="G59" s="70">
        <f>83607-G61-G63</f>
        <v>59782</v>
      </c>
      <c r="H59" s="16" t="s">
        <v>24</v>
      </c>
      <c r="I59" s="70"/>
      <c r="J59" s="70">
        <v>59782</v>
      </c>
      <c r="K59" s="69">
        <f t="shared" si="0"/>
        <v>59782</v>
      </c>
      <c r="L59" s="17"/>
    </row>
    <row r="60" spans="1:12" x14ac:dyDescent="0.35">
      <c r="A60" s="9"/>
      <c r="B60" s="9"/>
      <c r="C60" s="119" t="s">
        <v>118</v>
      </c>
      <c r="D60" s="9"/>
      <c r="E60" s="9"/>
      <c r="F60" s="9" t="s">
        <v>119</v>
      </c>
      <c r="G60" s="70"/>
      <c r="H60" s="16"/>
      <c r="I60" s="70"/>
      <c r="J60" s="70"/>
      <c r="K60" s="69">
        <f t="shared" si="0"/>
        <v>0</v>
      </c>
      <c r="L60" s="17"/>
    </row>
    <row r="61" spans="1:12" x14ac:dyDescent="0.35">
      <c r="A61" s="9"/>
      <c r="B61" s="9"/>
      <c r="C61" s="119" t="s">
        <v>120</v>
      </c>
      <c r="D61" s="9"/>
      <c r="E61" s="9"/>
      <c r="F61" s="9" t="s">
        <v>121</v>
      </c>
      <c r="G61" s="70">
        <v>12553</v>
      </c>
      <c r="H61" s="16" t="s">
        <v>24</v>
      </c>
      <c r="I61" s="70"/>
      <c r="J61" s="70">
        <v>12553</v>
      </c>
      <c r="K61" s="69">
        <f t="shared" si="0"/>
        <v>12553</v>
      </c>
      <c r="L61" s="17"/>
    </row>
    <row r="62" spans="1:12" x14ac:dyDescent="0.35">
      <c r="A62" s="9"/>
      <c r="B62" s="9"/>
      <c r="C62" s="119" t="s">
        <v>122</v>
      </c>
      <c r="D62" s="9"/>
      <c r="E62" s="9"/>
      <c r="F62" s="9" t="s">
        <v>123</v>
      </c>
      <c r="G62" s="70"/>
      <c r="H62" s="16"/>
      <c r="I62" s="70"/>
      <c r="J62" s="70"/>
      <c r="K62" s="69">
        <f t="shared" si="0"/>
        <v>0</v>
      </c>
      <c r="L62" s="17"/>
    </row>
    <row r="63" spans="1:12" x14ac:dyDescent="0.35">
      <c r="A63" s="9"/>
      <c r="B63" s="9"/>
      <c r="C63" s="119" t="s">
        <v>124</v>
      </c>
      <c r="D63" s="9"/>
      <c r="E63" s="9"/>
      <c r="F63" s="9" t="s">
        <v>125</v>
      </c>
      <c r="G63" s="70">
        <v>11272</v>
      </c>
      <c r="H63" s="16" t="s">
        <v>24</v>
      </c>
      <c r="I63" s="70"/>
      <c r="J63" s="70">
        <v>11272</v>
      </c>
      <c r="K63" s="69">
        <f t="shared" si="0"/>
        <v>11272</v>
      </c>
      <c r="L63" s="17"/>
    </row>
    <row r="64" spans="1:12" hidden="1" x14ac:dyDescent="0.35">
      <c r="A64" s="9"/>
      <c r="B64" s="9" t="s">
        <v>126</v>
      </c>
      <c r="C64" s="119"/>
      <c r="D64" s="9"/>
      <c r="E64" s="9" t="s">
        <v>127</v>
      </c>
      <c r="F64" s="9"/>
      <c r="G64" s="69"/>
      <c r="H64" s="9"/>
      <c r="I64" s="69"/>
      <c r="J64" s="69"/>
      <c r="K64" s="69"/>
      <c r="L64" s="14"/>
    </row>
    <row r="65" spans="1:12" hidden="1" x14ac:dyDescent="0.35">
      <c r="A65" s="9"/>
      <c r="B65" s="9" t="s">
        <v>128</v>
      </c>
      <c r="C65" s="119"/>
      <c r="D65" s="9"/>
      <c r="E65" s="9" t="s">
        <v>127</v>
      </c>
      <c r="F65" s="9"/>
      <c r="G65" s="69"/>
      <c r="H65" s="9"/>
      <c r="I65" s="69"/>
      <c r="J65" s="69"/>
      <c r="K65" s="69"/>
      <c r="L65" s="14"/>
    </row>
    <row r="66" spans="1:12" x14ac:dyDescent="0.35">
      <c r="A66" s="9"/>
      <c r="B66" s="9" t="s">
        <v>129</v>
      </c>
      <c r="C66" s="119"/>
      <c r="D66" s="9"/>
      <c r="E66" s="9" t="s">
        <v>130</v>
      </c>
      <c r="F66" s="9"/>
      <c r="G66" s="69">
        <f>SUM(G67:G69)</f>
        <v>0</v>
      </c>
      <c r="H66" s="9"/>
      <c r="I66" s="69">
        <f>SUM(I67:I69)</f>
        <v>0</v>
      </c>
      <c r="J66" s="69">
        <f>SUM(J67:J69)</f>
        <v>0</v>
      </c>
      <c r="K66" s="69"/>
      <c r="L66" s="14"/>
    </row>
    <row r="67" spans="1:12" x14ac:dyDescent="0.35">
      <c r="A67" s="9"/>
      <c r="B67" s="9"/>
      <c r="C67" s="119" t="s">
        <v>131</v>
      </c>
      <c r="D67" s="9"/>
      <c r="E67" s="9"/>
      <c r="F67" s="9" t="s">
        <v>132</v>
      </c>
      <c r="G67" s="70"/>
      <c r="H67" s="16"/>
      <c r="I67" s="70"/>
      <c r="J67" s="70">
        <v>0</v>
      </c>
      <c r="K67" s="69">
        <f t="shared" ref="K67:K69" si="1">I67+J67</f>
        <v>0</v>
      </c>
      <c r="L67" s="17"/>
    </row>
    <row r="68" spans="1:12" x14ac:dyDescent="0.35">
      <c r="A68" s="9"/>
      <c r="B68" s="9"/>
      <c r="C68" s="119" t="s">
        <v>133</v>
      </c>
      <c r="D68" s="9"/>
      <c r="E68" s="9"/>
      <c r="F68" s="9" t="s">
        <v>134</v>
      </c>
      <c r="G68" s="70"/>
      <c r="H68" s="16"/>
      <c r="I68" s="70"/>
      <c r="J68" s="70"/>
      <c r="K68" s="69">
        <f t="shared" si="1"/>
        <v>0</v>
      </c>
      <c r="L68" s="17"/>
    </row>
    <row r="69" spans="1:12" x14ac:dyDescent="0.35">
      <c r="A69" s="9"/>
      <c r="B69" s="9"/>
      <c r="C69" s="119" t="s">
        <v>135</v>
      </c>
      <c r="D69" s="9"/>
      <c r="E69" s="9"/>
      <c r="F69" s="9" t="s">
        <v>136</v>
      </c>
      <c r="G69" s="70"/>
      <c r="H69" s="16"/>
      <c r="I69" s="70"/>
      <c r="J69" s="70"/>
      <c r="K69" s="69">
        <f t="shared" si="1"/>
        <v>0</v>
      </c>
      <c r="L69" s="17"/>
    </row>
    <row r="70" spans="1:12" x14ac:dyDescent="0.35">
      <c r="A70" s="9"/>
      <c r="B70" s="9" t="s">
        <v>137</v>
      </c>
      <c r="C70" s="119"/>
      <c r="D70" s="9"/>
      <c r="E70" s="9" t="s">
        <v>138</v>
      </c>
      <c r="F70" s="9"/>
      <c r="G70" s="69">
        <f>SUM(G71:G73)</f>
        <v>531679</v>
      </c>
      <c r="H70" s="9"/>
      <c r="I70" s="69">
        <f>SUM(I71:I73)</f>
        <v>0</v>
      </c>
      <c r="J70" s="69">
        <f>SUM(J71:J73)</f>
        <v>531679</v>
      </c>
      <c r="K70" s="69"/>
      <c r="L70" s="14"/>
    </row>
    <row r="71" spans="1:12" x14ac:dyDescent="0.35">
      <c r="A71" s="9"/>
      <c r="B71" s="9"/>
      <c r="C71" s="119" t="s">
        <v>139</v>
      </c>
      <c r="D71" s="9"/>
      <c r="E71" s="9"/>
      <c r="F71" s="9" t="s">
        <v>140</v>
      </c>
      <c r="G71" s="70"/>
      <c r="H71" s="16"/>
      <c r="I71" s="70"/>
      <c r="J71" s="70"/>
      <c r="K71" s="69">
        <f t="shared" ref="K71:K73" si="2">I71+J71</f>
        <v>0</v>
      </c>
      <c r="L71" s="17"/>
    </row>
    <row r="72" spans="1:12" x14ac:dyDescent="0.35">
      <c r="A72" s="9"/>
      <c r="B72" s="9"/>
      <c r="C72" s="119" t="s">
        <v>141</v>
      </c>
      <c r="D72" s="9"/>
      <c r="E72" s="9"/>
      <c r="F72" s="9" t="s">
        <v>142</v>
      </c>
      <c r="G72" s="70">
        <v>383464</v>
      </c>
      <c r="H72" s="16" t="s">
        <v>24</v>
      </c>
      <c r="I72" s="70"/>
      <c r="J72" s="70">
        <v>383464</v>
      </c>
      <c r="K72" s="69">
        <f t="shared" si="2"/>
        <v>383464</v>
      </c>
      <c r="L72" s="17"/>
    </row>
    <row r="73" spans="1:12" x14ac:dyDescent="0.35">
      <c r="A73" s="9"/>
      <c r="B73" s="9"/>
      <c r="C73" s="119" t="s">
        <v>143</v>
      </c>
      <c r="D73" s="9"/>
      <c r="E73" s="9"/>
      <c r="F73" s="9" t="s">
        <v>144</v>
      </c>
      <c r="G73" s="70">
        <v>148215</v>
      </c>
      <c r="H73" s="16" t="s">
        <v>24</v>
      </c>
      <c r="I73" s="70"/>
      <c r="J73" s="70">
        <v>148215</v>
      </c>
      <c r="K73" s="69">
        <f t="shared" si="2"/>
        <v>148215</v>
      </c>
      <c r="L73" s="17"/>
    </row>
    <row r="74" spans="1:12" hidden="1" x14ac:dyDescent="0.35">
      <c r="A74" s="9"/>
      <c r="B74" s="9" t="s">
        <v>145</v>
      </c>
      <c r="C74" s="119"/>
      <c r="D74" s="9"/>
      <c r="E74" s="9" t="s">
        <v>127</v>
      </c>
      <c r="F74" s="9"/>
      <c r="G74" s="69"/>
      <c r="H74" s="9"/>
      <c r="I74" s="69"/>
      <c r="J74" s="69"/>
      <c r="K74" s="69"/>
      <c r="L74" s="14"/>
    </row>
    <row r="75" spans="1:12" hidden="1" x14ac:dyDescent="0.35">
      <c r="A75" s="9"/>
      <c r="B75" s="9" t="s">
        <v>146</v>
      </c>
      <c r="C75" s="119"/>
      <c r="D75" s="9"/>
      <c r="E75" s="9" t="s">
        <v>127</v>
      </c>
      <c r="F75" s="9"/>
      <c r="G75" s="69"/>
      <c r="H75" s="9"/>
      <c r="I75" s="69"/>
      <c r="J75" s="69"/>
      <c r="K75" s="69"/>
      <c r="L75" s="14"/>
    </row>
    <row r="76" spans="1:12" s="7" customFormat="1" x14ac:dyDescent="0.35">
      <c r="A76" s="4" t="s">
        <v>147</v>
      </c>
      <c r="B76" s="4"/>
      <c r="C76" s="122"/>
      <c r="D76" s="4"/>
      <c r="E76" s="4"/>
      <c r="F76" s="4"/>
      <c r="G76" s="138">
        <f>G8+G25+G42+G66+G70</f>
        <v>2236330</v>
      </c>
      <c r="H76" s="88"/>
      <c r="I76" s="138">
        <f>I8+I25+I42+I66+I70</f>
        <v>973793</v>
      </c>
      <c r="J76" s="138">
        <f>J8+J25+J42+J66+J70</f>
        <v>1262537</v>
      </c>
      <c r="K76" s="69">
        <f t="shared" ref="K76" si="3">I76+J76</f>
        <v>2236330</v>
      </c>
      <c r="L76" s="25"/>
    </row>
    <row r="77" spans="1:12" x14ac:dyDescent="0.35">
      <c r="F77" s="139" t="s">
        <v>200</v>
      </c>
      <c r="G77" s="140">
        <f>'[14]CA2 Detail'!L173</f>
        <v>2236330</v>
      </c>
      <c r="H77" s="13"/>
      <c r="I77" s="89">
        <f>I76/G76</f>
        <v>0.43544244364651014</v>
      </c>
      <c r="J77" s="89">
        <f>J76/G76</f>
        <v>0.56455755635348992</v>
      </c>
      <c r="K77" s="27"/>
    </row>
    <row r="79" spans="1:12" x14ac:dyDescent="0.35">
      <c r="F79" s="142" t="s">
        <v>201</v>
      </c>
    </row>
    <row r="80" spans="1:12" hidden="1" x14ac:dyDescent="0.35">
      <c r="H80" t="s">
        <v>15</v>
      </c>
    </row>
    <row r="81" spans="3:11" hidden="1" x14ac:dyDescent="0.35">
      <c r="C81"/>
      <c r="H81" t="s">
        <v>24</v>
      </c>
    </row>
    <row r="82" spans="3:11" hidden="1" x14ac:dyDescent="0.35">
      <c r="C82"/>
      <c r="H82" t="s">
        <v>59</v>
      </c>
    </row>
    <row r="83" spans="3:11" x14ac:dyDescent="0.35">
      <c r="C83"/>
      <c r="H83" s="139" t="s">
        <v>202</v>
      </c>
      <c r="I83" s="69">
        <f>'[14]CA2 Detail'!W121-'[14]CA2 Detail'!J203</f>
        <v>11579353.681699999</v>
      </c>
      <c r="J83" s="161">
        <f>I76/I83</f>
        <v>8.409735351110155E-2</v>
      </c>
      <c r="K83" s="142" t="s">
        <v>203</v>
      </c>
    </row>
    <row r="97" customFormat="1" x14ac:dyDescent="0.35"/>
    <row r="98" customFormat="1" x14ac:dyDescent="0.35"/>
    <row r="99" customFormat="1" x14ac:dyDescent="0.35"/>
    <row r="100" customFormat="1" x14ac:dyDescent="0.35"/>
    <row r="101" customFormat="1" x14ac:dyDescent="0.35"/>
    <row r="102" customFormat="1" x14ac:dyDescent="0.35"/>
    <row r="103" customFormat="1" x14ac:dyDescent="0.35"/>
    <row r="104" customFormat="1" x14ac:dyDescent="0.35"/>
    <row r="105" customFormat="1" x14ac:dyDescent="0.35"/>
    <row r="106" customFormat="1" x14ac:dyDescent="0.35"/>
    <row r="107" customFormat="1" x14ac:dyDescent="0.35"/>
    <row r="108" customFormat="1" x14ac:dyDescent="0.35"/>
    <row r="109" customFormat="1" x14ac:dyDescent="0.35"/>
  </sheetData>
  <conditionalFormatting sqref="G76">
    <cfRule type="cellIs" dxfId="191" priority="1" operator="notEqual">
      <formula>$G$77</formula>
    </cfRule>
    <cfRule type="cellIs" dxfId="190" priority="2" operator="equal">
      <formula>$G$77</formula>
    </cfRule>
  </conditionalFormatting>
  <conditionalFormatting sqref="K9:K24">
    <cfRule type="cellIs" dxfId="189" priority="13" operator="notEqual">
      <formula>G9</formula>
    </cfRule>
    <cfRule type="cellIs" dxfId="188" priority="14" operator="equal">
      <formula>G9</formula>
    </cfRule>
  </conditionalFormatting>
  <conditionalFormatting sqref="K26:K41">
    <cfRule type="cellIs" dxfId="187" priority="11" operator="notEqual">
      <formula>G26</formula>
    </cfRule>
    <cfRule type="cellIs" dxfId="186" priority="12" operator="equal">
      <formula>G26</formula>
    </cfRule>
  </conditionalFormatting>
  <conditionalFormatting sqref="K43:K63">
    <cfRule type="cellIs" dxfId="185" priority="9" operator="notEqual">
      <formula>G43</formula>
    </cfRule>
    <cfRule type="cellIs" dxfId="184" priority="10" operator="equal">
      <formula>G43</formula>
    </cfRule>
  </conditionalFormatting>
  <conditionalFormatting sqref="K67:K69">
    <cfRule type="cellIs" dxfId="183" priority="7" operator="notEqual">
      <formula>G67</formula>
    </cfRule>
    <cfRule type="cellIs" dxfId="182" priority="8" operator="equal">
      <formula>G67</formula>
    </cfRule>
  </conditionalFormatting>
  <conditionalFormatting sqref="K71:K73">
    <cfRule type="cellIs" dxfId="181" priority="5" operator="notEqual">
      <formula>G71</formula>
    </cfRule>
    <cfRule type="cellIs" dxfId="180" priority="6" operator="equal">
      <formula>G71</formula>
    </cfRule>
  </conditionalFormatting>
  <conditionalFormatting sqref="K76">
    <cfRule type="cellIs" dxfId="179" priority="3" operator="notEqual">
      <formula>G76</formula>
    </cfRule>
    <cfRule type="cellIs" dxfId="178" priority="4" operator="equal">
      <formula>G76</formula>
    </cfRule>
  </conditionalFormatting>
  <dataValidations count="1">
    <dataValidation type="list" allowBlank="1" showInputMessage="1" showErrorMessage="1" sqref="H9:H75" xr:uid="{F278ECE1-3803-4554-9040-EF776B5D33F4}">
      <formula1>$H$80:$H$82</formula1>
    </dataValidation>
  </dataValidations>
  <pageMargins left="0.7" right="0.7" top="0.75" bottom="0.75" header="0.3" footer="0.3"/>
  <pageSetup scale="39" orientation="landscape" r:id="rId1"/>
  <legacy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rgb="FF00B0F0"/>
    <pageSetUpPr fitToPage="1"/>
  </sheetPr>
  <dimension ref="A1:L140"/>
  <sheetViews>
    <sheetView workbookViewId="0"/>
  </sheetViews>
  <sheetFormatPr defaultRowHeight="14.5" x14ac:dyDescent="0.35"/>
  <cols>
    <col min="1" max="2" width="2.81640625" customWidth="1"/>
    <col min="3" max="3" width="10.453125" style="123" bestFit="1" customWidth="1"/>
    <col min="4" max="5" width="2.81640625" customWidth="1"/>
    <col min="6" max="6" width="80.7265625" bestFit="1" customWidth="1"/>
    <col min="7" max="7" width="27.81640625" customWidth="1"/>
    <col min="8" max="8" width="15.26953125" bestFit="1" customWidth="1"/>
    <col min="9" max="9" width="27.26953125" customWidth="1"/>
    <col min="10" max="10" width="26.81640625" customWidth="1"/>
    <col min="11" max="11" width="25.81640625" customWidth="1"/>
    <col min="12" max="12" width="82.54296875" customWidth="1"/>
  </cols>
  <sheetData>
    <row r="1" spans="1:12" x14ac:dyDescent="0.35">
      <c r="A1" s="7"/>
      <c r="B1" s="7"/>
      <c r="C1" s="7"/>
      <c r="D1" s="7"/>
      <c r="E1" s="7"/>
      <c r="F1" s="7"/>
      <c r="G1" s="7"/>
      <c r="H1" s="7"/>
      <c r="I1" s="7" t="s">
        <v>0</v>
      </c>
      <c r="J1" s="7"/>
      <c r="K1" s="7"/>
      <c r="L1" s="7"/>
    </row>
    <row r="2" spans="1:12" x14ac:dyDescent="0.35">
      <c r="A2" s="7"/>
      <c r="B2" s="7"/>
      <c r="C2" s="7"/>
      <c r="D2" s="7"/>
      <c r="E2" s="7"/>
      <c r="F2" s="7"/>
      <c r="G2" s="7"/>
      <c r="H2" s="7"/>
      <c r="I2" s="132" t="s">
        <v>197</v>
      </c>
      <c r="J2" s="7"/>
      <c r="K2" s="7"/>
      <c r="L2" s="7"/>
    </row>
    <row r="3" spans="1:12" x14ac:dyDescent="0.35">
      <c r="A3" s="136" t="s">
        <v>198</v>
      </c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</row>
    <row r="4" spans="1:12" ht="19.5" customHeight="1" x14ac:dyDescent="0.35">
      <c r="A4" s="137" t="str">
        <f>'[15]Data Entry - CA2'!A2</f>
        <v>Northwest Florida State College</v>
      </c>
      <c r="C4"/>
    </row>
    <row r="5" spans="1:12" x14ac:dyDescent="0.35">
      <c r="C5"/>
    </row>
    <row r="6" spans="1:12" s="7" customFormat="1" x14ac:dyDescent="0.35">
      <c r="A6" s="3" t="s">
        <v>2</v>
      </c>
      <c r="B6" s="4"/>
      <c r="C6" s="4"/>
      <c r="D6" s="3" t="s">
        <v>3</v>
      </c>
      <c r="E6" s="4"/>
      <c r="F6" s="4"/>
      <c r="G6" s="118" t="s">
        <v>274</v>
      </c>
      <c r="H6" s="6" t="s">
        <v>4</v>
      </c>
      <c r="I6" s="6" t="s">
        <v>5</v>
      </c>
      <c r="J6" s="6" t="s">
        <v>6</v>
      </c>
      <c r="K6" s="6" t="s">
        <v>7</v>
      </c>
      <c r="L6" s="6" t="s">
        <v>199</v>
      </c>
    </row>
    <row r="7" spans="1:12" x14ac:dyDescent="0.35">
      <c r="A7" s="8" t="s">
        <v>9</v>
      </c>
      <c r="B7" s="9"/>
      <c r="C7" s="119"/>
      <c r="D7" s="11" t="s">
        <v>10</v>
      </c>
      <c r="E7" s="119"/>
      <c r="F7" s="119"/>
      <c r="G7" s="69"/>
      <c r="H7" s="9"/>
      <c r="I7" s="69"/>
      <c r="J7" s="69"/>
      <c r="K7" s="69"/>
      <c r="L7" s="11"/>
    </row>
    <row r="8" spans="1:12" x14ac:dyDescent="0.35">
      <c r="A8" s="8"/>
      <c r="B8" s="9" t="s">
        <v>11</v>
      </c>
      <c r="C8" s="119"/>
      <c r="D8" s="13"/>
      <c r="E8" s="9" t="s">
        <v>12</v>
      </c>
      <c r="F8" s="119"/>
      <c r="G8" s="69">
        <f>SUM(G9:G24)</f>
        <v>1440368</v>
      </c>
      <c r="H8" s="9"/>
      <c r="I8" s="69">
        <f>SUM(I9:I24)</f>
        <v>1412737</v>
      </c>
      <c r="J8" s="69">
        <f>SUM(J9:J24)</f>
        <v>27631</v>
      </c>
      <c r="K8" s="69"/>
      <c r="L8" s="14"/>
    </row>
    <row r="9" spans="1:12" x14ac:dyDescent="0.35">
      <c r="A9" s="8"/>
      <c r="B9" s="9"/>
      <c r="C9" s="119" t="s">
        <v>13</v>
      </c>
      <c r="D9" s="13"/>
      <c r="E9" s="119"/>
      <c r="F9" s="9" t="s">
        <v>14</v>
      </c>
      <c r="G9" s="70"/>
      <c r="H9" s="16"/>
      <c r="I9" s="70"/>
      <c r="J9" s="70"/>
      <c r="K9" s="69">
        <f t="shared" ref="K9:K63" si="0">I9+J9</f>
        <v>0</v>
      </c>
      <c r="L9" s="17"/>
    </row>
    <row r="10" spans="1:12" x14ac:dyDescent="0.35">
      <c r="A10" s="8"/>
      <c r="B10" s="9"/>
      <c r="C10" s="119" t="s">
        <v>16</v>
      </c>
      <c r="D10" s="13"/>
      <c r="E10" s="119"/>
      <c r="F10" s="9" t="s">
        <v>17</v>
      </c>
      <c r="G10" s="70">
        <v>22170</v>
      </c>
      <c r="H10" s="16" t="s">
        <v>15</v>
      </c>
      <c r="I10" s="70">
        <v>22170</v>
      </c>
      <c r="J10" s="70"/>
      <c r="K10" s="69">
        <f t="shared" si="0"/>
        <v>22170</v>
      </c>
      <c r="L10" s="17"/>
    </row>
    <row r="11" spans="1:12" x14ac:dyDescent="0.35">
      <c r="A11" s="8"/>
      <c r="B11" s="9"/>
      <c r="C11" s="119" t="s">
        <v>18</v>
      </c>
      <c r="D11" s="13"/>
      <c r="E11" s="119"/>
      <c r="F11" s="9" t="s">
        <v>19</v>
      </c>
      <c r="G11" s="70">
        <v>556569</v>
      </c>
      <c r="H11" s="16" t="s">
        <v>15</v>
      </c>
      <c r="I11" s="70">
        <v>556569</v>
      </c>
      <c r="J11" s="70">
        <v>0</v>
      </c>
      <c r="K11" s="69">
        <f t="shared" si="0"/>
        <v>556569</v>
      </c>
      <c r="L11" s="17"/>
    </row>
    <row r="12" spans="1:12" x14ac:dyDescent="0.35">
      <c r="A12" s="8"/>
      <c r="B12" s="9"/>
      <c r="C12" s="119" t="s">
        <v>20</v>
      </c>
      <c r="D12" s="13"/>
      <c r="E12" s="119"/>
      <c r="F12" s="9" t="s">
        <v>21</v>
      </c>
      <c r="G12" s="70"/>
      <c r="H12" s="16"/>
      <c r="I12" s="70"/>
      <c r="J12" s="70"/>
      <c r="K12" s="69">
        <f t="shared" si="0"/>
        <v>0</v>
      </c>
      <c r="L12" s="17"/>
    </row>
    <row r="13" spans="1:12" x14ac:dyDescent="0.35">
      <c r="A13" s="8"/>
      <c r="B13" s="9"/>
      <c r="C13" s="119" t="s">
        <v>22</v>
      </c>
      <c r="D13" s="13"/>
      <c r="E13" s="119"/>
      <c r="F13" s="9" t="s">
        <v>23</v>
      </c>
      <c r="G13" s="70">
        <v>293765</v>
      </c>
      <c r="H13" s="16" t="s">
        <v>15</v>
      </c>
      <c r="I13" s="70">
        <v>293765</v>
      </c>
      <c r="J13" s="70"/>
      <c r="K13" s="69">
        <f t="shared" si="0"/>
        <v>293765</v>
      </c>
      <c r="L13" s="17"/>
    </row>
    <row r="14" spans="1:12" x14ac:dyDescent="0.35">
      <c r="A14" s="8"/>
      <c r="B14" s="9"/>
      <c r="C14" s="119" t="s">
        <v>25</v>
      </c>
      <c r="D14" s="13"/>
      <c r="E14" s="119"/>
      <c r="F14" s="9" t="s">
        <v>26</v>
      </c>
      <c r="G14" s="70"/>
      <c r="H14" s="16"/>
      <c r="I14" s="70"/>
      <c r="J14" s="70"/>
      <c r="K14" s="69">
        <f t="shared" si="0"/>
        <v>0</v>
      </c>
      <c r="L14" s="17"/>
    </row>
    <row r="15" spans="1:12" x14ac:dyDescent="0.35">
      <c r="A15" s="8"/>
      <c r="B15" s="9"/>
      <c r="C15" s="119" t="s">
        <v>27</v>
      </c>
      <c r="D15" s="13"/>
      <c r="E15" s="119"/>
      <c r="F15" s="9" t="s">
        <v>28</v>
      </c>
      <c r="G15" s="70">
        <v>27631</v>
      </c>
      <c r="H15" s="16" t="s">
        <v>24</v>
      </c>
      <c r="I15" s="70"/>
      <c r="J15" s="70">
        <v>27631</v>
      </c>
      <c r="K15" s="69">
        <f t="shared" si="0"/>
        <v>27631</v>
      </c>
      <c r="L15" s="17"/>
    </row>
    <row r="16" spans="1:12" x14ac:dyDescent="0.35">
      <c r="A16" s="8"/>
      <c r="B16" s="9"/>
      <c r="C16" s="119" t="s">
        <v>29</v>
      </c>
      <c r="D16" s="13"/>
      <c r="E16" s="119"/>
      <c r="F16" s="9" t="s">
        <v>30</v>
      </c>
      <c r="G16" s="70"/>
      <c r="H16" s="16"/>
      <c r="I16" s="70"/>
      <c r="J16" s="70"/>
      <c r="K16" s="69">
        <f t="shared" si="0"/>
        <v>0</v>
      </c>
      <c r="L16" s="17"/>
    </row>
    <row r="17" spans="1:12" x14ac:dyDescent="0.35">
      <c r="A17" s="8"/>
      <c r="B17" s="9"/>
      <c r="C17" s="119" t="s">
        <v>31</v>
      </c>
      <c r="D17" s="13"/>
      <c r="E17" s="119"/>
      <c r="F17" s="9" t="s">
        <v>32</v>
      </c>
      <c r="G17" s="70"/>
      <c r="H17" s="16"/>
      <c r="I17" s="70"/>
      <c r="J17" s="70"/>
      <c r="K17" s="69">
        <f t="shared" si="0"/>
        <v>0</v>
      </c>
      <c r="L17" s="17"/>
    </row>
    <row r="18" spans="1:12" x14ac:dyDescent="0.35">
      <c r="A18" s="8"/>
      <c r="B18" s="9"/>
      <c r="C18" s="119" t="s">
        <v>33</v>
      </c>
      <c r="D18" s="13"/>
      <c r="E18" s="119"/>
      <c r="F18" s="9" t="s">
        <v>34</v>
      </c>
      <c r="G18" s="70">
        <v>268856</v>
      </c>
      <c r="H18" s="16" t="s">
        <v>15</v>
      </c>
      <c r="I18" s="70">
        <v>268856</v>
      </c>
      <c r="J18" s="70"/>
      <c r="K18" s="69">
        <f t="shared" si="0"/>
        <v>268856</v>
      </c>
      <c r="L18" s="17"/>
    </row>
    <row r="19" spans="1:12" x14ac:dyDescent="0.35">
      <c r="A19" s="8"/>
      <c r="B19" s="9"/>
      <c r="C19" s="119" t="s">
        <v>35</v>
      </c>
      <c r="D19" s="13"/>
      <c r="E19" s="119"/>
      <c r="F19" s="9" t="s">
        <v>36</v>
      </c>
      <c r="G19" s="71"/>
      <c r="H19" s="16"/>
      <c r="I19" s="71"/>
      <c r="J19" s="71"/>
      <c r="K19" s="69">
        <f t="shared" si="0"/>
        <v>0</v>
      </c>
      <c r="L19" s="17"/>
    </row>
    <row r="20" spans="1:12" x14ac:dyDescent="0.35">
      <c r="A20" s="8"/>
      <c r="B20" s="9"/>
      <c r="C20" s="119" t="s">
        <v>37</v>
      </c>
      <c r="D20" s="13"/>
      <c r="E20" s="119"/>
      <c r="F20" s="9" t="s">
        <v>38</v>
      </c>
      <c r="G20" s="70">
        <v>271377</v>
      </c>
      <c r="H20" s="16" t="s">
        <v>15</v>
      </c>
      <c r="I20" s="70">
        <v>271377</v>
      </c>
      <c r="J20" s="70"/>
      <c r="K20" s="69">
        <f t="shared" si="0"/>
        <v>271377</v>
      </c>
      <c r="L20" s="17"/>
    </row>
    <row r="21" spans="1:12" x14ac:dyDescent="0.35">
      <c r="A21" s="8"/>
      <c r="B21" s="9"/>
      <c r="C21" s="119" t="s">
        <v>39</v>
      </c>
      <c r="D21" s="13"/>
      <c r="E21" s="119"/>
      <c r="F21" s="9" t="s">
        <v>40</v>
      </c>
      <c r="G21" s="70"/>
      <c r="H21" s="16"/>
      <c r="I21" s="70"/>
      <c r="J21" s="70"/>
      <c r="K21" s="69">
        <f t="shared" si="0"/>
        <v>0</v>
      </c>
      <c r="L21" s="17"/>
    </row>
    <row r="22" spans="1:12" x14ac:dyDescent="0.35">
      <c r="A22" s="8"/>
      <c r="B22" s="9"/>
      <c r="C22" s="119" t="s">
        <v>41</v>
      </c>
      <c r="D22" s="13"/>
      <c r="E22" s="119"/>
      <c r="F22" s="9" t="s">
        <v>42</v>
      </c>
      <c r="G22" s="70"/>
      <c r="H22" s="16"/>
      <c r="I22" s="70"/>
      <c r="J22" s="70"/>
      <c r="K22" s="69">
        <f t="shared" si="0"/>
        <v>0</v>
      </c>
      <c r="L22" s="17"/>
    </row>
    <row r="23" spans="1:12" x14ac:dyDescent="0.35">
      <c r="A23" s="8"/>
      <c r="B23" s="9"/>
      <c r="C23" s="119" t="s">
        <v>43</v>
      </c>
      <c r="D23" s="13"/>
      <c r="E23" s="119"/>
      <c r="F23" s="9" t="s">
        <v>44</v>
      </c>
      <c r="G23" s="70"/>
      <c r="H23" s="16"/>
      <c r="I23" s="70"/>
      <c r="J23" s="70"/>
      <c r="K23" s="69">
        <f t="shared" si="0"/>
        <v>0</v>
      </c>
      <c r="L23" s="17"/>
    </row>
    <row r="24" spans="1:12" x14ac:dyDescent="0.35">
      <c r="A24" s="9"/>
      <c r="B24" s="9"/>
      <c r="C24" s="120" t="s">
        <v>45</v>
      </c>
      <c r="D24" s="13"/>
      <c r="E24" s="120"/>
      <c r="F24" s="9" t="s">
        <v>46</v>
      </c>
      <c r="G24" s="72"/>
      <c r="H24" s="16"/>
      <c r="I24" s="72"/>
      <c r="J24" s="72"/>
      <c r="K24" s="69">
        <f t="shared" si="0"/>
        <v>0</v>
      </c>
      <c r="L24" s="17"/>
    </row>
    <row r="25" spans="1:12" x14ac:dyDescent="0.35">
      <c r="A25" s="8"/>
      <c r="B25" s="9" t="s">
        <v>47</v>
      </c>
      <c r="C25" s="119"/>
      <c r="D25" s="13"/>
      <c r="E25" s="9" t="s">
        <v>48</v>
      </c>
      <c r="F25" s="119"/>
      <c r="G25" s="69">
        <f>SUM(G26:G41)</f>
        <v>911482</v>
      </c>
      <c r="H25" s="9"/>
      <c r="I25" s="69">
        <f>SUM(I26:I41)</f>
        <v>770068</v>
      </c>
      <c r="J25" s="69">
        <f>SUM(J26:J41)</f>
        <v>141414</v>
      </c>
      <c r="K25" s="69"/>
      <c r="L25" s="14"/>
    </row>
    <row r="26" spans="1:12" x14ac:dyDescent="0.35">
      <c r="A26" s="8"/>
      <c r="B26" s="9"/>
      <c r="C26" s="119" t="s">
        <v>49</v>
      </c>
      <c r="D26" s="13"/>
      <c r="E26" s="119"/>
      <c r="F26" s="9" t="s">
        <v>50</v>
      </c>
      <c r="G26" s="70">
        <v>499580</v>
      </c>
      <c r="H26" s="16" t="s">
        <v>59</v>
      </c>
      <c r="I26" s="70">
        <v>389672</v>
      </c>
      <c r="J26" s="70">
        <v>109908</v>
      </c>
      <c r="K26" s="69">
        <f t="shared" si="0"/>
        <v>499580</v>
      </c>
      <c r="L26" s="17"/>
    </row>
    <row r="27" spans="1:12" x14ac:dyDescent="0.35">
      <c r="A27" s="8"/>
      <c r="B27" s="9"/>
      <c r="C27" s="119" t="s">
        <v>51</v>
      </c>
      <c r="D27" s="13"/>
      <c r="E27" s="119"/>
      <c r="F27" s="9" t="s">
        <v>52</v>
      </c>
      <c r="G27" s="70"/>
      <c r="H27" s="16"/>
      <c r="I27" s="70"/>
      <c r="J27" s="70"/>
      <c r="K27" s="69">
        <f t="shared" si="0"/>
        <v>0</v>
      </c>
      <c r="L27" s="17"/>
    </row>
    <row r="28" spans="1:12" x14ac:dyDescent="0.35">
      <c r="A28" s="8"/>
      <c r="B28" s="9"/>
      <c r="C28" s="119" t="s">
        <v>53</v>
      </c>
      <c r="D28" s="13"/>
      <c r="E28" s="119"/>
      <c r="F28" s="9" t="s">
        <v>54</v>
      </c>
      <c r="G28" s="70"/>
      <c r="H28" s="16"/>
      <c r="I28" s="70"/>
      <c r="J28" s="70"/>
      <c r="K28" s="69">
        <f t="shared" si="0"/>
        <v>0</v>
      </c>
      <c r="L28" s="17"/>
    </row>
    <row r="29" spans="1:12" x14ac:dyDescent="0.35">
      <c r="A29" s="8"/>
      <c r="B29" s="9"/>
      <c r="C29" s="119" t="s">
        <v>55</v>
      </c>
      <c r="D29" s="13"/>
      <c r="E29" s="119"/>
      <c r="F29" s="9" t="s">
        <v>56</v>
      </c>
      <c r="G29" s="70"/>
      <c r="H29" s="16"/>
      <c r="I29" s="70"/>
      <c r="J29" s="70"/>
      <c r="K29" s="69">
        <f t="shared" si="0"/>
        <v>0</v>
      </c>
      <c r="L29" s="17"/>
    </row>
    <row r="30" spans="1:12" x14ac:dyDescent="0.35">
      <c r="A30" s="8"/>
      <c r="B30" s="9"/>
      <c r="C30" s="119" t="s">
        <v>57</v>
      </c>
      <c r="D30" s="13"/>
      <c r="E30" s="119"/>
      <c r="F30" s="9" t="s">
        <v>58</v>
      </c>
      <c r="G30" s="70">
        <v>236247</v>
      </c>
      <c r="H30" s="16" t="s">
        <v>59</v>
      </c>
      <c r="I30" s="70">
        <v>204741</v>
      </c>
      <c r="J30" s="70">
        <v>31506</v>
      </c>
      <c r="K30" s="69">
        <f t="shared" si="0"/>
        <v>236247</v>
      </c>
      <c r="L30" s="17"/>
    </row>
    <row r="31" spans="1:12" x14ac:dyDescent="0.35">
      <c r="A31" s="8"/>
      <c r="B31" s="9"/>
      <c r="C31" s="119" t="s">
        <v>60</v>
      </c>
      <c r="D31" s="13"/>
      <c r="E31" s="119"/>
      <c r="F31" s="9" t="s">
        <v>61</v>
      </c>
      <c r="G31" s="70"/>
      <c r="H31" s="16"/>
      <c r="I31" s="70"/>
      <c r="J31" s="70"/>
      <c r="K31" s="69">
        <f t="shared" si="0"/>
        <v>0</v>
      </c>
      <c r="L31" s="17"/>
    </row>
    <row r="32" spans="1:12" x14ac:dyDescent="0.35">
      <c r="A32" s="8"/>
      <c r="B32" s="9"/>
      <c r="C32" s="119" t="s">
        <v>62</v>
      </c>
      <c r="D32" s="13"/>
      <c r="E32" s="119"/>
      <c r="F32" s="9" t="s">
        <v>63</v>
      </c>
      <c r="G32" s="70"/>
      <c r="H32" s="16"/>
      <c r="I32" s="70"/>
      <c r="J32" s="70"/>
      <c r="K32" s="69">
        <f t="shared" si="0"/>
        <v>0</v>
      </c>
      <c r="L32" s="17"/>
    </row>
    <row r="33" spans="1:12" x14ac:dyDescent="0.35">
      <c r="A33" s="9"/>
      <c r="B33" s="9"/>
      <c r="C33" s="119" t="s">
        <v>64</v>
      </c>
      <c r="D33" s="9"/>
      <c r="E33" s="119"/>
      <c r="F33" s="9" t="s">
        <v>65</v>
      </c>
      <c r="G33" s="70"/>
      <c r="H33" s="16"/>
      <c r="I33" s="70"/>
      <c r="J33" s="70"/>
      <c r="K33" s="69">
        <f t="shared" si="0"/>
        <v>0</v>
      </c>
      <c r="L33" s="17"/>
    </row>
    <row r="34" spans="1:12" x14ac:dyDescent="0.35">
      <c r="A34" s="9"/>
      <c r="B34" s="9"/>
      <c r="C34" s="119" t="s">
        <v>66</v>
      </c>
      <c r="D34" s="9"/>
      <c r="E34" s="9"/>
      <c r="F34" s="9" t="s">
        <v>67</v>
      </c>
      <c r="G34" s="70"/>
      <c r="H34" s="16"/>
      <c r="I34" s="70"/>
      <c r="J34" s="70"/>
      <c r="K34" s="69">
        <f t="shared" si="0"/>
        <v>0</v>
      </c>
      <c r="L34" s="17"/>
    </row>
    <row r="35" spans="1:12" x14ac:dyDescent="0.35">
      <c r="A35" s="9"/>
      <c r="B35" s="9"/>
      <c r="C35" s="119" t="s">
        <v>68</v>
      </c>
      <c r="D35" s="9"/>
      <c r="E35" s="119"/>
      <c r="F35" s="9" t="s">
        <v>69</v>
      </c>
      <c r="G35" s="70"/>
      <c r="H35" s="16"/>
      <c r="I35" s="70"/>
      <c r="J35" s="70"/>
      <c r="K35" s="69">
        <f t="shared" si="0"/>
        <v>0</v>
      </c>
      <c r="L35" s="17"/>
    </row>
    <row r="36" spans="1:12" x14ac:dyDescent="0.35">
      <c r="A36" s="9"/>
      <c r="B36" s="9"/>
      <c r="C36" s="119" t="s">
        <v>70</v>
      </c>
      <c r="D36" s="9"/>
      <c r="E36" s="9"/>
      <c r="F36" s="9" t="s">
        <v>71</v>
      </c>
      <c r="G36" s="70"/>
      <c r="H36" s="16"/>
      <c r="I36" s="70"/>
      <c r="J36" s="70"/>
      <c r="K36" s="69">
        <f t="shared" si="0"/>
        <v>0</v>
      </c>
      <c r="L36" s="17"/>
    </row>
    <row r="37" spans="1:12" x14ac:dyDescent="0.35">
      <c r="A37" s="9"/>
      <c r="B37" s="9"/>
      <c r="C37" s="119" t="s">
        <v>72</v>
      </c>
      <c r="D37" s="9"/>
      <c r="E37" s="121"/>
      <c r="F37" s="9" t="s">
        <v>73</v>
      </c>
      <c r="G37" s="70"/>
      <c r="H37" s="16"/>
      <c r="I37" s="70"/>
      <c r="J37" s="70"/>
      <c r="K37" s="69">
        <f t="shared" si="0"/>
        <v>0</v>
      </c>
      <c r="L37" s="17"/>
    </row>
    <row r="38" spans="1:12" x14ac:dyDescent="0.35">
      <c r="A38" s="9"/>
      <c r="B38" s="9"/>
      <c r="C38" s="119" t="s">
        <v>74</v>
      </c>
      <c r="D38" s="9"/>
      <c r="E38" s="9"/>
      <c r="F38" s="9" t="s">
        <v>75</v>
      </c>
      <c r="G38" s="70"/>
      <c r="H38" s="16"/>
      <c r="I38" s="70"/>
      <c r="J38" s="70"/>
      <c r="K38" s="69">
        <f t="shared" si="0"/>
        <v>0</v>
      </c>
      <c r="L38" s="17"/>
    </row>
    <row r="39" spans="1:12" x14ac:dyDescent="0.35">
      <c r="A39" s="9"/>
      <c r="B39" s="9"/>
      <c r="C39" s="119" t="s">
        <v>76</v>
      </c>
      <c r="D39" s="9"/>
      <c r="E39" s="9"/>
      <c r="F39" s="9" t="s">
        <v>77</v>
      </c>
      <c r="G39" s="70">
        <v>175655</v>
      </c>
      <c r="H39" s="16" t="s">
        <v>24</v>
      </c>
      <c r="I39" s="70">
        <v>175655</v>
      </c>
      <c r="J39" s="70"/>
      <c r="K39" s="69">
        <f t="shared" si="0"/>
        <v>175655</v>
      </c>
      <c r="L39" s="17"/>
    </row>
    <row r="40" spans="1:12" x14ac:dyDescent="0.35">
      <c r="A40" s="9"/>
      <c r="B40" s="9"/>
      <c r="C40" s="119" t="s">
        <v>78</v>
      </c>
      <c r="D40" s="9"/>
      <c r="E40" s="9"/>
      <c r="F40" s="9" t="s">
        <v>79</v>
      </c>
      <c r="G40" s="70"/>
      <c r="H40" s="16"/>
      <c r="I40" s="70"/>
      <c r="J40" s="70"/>
      <c r="K40" s="69">
        <f t="shared" si="0"/>
        <v>0</v>
      </c>
      <c r="L40" s="17"/>
    </row>
    <row r="41" spans="1:12" x14ac:dyDescent="0.35">
      <c r="A41" s="9"/>
      <c r="B41" s="9"/>
      <c r="C41" s="119" t="s">
        <v>80</v>
      </c>
      <c r="D41" s="9"/>
      <c r="E41" s="9"/>
      <c r="F41" s="9" t="s">
        <v>81</v>
      </c>
      <c r="G41" s="70"/>
      <c r="H41" s="16"/>
      <c r="I41" s="70"/>
      <c r="J41" s="70"/>
      <c r="K41" s="69">
        <f t="shared" si="0"/>
        <v>0</v>
      </c>
      <c r="L41" s="17"/>
    </row>
    <row r="42" spans="1:12" x14ac:dyDescent="0.35">
      <c r="A42" s="9"/>
      <c r="B42" s="9" t="s">
        <v>82</v>
      </c>
      <c r="C42" s="119"/>
      <c r="D42" s="9"/>
      <c r="E42" s="9" t="s">
        <v>83</v>
      </c>
      <c r="F42" s="9"/>
      <c r="G42" s="69">
        <f>SUM(G43:G63)</f>
        <v>5428750</v>
      </c>
      <c r="H42" s="9"/>
      <c r="I42" s="69">
        <f>SUM(I43:I63)</f>
        <v>1534802</v>
      </c>
      <c r="J42" s="69">
        <f>SUM(J43:J63)</f>
        <v>3893948</v>
      </c>
      <c r="K42" s="69"/>
      <c r="L42" s="14"/>
    </row>
    <row r="43" spans="1:12" x14ac:dyDescent="0.35">
      <c r="A43" s="9"/>
      <c r="B43" s="9"/>
      <c r="C43" s="119" t="s">
        <v>84</v>
      </c>
      <c r="D43" s="9"/>
      <c r="E43" s="9"/>
      <c r="F43" s="9" t="s">
        <v>85</v>
      </c>
      <c r="G43" s="70">
        <v>3166757</v>
      </c>
      <c r="H43" s="16" t="s">
        <v>59</v>
      </c>
      <c r="I43" s="70">
        <v>949414</v>
      </c>
      <c r="J43" s="70">
        <v>2217343</v>
      </c>
      <c r="K43" s="69">
        <f t="shared" si="0"/>
        <v>3166757</v>
      </c>
      <c r="L43" s="17"/>
    </row>
    <row r="44" spans="1:12" x14ac:dyDescent="0.35">
      <c r="A44" s="9"/>
      <c r="B44" s="9"/>
      <c r="C44" s="119" t="s">
        <v>86</v>
      </c>
      <c r="D44" s="9"/>
      <c r="E44" s="9"/>
      <c r="F44" s="9" t="s">
        <v>87</v>
      </c>
      <c r="G44" s="70">
        <v>154559</v>
      </c>
      <c r="H44" s="16" t="s">
        <v>24</v>
      </c>
      <c r="I44" s="70"/>
      <c r="J44" s="70">
        <v>154559</v>
      </c>
      <c r="K44" s="69">
        <f t="shared" si="0"/>
        <v>154559</v>
      </c>
      <c r="L44" s="17"/>
    </row>
    <row r="45" spans="1:12" x14ac:dyDescent="0.35">
      <c r="A45" s="9"/>
      <c r="B45" s="9"/>
      <c r="C45" s="119" t="s">
        <v>88</v>
      </c>
      <c r="D45" s="9"/>
      <c r="E45" s="9"/>
      <c r="F45" s="9" t="s">
        <v>89</v>
      </c>
      <c r="G45" s="70"/>
      <c r="H45" s="16"/>
      <c r="I45" s="70"/>
      <c r="J45" s="70"/>
      <c r="K45" s="69">
        <f t="shared" si="0"/>
        <v>0</v>
      </c>
      <c r="L45" s="17"/>
    </row>
    <row r="46" spans="1:12" x14ac:dyDescent="0.35">
      <c r="A46" s="9"/>
      <c r="B46" s="9"/>
      <c r="C46" s="119" t="s">
        <v>90</v>
      </c>
      <c r="D46" s="9"/>
      <c r="E46" s="9"/>
      <c r="F46" s="9" t="s">
        <v>91</v>
      </c>
      <c r="G46" s="70"/>
      <c r="H46" s="16"/>
      <c r="I46" s="70"/>
      <c r="J46" s="70"/>
      <c r="K46" s="69">
        <f t="shared" si="0"/>
        <v>0</v>
      </c>
      <c r="L46" s="17"/>
    </row>
    <row r="47" spans="1:12" x14ac:dyDescent="0.35">
      <c r="A47" s="9"/>
      <c r="B47" s="9"/>
      <c r="C47" s="119" t="s">
        <v>92</v>
      </c>
      <c r="D47" s="9"/>
      <c r="E47" s="9"/>
      <c r="F47" s="9" t="s">
        <v>93</v>
      </c>
      <c r="G47" s="70">
        <v>302921</v>
      </c>
      <c r="H47" s="16" t="s">
        <v>15</v>
      </c>
      <c r="I47" s="70">
        <v>302921</v>
      </c>
      <c r="J47" s="70"/>
      <c r="K47" s="69">
        <f t="shared" si="0"/>
        <v>302921</v>
      </c>
      <c r="L47" s="17"/>
    </row>
    <row r="48" spans="1:12" x14ac:dyDescent="0.35">
      <c r="A48" s="9"/>
      <c r="B48" s="9"/>
      <c r="C48" s="119" t="s">
        <v>94</v>
      </c>
      <c r="D48" s="9"/>
      <c r="E48" s="9"/>
      <c r="F48" s="9" t="s">
        <v>95</v>
      </c>
      <c r="G48" s="70">
        <v>266280</v>
      </c>
      <c r="H48" s="16" t="s">
        <v>24</v>
      </c>
      <c r="I48" s="70"/>
      <c r="J48" s="70">
        <v>266280</v>
      </c>
      <c r="K48" s="69">
        <f t="shared" si="0"/>
        <v>266280</v>
      </c>
      <c r="L48" s="17"/>
    </row>
    <row r="49" spans="1:12" x14ac:dyDescent="0.35">
      <c r="A49" s="9"/>
      <c r="B49" s="9"/>
      <c r="C49" s="119" t="s">
        <v>96</v>
      </c>
      <c r="D49" s="9"/>
      <c r="E49" s="9"/>
      <c r="F49" s="9" t="s">
        <v>97</v>
      </c>
      <c r="G49" s="70">
        <v>122507</v>
      </c>
      <c r="H49" s="16" t="s">
        <v>15</v>
      </c>
      <c r="I49" s="70">
        <v>122507</v>
      </c>
      <c r="J49" s="70"/>
      <c r="K49" s="69">
        <f t="shared" si="0"/>
        <v>122507</v>
      </c>
      <c r="L49" s="17"/>
    </row>
    <row r="50" spans="1:12" x14ac:dyDescent="0.35">
      <c r="A50" s="9"/>
      <c r="B50" s="9"/>
      <c r="C50" s="119" t="s">
        <v>98</v>
      </c>
      <c r="D50" s="9"/>
      <c r="E50" s="9"/>
      <c r="F50" s="9" t="s">
        <v>99</v>
      </c>
      <c r="G50" s="70"/>
      <c r="H50" s="16"/>
      <c r="I50" s="70"/>
      <c r="J50" s="70"/>
      <c r="K50" s="69">
        <f t="shared" si="0"/>
        <v>0</v>
      </c>
      <c r="L50" s="17"/>
    </row>
    <row r="51" spans="1:12" x14ac:dyDescent="0.35">
      <c r="A51" s="9"/>
      <c r="B51" s="9"/>
      <c r="C51" s="119" t="s">
        <v>100</v>
      </c>
      <c r="D51" s="9"/>
      <c r="E51" s="9"/>
      <c r="F51" s="9" t="s">
        <v>101</v>
      </c>
      <c r="G51" s="70"/>
      <c r="H51" s="16"/>
      <c r="I51" s="70"/>
      <c r="J51" s="70"/>
      <c r="K51" s="69">
        <f t="shared" si="0"/>
        <v>0</v>
      </c>
      <c r="L51" s="17"/>
    </row>
    <row r="52" spans="1:12" x14ac:dyDescent="0.35">
      <c r="A52" s="9"/>
      <c r="B52" s="9"/>
      <c r="C52" s="119" t="s">
        <v>102</v>
      </c>
      <c r="D52" s="9"/>
      <c r="E52" s="9"/>
      <c r="F52" s="9" t="s">
        <v>103</v>
      </c>
      <c r="G52" s="70"/>
      <c r="H52" s="16"/>
      <c r="I52" s="70"/>
      <c r="J52" s="70"/>
      <c r="K52" s="69">
        <f t="shared" si="0"/>
        <v>0</v>
      </c>
      <c r="L52" s="17"/>
    </row>
    <row r="53" spans="1:12" x14ac:dyDescent="0.35">
      <c r="A53" s="9"/>
      <c r="B53" s="9"/>
      <c r="C53" s="119" t="s">
        <v>104</v>
      </c>
      <c r="D53" s="9"/>
      <c r="E53" s="9"/>
      <c r="F53" s="9" t="s">
        <v>105</v>
      </c>
      <c r="G53" s="70"/>
      <c r="H53" s="16"/>
      <c r="I53" s="70"/>
      <c r="J53" s="70"/>
      <c r="K53" s="69">
        <f t="shared" si="0"/>
        <v>0</v>
      </c>
      <c r="L53" s="17"/>
    </row>
    <row r="54" spans="1:12" x14ac:dyDescent="0.35">
      <c r="A54" s="9"/>
      <c r="B54" s="9"/>
      <c r="C54" s="119" t="s">
        <v>106</v>
      </c>
      <c r="D54" s="9"/>
      <c r="E54" s="9"/>
      <c r="F54" s="9" t="s">
        <v>107</v>
      </c>
      <c r="G54" s="70"/>
      <c r="H54" s="16"/>
      <c r="I54" s="70"/>
      <c r="J54" s="70"/>
      <c r="K54" s="69">
        <f t="shared" si="0"/>
        <v>0</v>
      </c>
      <c r="L54" s="17"/>
    </row>
    <row r="55" spans="1:12" x14ac:dyDescent="0.35">
      <c r="A55" s="9"/>
      <c r="B55" s="9"/>
      <c r="C55" s="119" t="s">
        <v>108</v>
      </c>
      <c r="D55" s="9"/>
      <c r="E55" s="9"/>
      <c r="F55" s="9" t="s">
        <v>109</v>
      </c>
      <c r="G55" s="70"/>
      <c r="H55" s="16"/>
      <c r="I55" s="70"/>
      <c r="J55" s="70"/>
      <c r="K55" s="69">
        <f t="shared" si="0"/>
        <v>0</v>
      </c>
      <c r="L55" s="17"/>
    </row>
    <row r="56" spans="1:12" x14ac:dyDescent="0.35">
      <c r="A56" s="9"/>
      <c r="B56" s="9"/>
      <c r="C56" s="119" t="s">
        <v>110</v>
      </c>
      <c r="D56" s="9"/>
      <c r="E56" s="9"/>
      <c r="F56" s="9" t="s">
        <v>111</v>
      </c>
      <c r="G56" s="70">
        <v>93990</v>
      </c>
      <c r="H56" s="16" t="s">
        <v>24</v>
      </c>
      <c r="I56" s="70"/>
      <c r="J56" s="70">
        <v>93990</v>
      </c>
      <c r="K56" s="69">
        <f t="shared" si="0"/>
        <v>93990</v>
      </c>
      <c r="L56" s="17"/>
    </row>
    <row r="57" spans="1:12" x14ac:dyDescent="0.35">
      <c r="A57" s="9"/>
      <c r="B57" s="9"/>
      <c r="C57" s="119" t="s">
        <v>112</v>
      </c>
      <c r="D57" s="9"/>
      <c r="E57" s="9"/>
      <c r="F57" s="9" t="s">
        <v>113</v>
      </c>
      <c r="G57" s="70">
        <v>533199</v>
      </c>
      <c r="H57" s="16" t="s">
        <v>59</v>
      </c>
      <c r="I57" s="70">
        <v>159960</v>
      </c>
      <c r="J57" s="70">
        <v>373239</v>
      </c>
      <c r="K57" s="69">
        <f t="shared" si="0"/>
        <v>533199</v>
      </c>
      <c r="L57" s="17"/>
    </row>
    <row r="58" spans="1:12" x14ac:dyDescent="0.35">
      <c r="A58" s="9"/>
      <c r="B58" s="9"/>
      <c r="C58" s="119" t="s">
        <v>114</v>
      </c>
      <c r="D58" s="9"/>
      <c r="E58" s="9"/>
      <c r="F58" s="9" t="s">
        <v>115</v>
      </c>
      <c r="G58" s="70"/>
      <c r="H58" s="16"/>
      <c r="I58" s="70"/>
      <c r="J58" s="70"/>
      <c r="K58" s="69">
        <f t="shared" si="0"/>
        <v>0</v>
      </c>
      <c r="L58" s="17"/>
    </row>
    <row r="59" spans="1:12" x14ac:dyDescent="0.35">
      <c r="A59" s="9"/>
      <c r="B59" s="9"/>
      <c r="C59" s="119" t="s">
        <v>116</v>
      </c>
      <c r="D59" s="9"/>
      <c r="E59" s="9"/>
      <c r="F59" s="9" t="s">
        <v>117</v>
      </c>
      <c r="G59" s="70"/>
      <c r="H59" s="16"/>
      <c r="I59" s="70"/>
      <c r="J59" s="70"/>
      <c r="K59" s="69">
        <f t="shared" si="0"/>
        <v>0</v>
      </c>
      <c r="L59" s="17"/>
    </row>
    <row r="60" spans="1:12" x14ac:dyDescent="0.35">
      <c r="A60" s="9"/>
      <c r="B60" s="9"/>
      <c r="C60" s="119" t="s">
        <v>118</v>
      </c>
      <c r="D60" s="9"/>
      <c r="E60" s="9"/>
      <c r="F60" s="9" t="s">
        <v>119</v>
      </c>
      <c r="G60" s="70"/>
      <c r="H60" s="16"/>
      <c r="I60" s="70"/>
      <c r="J60" s="70"/>
      <c r="K60" s="69">
        <f t="shared" si="0"/>
        <v>0</v>
      </c>
      <c r="L60" s="17"/>
    </row>
    <row r="61" spans="1:12" x14ac:dyDescent="0.35">
      <c r="A61" s="9"/>
      <c r="B61" s="9"/>
      <c r="C61" s="119" t="s">
        <v>120</v>
      </c>
      <c r="D61" s="9"/>
      <c r="E61" s="9"/>
      <c r="F61" s="9" t="s">
        <v>121</v>
      </c>
      <c r="G61" s="70">
        <v>76129</v>
      </c>
      <c r="H61" s="16" t="s">
        <v>24</v>
      </c>
      <c r="I61" s="70"/>
      <c r="J61" s="70">
        <v>76129</v>
      </c>
      <c r="K61" s="69">
        <f t="shared" si="0"/>
        <v>76129</v>
      </c>
      <c r="L61" s="17"/>
    </row>
    <row r="62" spans="1:12" x14ac:dyDescent="0.35">
      <c r="A62" s="9"/>
      <c r="B62" s="9"/>
      <c r="C62" s="119" t="s">
        <v>122</v>
      </c>
      <c r="D62" s="9"/>
      <c r="E62" s="9"/>
      <c r="F62" s="9" t="s">
        <v>123</v>
      </c>
      <c r="G62" s="70">
        <v>712408</v>
      </c>
      <c r="H62" s="16" t="s">
        <v>24</v>
      </c>
      <c r="I62" s="70"/>
      <c r="J62" s="70">
        <v>712408</v>
      </c>
      <c r="K62" s="69">
        <f t="shared" si="0"/>
        <v>712408</v>
      </c>
      <c r="L62" s="17"/>
    </row>
    <row r="63" spans="1:12" x14ac:dyDescent="0.35">
      <c r="A63" s="9"/>
      <c r="B63" s="9"/>
      <c r="C63" s="119" t="s">
        <v>124</v>
      </c>
      <c r="D63" s="9"/>
      <c r="E63" s="9"/>
      <c r="F63" s="9" t="s">
        <v>125</v>
      </c>
      <c r="G63" s="70"/>
      <c r="H63" s="16"/>
      <c r="I63" s="70"/>
      <c r="J63" s="70"/>
      <c r="K63" s="69">
        <f t="shared" si="0"/>
        <v>0</v>
      </c>
      <c r="L63" s="17"/>
    </row>
    <row r="64" spans="1:12" hidden="1" x14ac:dyDescent="0.35">
      <c r="A64" s="9"/>
      <c r="B64" s="9" t="s">
        <v>126</v>
      </c>
      <c r="C64" s="119"/>
      <c r="D64" s="9"/>
      <c r="E64" s="9" t="s">
        <v>127</v>
      </c>
      <c r="F64" s="9"/>
      <c r="G64" s="69"/>
      <c r="H64" s="9"/>
      <c r="I64" s="69"/>
      <c r="J64" s="69"/>
      <c r="K64" s="69"/>
      <c r="L64" s="14"/>
    </row>
    <row r="65" spans="1:12" hidden="1" x14ac:dyDescent="0.35">
      <c r="A65" s="9"/>
      <c r="B65" s="9" t="s">
        <v>128</v>
      </c>
      <c r="C65" s="119"/>
      <c r="D65" s="9"/>
      <c r="E65" s="9" t="s">
        <v>127</v>
      </c>
      <c r="F65" s="9"/>
      <c r="G65" s="69"/>
      <c r="H65" s="9"/>
      <c r="I65" s="69"/>
      <c r="J65" s="69"/>
      <c r="K65" s="69"/>
      <c r="L65" s="14"/>
    </row>
    <row r="66" spans="1:12" x14ac:dyDescent="0.35">
      <c r="A66" s="9"/>
      <c r="B66" s="9" t="s">
        <v>129</v>
      </c>
      <c r="C66" s="119"/>
      <c r="D66" s="9"/>
      <c r="E66" s="9" t="s">
        <v>130</v>
      </c>
      <c r="F66" s="9"/>
      <c r="G66" s="69">
        <f>SUM(G67:G69)</f>
        <v>0</v>
      </c>
      <c r="H66" s="9"/>
      <c r="I66" s="69">
        <f>SUM(I67:I69)</f>
        <v>0</v>
      </c>
      <c r="J66" s="69">
        <f>SUM(J67:J69)</f>
        <v>0</v>
      </c>
      <c r="K66" s="69"/>
      <c r="L66" s="14"/>
    </row>
    <row r="67" spans="1:12" x14ac:dyDescent="0.35">
      <c r="A67" s="9"/>
      <c r="B67" s="9"/>
      <c r="C67" s="119" t="s">
        <v>131</v>
      </c>
      <c r="D67" s="9"/>
      <c r="E67" s="9"/>
      <c r="F67" s="9" t="s">
        <v>132</v>
      </c>
      <c r="G67" s="70"/>
      <c r="H67" s="16"/>
      <c r="I67" s="70"/>
      <c r="J67" s="70">
        <v>0</v>
      </c>
      <c r="K67" s="69">
        <f t="shared" ref="K67:K69" si="1">I67+J67</f>
        <v>0</v>
      </c>
      <c r="L67" s="17"/>
    </row>
    <row r="68" spans="1:12" x14ac:dyDescent="0.35">
      <c r="A68" s="9"/>
      <c r="B68" s="9"/>
      <c r="C68" s="119" t="s">
        <v>133</v>
      </c>
      <c r="D68" s="9"/>
      <c r="E68" s="9"/>
      <c r="F68" s="9" t="s">
        <v>134</v>
      </c>
      <c r="G68" s="70"/>
      <c r="H68" s="16"/>
      <c r="I68" s="70"/>
      <c r="J68" s="70"/>
      <c r="K68" s="69">
        <f t="shared" si="1"/>
        <v>0</v>
      </c>
      <c r="L68" s="17"/>
    </row>
    <row r="69" spans="1:12" x14ac:dyDescent="0.35">
      <c r="A69" s="9"/>
      <c r="B69" s="9"/>
      <c r="C69" s="119" t="s">
        <v>135</v>
      </c>
      <c r="D69" s="9"/>
      <c r="E69" s="9"/>
      <c r="F69" s="9" t="s">
        <v>136</v>
      </c>
      <c r="G69" s="70"/>
      <c r="H69" s="16"/>
      <c r="I69" s="70"/>
      <c r="J69" s="70"/>
      <c r="K69" s="69">
        <f t="shared" si="1"/>
        <v>0</v>
      </c>
      <c r="L69" s="17"/>
    </row>
    <row r="70" spans="1:12" x14ac:dyDescent="0.35">
      <c r="A70" s="9"/>
      <c r="B70" s="9" t="s">
        <v>137</v>
      </c>
      <c r="C70" s="119"/>
      <c r="D70" s="9"/>
      <c r="E70" s="9" t="s">
        <v>138</v>
      </c>
      <c r="F70" s="9"/>
      <c r="G70" s="69">
        <f>SUM(G71:G73)</f>
        <v>1695401</v>
      </c>
      <c r="H70" s="9"/>
      <c r="I70" s="69">
        <f>SUM(I71:I73)</f>
        <v>0</v>
      </c>
      <c r="J70" s="69">
        <f>SUM(J71:J73)</f>
        <v>1695401</v>
      </c>
      <c r="K70" s="69"/>
      <c r="L70" s="14"/>
    </row>
    <row r="71" spans="1:12" x14ac:dyDescent="0.35">
      <c r="A71" s="9"/>
      <c r="B71" s="9"/>
      <c r="C71" s="119" t="s">
        <v>139</v>
      </c>
      <c r="D71" s="9"/>
      <c r="E71" s="9"/>
      <c r="F71" s="9" t="s">
        <v>140</v>
      </c>
      <c r="G71" s="70"/>
      <c r="H71" s="16"/>
      <c r="I71" s="70"/>
      <c r="J71" s="70"/>
      <c r="K71" s="69">
        <f t="shared" ref="K71:K73" si="2">I71+J71</f>
        <v>0</v>
      </c>
      <c r="L71" s="17"/>
    </row>
    <row r="72" spans="1:12" x14ac:dyDescent="0.35">
      <c r="A72" s="9"/>
      <c r="B72" s="9"/>
      <c r="C72" s="119" t="s">
        <v>141</v>
      </c>
      <c r="D72" s="9"/>
      <c r="E72" s="9"/>
      <c r="F72" s="9" t="s">
        <v>142</v>
      </c>
      <c r="G72" s="70">
        <v>1190533</v>
      </c>
      <c r="H72" s="16" t="s">
        <v>24</v>
      </c>
      <c r="I72" s="70"/>
      <c r="J72" s="70">
        <v>1190533</v>
      </c>
      <c r="K72" s="69">
        <f t="shared" si="2"/>
        <v>1190533</v>
      </c>
      <c r="L72" s="17"/>
    </row>
    <row r="73" spans="1:12" x14ac:dyDescent="0.35">
      <c r="A73" s="9"/>
      <c r="B73" s="9"/>
      <c r="C73" s="119" t="s">
        <v>143</v>
      </c>
      <c r="D73" s="9"/>
      <c r="E73" s="9"/>
      <c r="F73" s="9" t="s">
        <v>144</v>
      </c>
      <c r="G73" s="70">
        <v>504868</v>
      </c>
      <c r="H73" s="16" t="s">
        <v>24</v>
      </c>
      <c r="I73" s="70"/>
      <c r="J73" s="70">
        <v>504868</v>
      </c>
      <c r="K73" s="69">
        <f t="shared" si="2"/>
        <v>504868</v>
      </c>
      <c r="L73" s="17"/>
    </row>
    <row r="74" spans="1:12" hidden="1" x14ac:dyDescent="0.35">
      <c r="A74" s="9"/>
      <c r="B74" s="9" t="s">
        <v>145</v>
      </c>
      <c r="C74" s="119"/>
      <c r="D74" s="9"/>
      <c r="E74" s="9" t="s">
        <v>127</v>
      </c>
      <c r="F74" s="9"/>
      <c r="G74" s="69"/>
      <c r="H74" s="9"/>
      <c r="I74" s="69"/>
      <c r="J74" s="69"/>
      <c r="K74" s="69"/>
      <c r="L74" s="14"/>
    </row>
    <row r="75" spans="1:12" hidden="1" x14ac:dyDescent="0.35">
      <c r="A75" s="9"/>
      <c r="B75" s="9" t="s">
        <v>146</v>
      </c>
      <c r="C75" s="119"/>
      <c r="D75" s="9"/>
      <c r="E75" s="9" t="s">
        <v>127</v>
      </c>
      <c r="F75" s="9"/>
      <c r="G75" s="69"/>
      <c r="H75" s="9"/>
      <c r="I75" s="69"/>
      <c r="J75" s="69"/>
      <c r="K75" s="69"/>
      <c r="L75" s="14"/>
    </row>
    <row r="76" spans="1:12" s="7" customFormat="1" x14ac:dyDescent="0.35">
      <c r="A76" s="4" t="s">
        <v>147</v>
      </c>
      <c r="B76" s="4"/>
      <c r="C76" s="122"/>
      <c r="D76" s="4"/>
      <c r="E76" s="4"/>
      <c r="F76" s="4"/>
      <c r="G76" s="138">
        <f>G8+G25+G42+G66+G70</f>
        <v>9476001</v>
      </c>
      <c r="H76" s="88"/>
      <c r="I76" s="138">
        <f>I8+I25+I42+I66+I70</f>
        <v>3717607</v>
      </c>
      <c r="J76" s="138">
        <f>J8+J25+J42+J66+J70</f>
        <v>5758394</v>
      </c>
      <c r="K76" s="69">
        <f t="shared" ref="K76" si="3">I76+J76</f>
        <v>9476001</v>
      </c>
      <c r="L76" s="25"/>
    </row>
    <row r="77" spans="1:12" x14ac:dyDescent="0.35">
      <c r="F77" s="139" t="s">
        <v>200</v>
      </c>
      <c r="G77" s="140">
        <f>'[15]CA2 Detail'!L173</f>
        <v>9476001</v>
      </c>
      <c r="H77" s="13"/>
      <c r="I77" s="89">
        <f>I76/G76</f>
        <v>0.39231813082332939</v>
      </c>
      <c r="J77" s="89">
        <f>J76/G76</f>
        <v>0.60768186917667066</v>
      </c>
      <c r="K77" s="27"/>
    </row>
    <row r="79" spans="1:12" x14ac:dyDescent="0.35">
      <c r="F79" s="142" t="s">
        <v>201</v>
      </c>
    </row>
    <row r="80" spans="1:12" hidden="1" x14ac:dyDescent="0.35">
      <c r="H80" t="s">
        <v>15</v>
      </c>
    </row>
    <row r="81" spans="3:11" hidden="1" x14ac:dyDescent="0.35">
      <c r="C81"/>
      <c r="H81" t="s">
        <v>24</v>
      </c>
    </row>
    <row r="82" spans="3:11" hidden="1" x14ac:dyDescent="0.35">
      <c r="C82"/>
      <c r="H82" t="s">
        <v>59</v>
      </c>
    </row>
    <row r="83" spans="3:11" x14ac:dyDescent="0.35">
      <c r="C83"/>
      <c r="H83" s="139" t="s">
        <v>202</v>
      </c>
      <c r="I83" s="69">
        <f>'[15]CA2 Detail'!W121-'[15]CA2 Detail'!J203</f>
        <v>34704066.999999993</v>
      </c>
      <c r="J83" s="161">
        <f>I76/I83</f>
        <v>0.1071230930945356</v>
      </c>
      <c r="K83" s="142" t="s">
        <v>203</v>
      </c>
    </row>
    <row r="97" spans="3:3" x14ac:dyDescent="0.35">
      <c r="C97"/>
    </row>
    <row r="98" spans="3:3" x14ac:dyDescent="0.35">
      <c r="C98"/>
    </row>
    <row r="99" spans="3:3" x14ac:dyDescent="0.35">
      <c r="C99"/>
    </row>
    <row r="100" spans="3:3" x14ac:dyDescent="0.35">
      <c r="C100"/>
    </row>
    <row r="101" spans="3:3" x14ac:dyDescent="0.35">
      <c r="C101"/>
    </row>
    <row r="102" spans="3:3" x14ac:dyDescent="0.35">
      <c r="C102"/>
    </row>
    <row r="103" spans="3:3" x14ac:dyDescent="0.35">
      <c r="C103"/>
    </row>
    <row r="104" spans="3:3" x14ac:dyDescent="0.35">
      <c r="C104"/>
    </row>
    <row r="105" spans="3:3" x14ac:dyDescent="0.35">
      <c r="C105"/>
    </row>
    <row r="106" spans="3:3" x14ac:dyDescent="0.35">
      <c r="C106"/>
    </row>
    <row r="107" spans="3:3" x14ac:dyDescent="0.35">
      <c r="C107"/>
    </row>
    <row r="108" spans="3:3" x14ac:dyDescent="0.35">
      <c r="C108"/>
    </row>
    <row r="109" spans="3:3" x14ac:dyDescent="0.35">
      <c r="C109"/>
    </row>
    <row r="112" spans="3:3" ht="15" hidden="1" customHeight="1" x14ac:dyDescent="0.35"/>
    <row r="113" ht="15" hidden="1" customHeight="1" x14ac:dyDescent="0.35"/>
    <row r="114" ht="15" hidden="1" customHeight="1" x14ac:dyDescent="0.35"/>
    <row r="115" ht="15" hidden="1" customHeight="1" x14ac:dyDescent="0.35"/>
    <row r="116" ht="15" hidden="1" customHeight="1" x14ac:dyDescent="0.35"/>
    <row r="117" ht="15" hidden="1" customHeight="1" x14ac:dyDescent="0.35"/>
    <row r="118" ht="15" hidden="1" customHeight="1" x14ac:dyDescent="0.35"/>
    <row r="119" ht="15" hidden="1" customHeight="1" x14ac:dyDescent="0.35"/>
    <row r="120" ht="15" hidden="1" customHeight="1" x14ac:dyDescent="0.35"/>
    <row r="121" ht="15" hidden="1" customHeight="1" x14ac:dyDescent="0.35"/>
    <row r="122" ht="15" hidden="1" customHeight="1" x14ac:dyDescent="0.35"/>
    <row r="123" ht="15" hidden="1" customHeight="1" x14ac:dyDescent="0.35"/>
    <row r="124" ht="15" hidden="1" customHeight="1" x14ac:dyDescent="0.35"/>
    <row r="125" ht="15" hidden="1" customHeight="1" x14ac:dyDescent="0.35"/>
    <row r="126" ht="15" hidden="1" customHeight="1" x14ac:dyDescent="0.35"/>
    <row r="127" ht="15" hidden="1" customHeight="1" x14ac:dyDescent="0.35"/>
    <row r="128" ht="15" hidden="1" customHeight="1" x14ac:dyDescent="0.35"/>
    <row r="129" ht="15" hidden="1" customHeight="1" x14ac:dyDescent="0.35"/>
    <row r="130" ht="15" hidden="1" customHeight="1" x14ac:dyDescent="0.35"/>
    <row r="131" ht="15" hidden="1" customHeight="1" x14ac:dyDescent="0.35"/>
    <row r="132" ht="15" hidden="1" customHeight="1" x14ac:dyDescent="0.35"/>
    <row r="133" ht="15" hidden="1" customHeight="1" x14ac:dyDescent="0.35"/>
    <row r="134" ht="15" hidden="1" customHeight="1" x14ac:dyDescent="0.35"/>
    <row r="135" ht="15" hidden="1" customHeight="1" x14ac:dyDescent="0.35"/>
    <row r="136" ht="15" hidden="1" customHeight="1" x14ac:dyDescent="0.35"/>
    <row r="137" ht="15" hidden="1" customHeight="1" x14ac:dyDescent="0.35"/>
    <row r="138" ht="15" hidden="1" customHeight="1" x14ac:dyDescent="0.35"/>
    <row r="139" ht="15" hidden="1" customHeight="1" x14ac:dyDescent="0.35"/>
    <row r="140" ht="15" hidden="1" customHeight="1" x14ac:dyDescent="0.35"/>
  </sheetData>
  <conditionalFormatting sqref="G76">
    <cfRule type="cellIs" dxfId="177" priority="1" operator="notEqual">
      <formula>$G$77</formula>
    </cfRule>
    <cfRule type="cellIs" dxfId="176" priority="2" operator="equal">
      <formula>$G$77</formula>
    </cfRule>
  </conditionalFormatting>
  <conditionalFormatting sqref="K9:K24">
    <cfRule type="cellIs" dxfId="175" priority="13" operator="notEqual">
      <formula>G9</formula>
    </cfRule>
    <cfRule type="cellIs" dxfId="174" priority="14" operator="equal">
      <formula>G9</formula>
    </cfRule>
  </conditionalFormatting>
  <conditionalFormatting sqref="K26:K41">
    <cfRule type="cellIs" dxfId="173" priority="11" operator="notEqual">
      <formula>G26</formula>
    </cfRule>
    <cfRule type="cellIs" dxfId="172" priority="12" operator="equal">
      <formula>G26</formula>
    </cfRule>
  </conditionalFormatting>
  <conditionalFormatting sqref="K43:K63">
    <cfRule type="cellIs" dxfId="171" priority="9" operator="notEqual">
      <formula>G43</formula>
    </cfRule>
    <cfRule type="cellIs" dxfId="170" priority="10" operator="equal">
      <formula>G43</formula>
    </cfRule>
  </conditionalFormatting>
  <conditionalFormatting sqref="K67:K69">
    <cfRule type="cellIs" dxfId="169" priority="7" operator="notEqual">
      <formula>G67</formula>
    </cfRule>
    <cfRule type="cellIs" dxfId="168" priority="8" operator="equal">
      <formula>G67</formula>
    </cfRule>
  </conditionalFormatting>
  <conditionalFormatting sqref="K71:K73">
    <cfRule type="cellIs" dxfId="167" priority="5" operator="notEqual">
      <formula>G71</formula>
    </cfRule>
    <cfRule type="cellIs" dxfId="166" priority="6" operator="equal">
      <formula>G71</formula>
    </cfRule>
  </conditionalFormatting>
  <conditionalFormatting sqref="K76">
    <cfRule type="cellIs" dxfId="165" priority="3" operator="notEqual">
      <formula>G76</formula>
    </cfRule>
    <cfRule type="cellIs" dxfId="164" priority="4" operator="equal">
      <formula>G76</formula>
    </cfRule>
  </conditionalFormatting>
  <dataValidations count="1">
    <dataValidation type="list" allowBlank="1" showInputMessage="1" showErrorMessage="1" sqref="H9:H75" xr:uid="{6D0C73AE-9F0C-45E5-B4B4-72DEB9BF3C19}">
      <formula1>$H$80:$H$82</formula1>
    </dataValidation>
  </dataValidations>
  <pageMargins left="0.7" right="0.7" top="0.75" bottom="0.75" header="0.3" footer="0.3"/>
  <pageSetup scale="39" orientation="landscape" r:id="rId1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rgb="FF00B0F0"/>
    <pageSetUpPr fitToPage="1"/>
  </sheetPr>
  <dimension ref="A1:L140"/>
  <sheetViews>
    <sheetView zoomScaleNormal="100" workbookViewId="0"/>
  </sheetViews>
  <sheetFormatPr defaultRowHeight="14.5" x14ac:dyDescent="0.35"/>
  <cols>
    <col min="1" max="2" width="2.81640625" customWidth="1"/>
    <col min="3" max="3" width="10.453125" style="123" bestFit="1" customWidth="1"/>
    <col min="4" max="5" width="2.81640625" customWidth="1"/>
    <col min="6" max="6" width="80.7265625" bestFit="1" customWidth="1"/>
    <col min="7" max="7" width="27.81640625" customWidth="1"/>
    <col min="8" max="8" width="15.26953125" bestFit="1" customWidth="1"/>
    <col min="9" max="9" width="27.26953125" customWidth="1"/>
    <col min="10" max="10" width="26.81640625" customWidth="1"/>
    <col min="11" max="11" width="25.81640625" customWidth="1"/>
    <col min="12" max="12" width="82.54296875" customWidth="1"/>
  </cols>
  <sheetData>
    <row r="1" spans="1:12" x14ac:dyDescent="0.35">
      <c r="A1" s="7"/>
      <c r="B1" s="7"/>
      <c r="C1" s="7"/>
      <c r="D1" s="7"/>
      <c r="E1" s="7"/>
      <c r="F1" s="7"/>
      <c r="G1" s="7"/>
      <c r="H1" s="7"/>
      <c r="I1" s="7" t="s">
        <v>0</v>
      </c>
      <c r="J1" s="7"/>
      <c r="K1" s="7"/>
      <c r="L1" s="7"/>
    </row>
    <row r="2" spans="1:12" x14ac:dyDescent="0.35">
      <c r="A2" s="7"/>
      <c r="B2" s="7"/>
      <c r="C2" s="7"/>
      <c r="D2" s="7"/>
      <c r="E2" s="7"/>
      <c r="F2" s="7"/>
      <c r="G2" s="7"/>
      <c r="H2" s="7"/>
      <c r="I2" s="132" t="s">
        <v>197</v>
      </c>
      <c r="J2" s="7"/>
      <c r="K2" s="7"/>
      <c r="L2" s="7"/>
    </row>
    <row r="3" spans="1:12" x14ac:dyDescent="0.35">
      <c r="A3" s="136" t="s">
        <v>198</v>
      </c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</row>
    <row r="4" spans="1:12" ht="19.5" customHeight="1" x14ac:dyDescent="0.35">
      <c r="A4" s="137" t="str">
        <f>'[16]Data Entry - CA2'!A2</f>
        <v>Palm Beach State College</v>
      </c>
      <c r="C4"/>
    </row>
    <row r="5" spans="1:12" x14ac:dyDescent="0.35">
      <c r="C5"/>
    </row>
    <row r="6" spans="1:12" s="7" customFormat="1" x14ac:dyDescent="0.35">
      <c r="A6" s="3" t="s">
        <v>2</v>
      </c>
      <c r="B6" s="4"/>
      <c r="C6" s="4"/>
      <c r="D6" s="3" t="s">
        <v>3</v>
      </c>
      <c r="E6" s="4"/>
      <c r="F6" s="4"/>
      <c r="G6" s="118" t="s">
        <v>274</v>
      </c>
      <c r="H6" s="6" t="s">
        <v>4</v>
      </c>
      <c r="I6" s="6" t="s">
        <v>5</v>
      </c>
      <c r="J6" s="6" t="s">
        <v>6</v>
      </c>
      <c r="K6" s="6" t="s">
        <v>7</v>
      </c>
      <c r="L6" s="6" t="s">
        <v>199</v>
      </c>
    </row>
    <row r="7" spans="1:12" x14ac:dyDescent="0.35">
      <c r="A7" s="8" t="s">
        <v>9</v>
      </c>
      <c r="B7" s="9"/>
      <c r="C7" s="119"/>
      <c r="D7" s="11" t="s">
        <v>10</v>
      </c>
      <c r="E7" s="119"/>
      <c r="F7" s="119"/>
      <c r="G7" s="69"/>
      <c r="H7" s="9"/>
      <c r="I7" s="69"/>
      <c r="J7" s="69"/>
      <c r="K7" s="69"/>
      <c r="L7" s="11"/>
    </row>
    <row r="8" spans="1:12" x14ac:dyDescent="0.35">
      <c r="A8" s="8"/>
      <c r="B8" s="9" t="s">
        <v>11</v>
      </c>
      <c r="C8" s="119"/>
      <c r="D8" s="13"/>
      <c r="E8" s="9" t="s">
        <v>12</v>
      </c>
      <c r="F8" s="119"/>
      <c r="G8" s="69">
        <f>SUM(G9:G24)</f>
        <v>4078389.71</v>
      </c>
      <c r="H8" s="9"/>
      <c r="I8" s="69">
        <f>SUM(I9:I24)</f>
        <v>2301671.98</v>
      </c>
      <c r="J8" s="69">
        <f>SUM(J9:J24)</f>
        <v>1776717.73</v>
      </c>
      <c r="K8" s="69"/>
      <c r="L8" s="14"/>
    </row>
    <row r="9" spans="1:12" x14ac:dyDescent="0.35">
      <c r="A9" s="8"/>
      <c r="B9" s="9"/>
      <c r="C9" s="119" t="s">
        <v>13</v>
      </c>
      <c r="D9" s="13"/>
      <c r="E9" s="119"/>
      <c r="F9" s="9" t="s">
        <v>14</v>
      </c>
      <c r="G9" s="70"/>
      <c r="H9" s="16"/>
      <c r="I9" s="70"/>
      <c r="J9" s="70"/>
      <c r="K9" s="69">
        <f t="shared" ref="K9:K63" si="0">I9+J9</f>
        <v>0</v>
      </c>
      <c r="L9" s="17"/>
    </row>
    <row r="10" spans="1:12" x14ac:dyDescent="0.35">
      <c r="A10" s="8"/>
      <c r="B10" s="9"/>
      <c r="C10" s="119" t="s">
        <v>16</v>
      </c>
      <c r="D10" s="13"/>
      <c r="E10" s="119"/>
      <c r="F10" s="9" t="s">
        <v>17</v>
      </c>
      <c r="G10" s="70">
        <v>106117.58</v>
      </c>
      <c r="H10" s="16" t="s">
        <v>15</v>
      </c>
      <c r="I10" s="70">
        <v>106117.58</v>
      </c>
      <c r="J10" s="70"/>
      <c r="K10" s="69">
        <f t="shared" si="0"/>
        <v>106117.58</v>
      </c>
      <c r="L10" s="17"/>
    </row>
    <row r="11" spans="1:12" x14ac:dyDescent="0.35">
      <c r="A11" s="8"/>
      <c r="B11" s="9"/>
      <c r="C11" s="119" t="s">
        <v>18</v>
      </c>
      <c r="D11" s="13"/>
      <c r="E11" s="119"/>
      <c r="F11" s="9" t="s">
        <v>19</v>
      </c>
      <c r="G11" s="70">
        <v>775782.34</v>
      </c>
      <c r="H11" s="16" t="s">
        <v>15</v>
      </c>
      <c r="I11" s="70">
        <v>775782.34</v>
      </c>
      <c r="J11" s="70">
        <v>0</v>
      </c>
      <c r="K11" s="69">
        <f t="shared" si="0"/>
        <v>775782.34</v>
      </c>
      <c r="L11" s="17"/>
    </row>
    <row r="12" spans="1:12" x14ac:dyDescent="0.35">
      <c r="A12" s="8"/>
      <c r="B12" s="9"/>
      <c r="C12" s="119" t="s">
        <v>20</v>
      </c>
      <c r="D12" s="13"/>
      <c r="E12" s="119"/>
      <c r="F12" s="9" t="s">
        <v>21</v>
      </c>
      <c r="G12" s="70"/>
      <c r="H12" s="16"/>
      <c r="I12" s="70"/>
      <c r="J12" s="70"/>
      <c r="K12" s="69">
        <f t="shared" si="0"/>
        <v>0</v>
      </c>
      <c r="L12" s="17"/>
    </row>
    <row r="13" spans="1:12" x14ac:dyDescent="0.35">
      <c r="A13" s="8"/>
      <c r="B13" s="9"/>
      <c r="C13" s="119" t="s">
        <v>22</v>
      </c>
      <c r="D13" s="13"/>
      <c r="E13" s="119"/>
      <c r="F13" s="9" t="s">
        <v>23</v>
      </c>
      <c r="G13" s="70">
        <v>1419772.06</v>
      </c>
      <c r="H13" s="16" t="s">
        <v>15</v>
      </c>
      <c r="I13" s="70">
        <v>1419772.06</v>
      </c>
      <c r="J13" s="70"/>
      <c r="K13" s="69">
        <f t="shared" si="0"/>
        <v>1419772.06</v>
      </c>
      <c r="L13" s="17"/>
    </row>
    <row r="14" spans="1:12" x14ac:dyDescent="0.35">
      <c r="A14" s="8"/>
      <c r="B14" s="9"/>
      <c r="C14" s="119" t="s">
        <v>25</v>
      </c>
      <c r="D14" s="13"/>
      <c r="E14" s="119"/>
      <c r="F14" s="9" t="s">
        <v>26</v>
      </c>
      <c r="G14" s="70"/>
      <c r="H14" s="16"/>
      <c r="I14" s="70"/>
      <c r="J14" s="70"/>
      <c r="K14" s="69">
        <f t="shared" si="0"/>
        <v>0</v>
      </c>
      <c r="L14" s="17"/>
    </row>
    <row r="15" spans="1:12" x14ac:dyDescent="0.35">
      <c r="A15" s="8"/>
      <c r="B15" s="9"/>
      <c r="C15" s="119" t="s">
        <v>27</v>
      </c>
      <c r="D15" s="13"/>
      <c r="E15" s="119"/>
      <c r="F15" s="9" t="s">
        <v>28</v>
      </c>
      <c r="G15" s="70"/>
      <c r="H15" s="16"/>
      <c r="I15" s="70"/>
      <c r="J15" s="70"/>
      <c r="K15" s="69">
        <f t="shared" si="0"/>
        <v>0</v>
      </c>
      <c r="L15" s="17"/>
    </row>
    <row r="16" spans="1:12" x14ac:dyDescent="0.35">
      <c r="A16" s="8"/>
      <c r="B16" s="9"/>
      <c r="C16" s="119" t="s">
        <v>29</v>
      </c>
      <c r="D16" s="13"/>
      <c r="E16" s="119"/>
      <c r="F16" s="9" t="s">
        <v>30</v>
      </c>
      <c r="G16" s="70"/>
      <c r="H16" s="16"/>
      <c r="I16" s="70"/>
      <c r="J16" s="70"/>
      <c r="K16" s="69">
        <f t="shared" si="0"/>
        <v>0</v>
      </c>
      <c r="L16" s="17"/>
    </row>
    <row r="17" spans="1:12" x14ac:dyDescent="0.35">
      <c r="A17" s="8"/>
      <c r="B17" s="9"/>
      <c r="C17" s="119" t="s">
        <v>31</v>
      </c>
      <c r="D17" s="13"/>
      <c r="E17" s="119"/>
      <c r="F17" s="9" t="s">
        <v>32</v>
      </c>
      <c r="G17" s="70"/>
      <c r="H17" s="16"/>
      <c r="I17" s="70"/>
      <c r="J17" s="70"/>
      <c r="K17" s="69">
        <f t="shared" si="0"/>
        <v>0</v>
      </c>
      <c r="L17" s="17"/>
    </row>
    <row r="18" spans="1:12" x14ac:dyDescent="0.35">
      <c r="A18" s="8"/>
      <c r="B18" s="9"/>
      <c r="C18" s="119" t="s">
        <v>33</v>
      </c>
      <c r="D18" s="13"/>
      <c r="E18" s="119"/>
      <c r="F18" s="9" t="s">
        <v>34</v>
      </c>
      <c r="G18" s="70">
        <v>909158.32</v>
      </c>
      <c r="H18" s="16" t="s">
        <v>24</v>
      </c>
      <c r="I18" s="70"/>
      <c r="J18" s="70">
        <v>909158.32</v>
      </c>
      <c r="K18" s="69">
        <f t="shared" si="0"/>
        <v>909158.32</v>
      </c>
      <c r="L18" s="17"/>
    </row>
    <row r="19" spans="1:12" x14ac:dyDescent="0.35">
      <c r="A19" s="8"/>
      <c r="B19" s="9"/>
      <c r="C19" s="119" t="s">
        <v>35</v>
      </c>
      <c r="D19" s="13"/>
      <c r="E19" s="119"/>
      <c r="F19" s="9" t="s">
        <v>36</v>
      </c>
      <c r="G19" s="71"/>
      <c r="H19" s="16"/>
      <c r="I19" s="71"/>
      <c r="J19" s="71"/>
      <c r="K19" s="69">
        <f t="shared" si="0"/>
        <v>0</v>
      </c>
      <c r="L19" s="17"/>
    </row>
    <row r="20" spans="1:12" x14ac:dyDescent="0.35">
      <c r="A20" s="8"/>
      <c r="B20" s="9"/>
      <c r="C20" s="119" t="s">
        <v>37</v>
      </c>
      <c r="D20" s="13"/>
      <c r="E20" s="119"/>
      <c r="F20" s="9" t="s">
        <v>38</v>
      </c>
      <c r="G20" s="70">
        <v>437811.64</v>
      </c>
      <c r="H20" s="16" t="s">
        <v>24</v>
      </c>
      <c r="I20" s="70"/>
      <c r="J20" s="70">
        <v>437811.64</v>
      </c>
      <c r="K20" s="69">
        <f t="shared" si="0"/>
        <v>437811.64</v>
      </c>
      <c r="L20" s="17"/>
    </row>
    <row r="21" spans="1:12" x14ac:dyDescent="0.35">
      <c r="A21" s="8"/>
      <c r="B21" s="9"/>
      <c r="C21" s="119" t="s">
        <v>39</v>
      </c>
      <c r="D21" s="13"/>
      <c r="E21" s="119"/>
      <c r="F21" s="9" t="s">
        <v>40</v>
      </c>
      <c r="G21" s="70"/>
      <c r="H21" s="16"/>
      <c r="I21" s="70"/>
      <c r="J21" s="70"/>
      <c r="K21" s="69">
        <f t="shared" si="0"/>
        <v>0</v>
      </c>
      <c r="L21" s="17"/>
    </row>
    <row r="22" spans="1:12" x14ac:dyDescent="0.35">
      <c r="A22" s="8"/>
      <c r="B22" s="9"/>
      <c r="C22" s="119" t="s">
        <v>41</v>
      </c>
      <c r="D22" s="13"/>
      <c r="E22" s="119"/>
      <c r="F22" s="9" t="s">
        <v>42</v>
      </c>
      <c r="G22" s="70"/>
      <c r="H22" s="16"/>
      <c r="I22" s="70"/>
      <c r="J22" s="70"/>
      <c r="K22" s="69">
        <f t="shared" si="0"/>
        <v>0</v>
      </c>
      <c r="L22" s="17"/>
    </row>
    <row r="23" spans="1:12" x14ac:dyDescent="0.35">
      <c r="A23" s="8"/>
      <c r="B23" s="9"/>
      <c r="C23" s="119" t="s">
        <v>43</v>
      </c>
      <c r="D23" s="13"/>
      <c r="E23" s="119"/>
      <c r="F23" s="9" t="s">
        <v>44</v>
      </c>
      <c r="G23" s="70">
        <v>429747.77</v>
      </c>
      <c r="H23" s="16" t="s">
        <v>24</v>
      </c>
      <c r="I23" s="70"/>
      <c r="J23" s="70">
        <v>429747.77</v>
      </c>
      <c r="K23" s="69">
        <f t="shared" si="0"/>
        <v>429747.77</v>
      </c>
      <c r="L23" s="17"/>
    </row>
    <row r="24" spans="1:12" x14ac:dyDescent="0.35">
      <c r="A24" s="9"/>
      <c r="B24" s="9"/>
      <c r="C24" s="120" t="s">
        <v>45</v>
      </c>
      <c r="D24" s="13"/>
      <c r="E24" s="120"/>
      <c r="F24" s="9" t="s">
        <v>46</v>
      </c>
      <c r="G24" s="72"/>
      <c r="H24" s="16"/>
      <c r="I24" s="72"/>
      <c r="J24" s="72"/>
      <c r="K24" s="69">
        <f t="shared" si="0"/>
        <v>0</v>
      </c>
      <c r="L24" s="17"/>
    </row>
    <row r="25" spans="1:12" x14ac:dyDescent="0.35">
      <c r="A25" s="8"/>
      <c r="B25" s="9" t="s">
        <v>47</v>
      </c>
      <c r="C25" s="119"/>
      <c r="D25" s="13"/>
      <c r="E25" s="9" t="s">
        <v>48</v>
      </c>
      <c r="F25" s="119"/>
      <c r="G25" s="69">
        <f>SUM(G26:G41)</f>
        <v>4174744.9099999997</v>
      </c>
      <c r="H25" s="9"/>
      <c r="I25" s="69">
        <f>SUM(I26:I41)</f>
        <v>2275816.5</v>
      </c>
      <c r="J25" s="69">
        <f>SUM(J26:J41)</f>
        <v>1898928.41</v>
      </c>
      <c r="K25" s="69"/>
      <c r="L25" s="14"/>
    </row>
    <row r="26" spans="1:12" x14ac:dyDescent="0.35">
      <c r="A26" s="8"/>
      <c r="B26" s="9"/>
      <c r="C26" s="119" t="s">
        <v>49</v>
      </c>
      <c r="D26" s="13"/>
      <c r="E26" s="119"/>
      <c r="F26" s="9" t="s">
        <v>50</v>
      </c>
      <c r="G26" s="70"/>
      <c r="H26" s="16"/>
      <c r="I26" s="70"/>
      <c r="J26" s="70"/>
      <c r="K26" s="69">
        <f t="shared" si="0"/>
        <v>0</v>
      </c>
      <c r="L26" s="17"/>
    </row>
    <row r="27" spans="1:12" x14ac:dyDescent="0.35">
      <c r="A27" s="8"/>
      <c r="B27" s="9"/>
      <c r="C27" s="119" t="s">
        <v>51</v>
      </c>
      <c r="D27" s="13"/>
      <c r="E27" s="119"/>
      <c r="F27" s="9" t="s">
        <v>52</v>
      </c>
      <c r="G27" s="70"/>
      <c r="H27" s="16"/>
      <c r="I27" s="70"/>
      <c r="J27" s="70"/>
      <c r="K27" s="69">
        <f t="shared" si="0"/>
        <v>0</v>
      </c>
      <c r="L27" s="17"/>
    </row>
    <row r="28" spans="1:12" x14ac:dyDescent="0.35">
      <c r="A28" s="8"/>
      <c r="B28" s="9"/>
      <c r="C28" s="119" t="s">
        <v>53</v>
      </c>
      <c r="D28" s="13"/>
      <c r="E28" s="119"/>
      <c r="F28" s="9" t="s">
        <v>54</v>
      </c>
      <c r="G28" s="70">
        <v>1111842.18</v>
      </c>
      <c r="H28" s="16" t="s">
        <v>59</v>
      </c>
      <c r="I28" s="70">
        <v>643390.32999999996</v>
      </c>
      <c r="J28" s="70">
        <v>468451.85</v>
      </c>
      <c r="K28" s="69">
        <f t="shared" si="0"/>
        <v>1111842.18</v>
      </c>
      <c r="L28" s="17"/>
    </row>
    <row r="29" spans="1:12" x14ac:dyDescent="0.35">
      <c r="A29" s="8"/>
      <c r="B29" s="9"/>
      <c r="C29" s="119" t="s">
        <v>55</v>
      </c>
      <c r="D29" s="13"/>
      <c r="E29" s="119"/>
      <c r="F29" s="9" t="s">
        <v>56</v>
      </c>
      <c r="G29" s="70">
        <v>284627.18</v>
      </c>
      <c r="H29" s="16" t="s">
        <v>15</v>
      </c>
      <c r="I29" s="70">
        <v>284627.18</v>
      </c>
      <c r="J29" s="70"/>
      <c r="K29" s="69">
        <f t="shared" si="0"/>
        <v>284627.18</v>
      </c>
      <c r="L29" s="17"/>
    </row>
    <row r="30" spans="1:12" x14ac:dyDescent="0.35">
      <c r="A30" s="8"/>
      <c r="B30" s="9"/>
      <c r="C30" s="119" t="s">
        <v>57</v>
      </c>
      <c r="D30" s="13"/>
      <c r="E30" s="119"/>
      <c r="F30" s="9" t="s">
        <v>58</v>
      </c>
      <c r="G30" s="70"/>
      <c r="H30" s="16"/>
      <c r="I30" s="70"/>
      <c r="J30" s="70"/>
      <c r="K30" s="69">
        <f t="shared" si="0"/>
        <v>0</v>
      </c>
      <c r="L30" s="17"/>
    </row>
    <row r="31" spans="1:12" x14ac:dyDescent="0.35">
      <c r="A31" s="8"/>
      <c r="B31" s="9"/>
      <c r="C31" s="119" t="s">
        <v>60</v>
      </c>
      <c r="D31" s="13"/>
      <c r="E31" s="119"/>
      <c r="F31" s="9" t="s">
        <v>61</v>
      </c>
      <c r="G31" s="70">
        <v>640560.36</v>
      </c>
      <c r="H31" s="16" t="s">
        <v>15</v>
      </c>
      <c r="I31" s="70">
        <v>640560.36</v>
      </c>
      <c r="J31" s="70"/>
      <c r="K31" s="69">
        <f t="shared" si="0"/>
        <v>640560.36</v>
      </c>
      <c r="L31" s="17"/>
    </row>
    <row r="32" spans="1:12" x14ac:dyDescent="0.35">
      <c r="A32" s="8"/>
      <c r="B32" s="9"/>
      <c r="C32" s="119" t="s">
        <v>62</v>
      </c>
      <c r="D32" s="13"/>
      <c r="E32" s="119"/>
      <c r="F32" s="9" t="s">
        <v>63</v>
      </c>
      <c r="G32" s="70">
        <v>744253.87</v>
      </c>
      <c r="H32" s="16" t="s">
        <v>24</v>
      </c>
      <c r="I32" s="70"/>
      <c r="J32" s="70">
        <v>744253.87</v>
      </c>
      <c r="K32" s="69">
        <f t="shared" si="0"/>
        <v>744253.87</v>
      </c>
      <c r="L32" s="17"/>
    </row>
    <row r="33" spans="1:12" x14ac:dyDescent="0.35">
      <c r="A33" s="9"/>
      <c r="B33" s="9"/>
      <c r="C33" s="119" t="s">
        <v>64</v>
      </c>
      <c r="D33" s="9"/>
      <c r="E33" s="119"/>
      <c r="F33" s="9" t="s">
        <v>65</v>
      </c>
      <c r="G33" s="70"/>
      <c r="H33" s="16"/>
      <c r="I33" s="70"/>
      <c r="J33" s="70"/>
      <c r="K33" s="69">
        <f t="shared" si="0"/>
        <v>0</v>
      </c>
      <c r="L33" s="17"/>
    </row>
    <row r="34" spans="1:12" x14ac:dyDescent="0.35">
      <c r="A34" s="9"/>
      <c r="B34" s="9"/>
      <c r="C34" s="119" t="s">
        <v>66</v>
      </c>
      <c r="D34" s="9"/>
      <c r="E34" s="9"/>
      <c r="F34" s="9" t="s">
        <v>67</v>
      </c>
      <c r="G34" s="70"/>
      <c r="H34" s="16"/>
      <c r="I34" s="70"/>
      <c r="J34" s="70"/>
      <c r="K34" s="69">
        <f t="shared" si="0"/>
        <v>0</v>
      </c>
      <c r="L34" s="17"/>
    </row>
    <row r="35" spans="1:12" x14ac:dyDescent="0.35">
      <c r="A35" s="9"/>
      <c r="B35" s="9"/>
      <c r="C35" s="119" t="s">
        <v>68</v>
      </c>
      <c r="D35" s="9"/>
      <c r="E35" s="119"/>
      <c r="F35" s="9" t="s">
        <v>69</v>
      </c>
      <c r="G35" s="70">
        <v>707238.63</v>
      </c>
      <c r="H35" s="16" t="s">
        <v>15</v>
      </c>
      <c r="I35" s="70">
        <v>707238.63</v>
      </c>
      <c r="J35" s="70"/>
      <c r="K35" s="69">
        <f t="shared" si="0"/>
        <v>707238.63</v>
      </c>
      <c r="L35" s="17"/>
    </row>
    <row r="36" spans="1:12" x14ac:dyDescent="0.35">
      <c r="A36" s="9"/>
      <c r="B36" s="9"/>
      <c r="C36" s="119" t="s">
        <v>70</v>
      </c>
      <c r="D36" s="9"/>
      <c r="E36" s="9"/>
      <c r="F36" s="9" t="s">
        <v>71</v>
      </c>
      <c r="G36" s="70"/>
      <c r="H36" s="16"/>
      <c r="I36" s="70"/>
      <c r="J36" s="70"/>
      <c r="K36" s="69">
        <f t="shared" si="0"/>
        <v>0</v>
      </c>
      <c r="L36" s="17"/>
    </row>
    <row r="37" spans="1:12" x14ac:dyDescent="0.35">
      <c r="A37" s="9"/>
      <c r="B37" s="9"/>
      <c r="C37" s="119" t="s">
        <v>72</v>
      </c>
      <c r="D37" s="9"/>
      <c r="E37" s="121"/>
      <c r="F37" s="9" t="s">
        <v>73</v>
      </c>
      <c r="G37" s="70"/>
      <c r="H37" s="16"/>
      <c r="I37" s="70"/>
      <c r="J37" s="70"/>
      <c r="K37" s="69">
        <f t="shared" si="0"/>
        <v>0</v>
      </c>
      <c r="L37" s="17"/>
    </row>
    <row r="38" spans="1:12" x14ac:dyDescent="0.35">
      <c r="A38" s="9"/>
      <c r="B38" s="9"/>
      <c r="C38" s="119" t="s">
        <v>74</v>
      </c>
      <c r="D38" s="9"/>
      <c r="E38" s="9"/>
      <c r="F38" s="9" t="s">
        <v>75</v>
      </c>
      <c r="G38" s="70"/>
      <c r="H38" s="16"/>
      <c r="I38" s="70"/>
      <c r="J38" s="70"/>
      <c r="K38" s="69">
        <f t="shared" si="0"/>
        <v>0</v>
      </c>
      <c r="L38" s="17"/>
    </row>
    <row r="39" spans="1:12" x14ac:dyDescent="0.35">
      <c r="A39" s="9"/>
      <c r="B39" s="9"/>
      <c r="C39" s="119" t="s">
        <v>76</v>
      </c>
      <c r="D39" s="9"/>
      <c r="E39" s="9"/>
      <c r="F39" s="9" t="s">
        <v>77</v>
      </c>
      <c r="G39" s="70"/>
      <c r="H39" s="16"/>
      <c r="I39" s="70"/>
      <c r="J39" s="70"/>
      <c r="K39" s="69">
        <f t="shared" si="0"/>
        <v>0</v>
      </c>
      <c r="L39" s="17"/>
    </row>
    <row r="40" spans="1:12" x14ac:dyDescent="0.35">
      <c r="A40" s="9"/>
      <c r="B40" s="9"/>
      <c r="C40" s="119" t="s">
        <v>78</v>
      </c>
      <c r="D40" s="9"/>
      <c r="E40" s="9"/>
      <c r="F40" s="9" t="s">
        <v>79</v>
      </c>
      <c r="G40" s="70">
        <v>435269.96</v>
      </c>
      <c r="H40" s="16" t="s">
        <v>24</v>
      </c>
      <c r="I40" s="70"/>
      <c r="J40" s="70">
        <v>435269.96</v>
      </c>
      <c r="K40" s="69">
        <f t="shared" si="0"/>
        <v>435269.96</v>
      </c>
      <c r="L40" s="17"/>
    </row>
    <row r="41" spans="1:12" x14ac:dyDescent="0.35">
      <c r="A41" s="9"/>
      <c r="B41" s="9"/>
      <c r="C41" s="119" t="s">
        <v>80</v>
      </c>
      <c r="D41" s="9"/>
      <c r="E41" s="9"/>
      <c r="F41" s="9" t="s">
        <v>81</v>
      </c>
      <c r="G41" s="70">
        <v>250952.73</v>
      </c>
      <c r="H41" s="16" t="s">
        <v>24</v>
      </c>
      <c r="I41" s="70"/>
      <c r="J41" s="70">
        <v>250952.73</v>
      </c>
      <c r="K41" s="69">
        <f t="shared" si="0"/>
        <v>250952.73</v>
      </c>
      <c r="L41" s="17"/>
    </row>
    <row r="42" spans="1:12" x14ac:dyDescent="0.35">
      <c r="A42" s="9"/>
      <c r="B42" s="9" t="s">
        <v>82</v>
      </c>
      <c r="C42" s="119"/>
      <c r="D42" s="9"/>
      <c r="E42" s="9" t="s">
        <v>83</v>
      </c>
      <c r="F42" s="9"/>
      <c r="G42" s="69">
        <f>SUM(G43:G63)</f>
        <v>11583894.6</v>
      </c>
      <c r="H42" s="9"/>
      <c r="I42" s="69">
        <f>SUM(I43:I63)</f>
        <v>4893039.92</v>
      </c>
      <c r="J42" s="69">
        <f>SUM(J43:J63)</f>
        <v>6690854.6800000006</v>
      </c>
      <c r="K42" s="69"/>
      <c r="L42" s="14"/>
    </row>
    <row r="43" spans="1:12" x14ac:dyDescent="0.35">
      <c r="A43" s="9"/>
      <c r="B43" s="9"/>
      <c r="C43" s="119" t="s">
        <v>84</v>
      </c>
      <c r="D43" s="9"/>
      <c r="E43" s="9"/>
      <c r="F43" s="9" t="s">
        <v>85</v>
      </c>
      <c r="G43" s="70"/>
      <c r="H43" s="16"/>
      <c r="I43" s="70"/>
      <c r="J43" s="70"/>
      <c r="K43" s="69">
        <f t="shared" si="0"/>
        <v>0</v>
      </c>
      <c r="L43" s="17"/>
    </row>
    <row r="44" spans="1:12" x14ac:dyDescent="0.35">
      <c r="A44" s="9"/>
      <c r="B44" s="9"/>
      <c r="C44" s="119" t="s">
        <v>86</v>
      </c>
      <c r="D44" s="9"/>
      <c r="E44" s="9"/>
      <c r="F44" s="9" t="s">
        <v>87</v>
      </c>
      <c r="G44" s="70">
        <v>1220396.1299999999</v>
      </c>
      <c r="H44" s="16" t="s">
        <v>15</v>
      </c>
      <c r="I44" s="70">
        <v>1220396.1299999999</v>
      </c>
      <c r="J44" s="70"/>
      <c r="K44" s="69">
        <f t="shared" si="0"/>
        <v>1220396.1299999999</v>
      </c>
      <c r="L44" s="17"/>
    </row>
    <row r="45" spans="1:12" x14ac:dyDescent="0.35">
      <c r="A45" s="9"/>
      <c r="B45" s="9"/>
      <c r="C45" s="119" t="s">
        <v>88</v>
      </c>
      <c r="D45" s="9"/>
      <c r="E45" s="9"/>
      <c r="F45" s="9" t="s">
        <v>89</v>
      </c>
      <c r="G45" s="70">
        <v>1894796.92</v>
      </c>
      <c r="H45" s="16" t="s">
        <v>24</v>
      </c>
      <c r="I45" s="70"/>
      <c r="J45" s="70">
        <v>1894796.92</v>
      </c>
      <c r="K45" s="69">
        <f t="shared" si="0"/>
        <v>1894796.92</v>
      </c>
      <c r="L45" s="17"/>
    </row>
    <row r="46" spans="1:12" x14ac:dyDescent="0.35">
      <c r="A46" s="9"/>
      <c r="B46" s="9"/>
      <c r="C46" s="119" t="s">
        <v>90</v>
      </c>
      <c r="D46" s="9"/>
      <c r="E46" s="9"/>
      <c r="F46" s="9" t="s">
        <v>91</v>
      </c>
      <c r="G46" s="70">
        <v>323259.46000000002</v>
      </c>
      <c r="H46" s="16" t="s">
        <v>24</v>
      </c>
      <c r="I46" s="70"/>
      <c r="J46" s="70">
        <v>323259.46000000002</v>
      </c>
      <c r="K46" s="69">
        <f t="shared" si="0"/>
        <v>323259.46000000002</v>
      </c>
      <c r="L46" s="17"/>
    </row>
    <row r="47" spans="1:12" x14ac:dyDescent="0.35">
      <c r="A47" s="9"/>
      <c r="B47" s="9"/>
      <c r="C47" s="119" t="s">
        <v>92</v>
      </c>
      <c r="D47" s="9"/>
      <c r="E47" s="9"/>
      <c r="F47" s="9" t="s">
        <v>93</v>
      </c>
      <c r="G47" s="70">
        <v>2765284.79</v>
      </c>
      <c r="H47" s="16" t="s">
        <v>15</v>
      </c>
      <c r="I47" s="70">
        <v>2765284.79</v>
      </c>
      <c r="J47" s="70"/>
      <c r="K47" s="69">
        <f t="shared" si="0"/>
        <v>2765284.79</v>
      </c>
      <c r="L47" s="17"/>
    </row>
    <row r="48" spans="1:12" x14ac:dyDescent="0.35">
      <c r="A48" s="9"/>
      <c r="B48" s="9"/>
      <c r="C48" s="119" t="s">
        <v>94</v>
      </c>
      <c r="D48" s="9"/>
      <c r="E48" s="9"/>
      <c r="F48" s="9" t="s">
        <v>95</v>
      </c>
      <c r="G48" s="70"/>
      <c r="H48" s="16"/>
      <c r="I48" s="70"/>
      <c r="J48" s="70"/>
      <c r="K48" s="69">
        <f t="shared" si="0"/>
        <v>0</v>
      </c>
      <c r="L48" s="17"/>
    </row>
    <row r="49" spans="1:12" x14ac:dyDescent="0.35">
      <c r="A49" s="9"/>
      <c r="B49" s="9"/>
      <c r="C49" s="119" t="s">
        <v>96</v>
      </c>
      <c r="D49" s="9"/>
      <c r="E49" s="9"/>
      <c r="F49" s="9" t="s">
        <v>97</v>
      </c>
      <c r="G49" s="70">
        <v>632729.14</v>
      </c>
      <c r="H49" s="16" t="s">
        <v>15</v>
      </c>
      <c r="I49" s="70">
        <v>632729.14</v>
      </c>
      <c r="J49" s="70"/>
      <c r="K49" s="69">
        <f t="shared" si="0"/>
        <v>632729.14</v>
      </c>
      <c r="L49" s="17"/>
    </row>
    <row r="50" spans="1:12" x14ac:dyDescent="0.35">
      <c r="A50" s="9"/>
      <c r="B50" s="9"/>
      <c r="C50" s="119" t="s">
        <v>98</v>
      </c>
      <c r="D50" s="9"/>
      <c r="E50" s="9"/>
      <c r="F50" s="9" t="s">
        <v>99</v>
      </c>
      <c r="G50" s="70">
        <v>206488.82</v>
      </c>
      <c r="H50" s="16" t="s">
        <v>15</v>
      </c>
      <c r="I50" s="70">
        <v>206488.82</v>
      </c>
      <c r="J50" s="70"/>
      <c r="K50" s="69">
        <f t="shared" si="0"/>
        <v>206488.82</v>
      </c>
      <c r="L50" s="17"/>
    </row>
    <row r="51" spans="1:12" x14ac:dyDescent="0.35">
      <c r="A51" s="9"/>
      <c r="B51" s="9"/>
      <c r="C51" s="119" t="s">
        <v>100</v>
      </c>
      <c r="D51" s="9"/>
      <c r="E51" s="9"/>
      <c r="F51" s="9" t="s">
        <v>101</v>
      </c>
      <c r="G51" s="70"/>
      <c r="H51" s="16"/>
      <c r="I51" s="70"/>
      <c r="J51" s="70"/>
      <c r="K51" s="69">
        <f t="shared" si="0"/>
        <v>0</v>
      </c>
      <c r="L51" s="17"/>
    </row>
    <row r="52" spans="1:12" x14ac:dyDescent="0.35">
      <c r="A52" s="9"/>
      <c r="B52" s="9"/>
      <c r="C52" s="119" t="s">
        <v>102</v>
      </c>
      <c r="D52" s="9"/>
      <c r="E52" s="9"/>
      <c r="F52" s="9" t="s">
        <v>103</v>
      </c>
      <c r="G52" s="70"/>
      <c r="H52" s="16"/>
      <c r="I52" s="70"/>
      <c r="J52" s="70"/>
      <c r="K52" s="69">
        <f t="shared" si="0"/>
        <v>0</v>
      </c>
      <c r="L52" s="17"/>
    </row>
    <row r="53" spans="1:12" x14ac:dyDescent="0.35">
      <c r="A53" s="9"/>
      <c r="B53" s="9"/>
      <c r="C53" s="119" t="s">
        <v>104</v>
      </c>
      <c r="D53" s="9"/>
      <c r="E53" s="9"/>
      <c r="F53" s="9" t="s">
        <v>105</v>
      </c>
      <c r="G53" s="70">
        <v>68141.039999999994</v>
      </c>
      <c r="H53" s="16" t="s">
        <v>15</v>
      </c>
      <c r="I53" s="70">
        <v>68141.039999999994</v>
      </c>
      <c r="J53" s="70"/>
      <c r="K53" s="69">
        <f t="shared" si="0"/>
        <v>68141.039999999994</v>
      </c>
      <c r="L53" s="17"/>
    </row>
    <row r="54" spans="1:12" x14ac:dyDescent="0.35">
      <c r="A54" s="9"/>
      <c r="B54" s="9"/>
      <c r="C54" s="119" t="s">
        <v>106</v>
      </c>
      <c r="D54" s="9"/>
      <c r="E54" s="9"/>
      <c r="F54" s="9" t="s">
        <v>107</v>
      </c>
      <c r="G54" s="70"/>
      <c r="H54" s="16"/>
      <c r="I54" s="70"/>
      <c r="J54" s="70"/>
      <c r="K54" s="69">
        <f t="shared" si="0"/>
        <v>0</v>
      </c>
      <c r="L54" s="17"/>
    </row>
    <row r="55" spans="1:12" x14ac:dyDescent="0.35">
      <c r="A55" s="9"/>
      <c r="B55" s="9"/>
      <c r="C55" s="119" t="s">
        <v>108</v>
      </c>
      <c r="D55" s="9"/>
      <c r="E55" s="9"/>
      <c r="F55" s="9" t="s">
        <v>109</v>
      </c>
      <c r="G55" s="70"/>
      <c r="H55" s="16"/>
      <c r="I55" s="70"/>
      <c r="J55" s="70"/>
      <c r="K55" s="69">
        <f t="shared" si="0"/>
        <v>0</v>
      </c>
      <c r="L55" s="17"/>
    </row>
    <row r="56" spans="1:12" x14ac:dyDescent="0.35">
      <c r="A56" s="9"/>
      <c r="B56" s="9"/>
      <c r="C56" s="119" t="s">
        <v>110</v>
      </c>
      <c r="D56" s="9"/>
      <c r="E56" s="9"/>
      <c r="F56" s="9" t="s">
        <v>111</v>
      </c>
      <c r="G56" s="70">
        <v>310095.83</v>
      </c>
      <c r="H56" s="16" t="s">
        <v>24</v>
      </c>
      <c r="I56" s="70"/>
      <c r="J56" s="70">
        <v>310095.83</v>
      </c>
      <c r="K56" s="69">
        <f t="shared" si="0"/>
        <v>310095.83</v>
      </c>
      <c r="L56" s="17"/>
    </row>
    <row r="57" spans="1:12" x14ac:dyDescent="0.35">
      <c r="A57" s="9"/>
      <c r="B57" s="9"/>
      <c r="C57" s="119" t="s">
        <v>112</v>
      </c>
      <c r="D57" s="9"/>
      <c r="E57" s="9"/>
      <c r="F57" s="9" t="s">
        <v>113</v>
      </c>
      <c r="G57" s="70"/>
      <c r="H57" s="16"/>
      <c r="I57" s="70"/>
      <c r="J57" s="70"/>
      <c r="K57" s="69">
        <f t="shared" si="0"/>
        <v>0</v>
      </c>
      <c r="L57" s="17"/>
    </row>
    <row r="58" spans="1:12" x14ac:dyDescent="0.35">
      <c r="A58" s="9"/>
      <c r="B58" s="9"/>
      <c r="C58" s="119" t="s">
        <v>114</v>
      </c>
      <c r="D58" s="9"/>
      <c r="E58" s="9"/>
      <c r="F58" s="9" t="s">
        <v>115</v>
      </c>
      <c r="G58" s="70"/>
      <c r="H58" s="16"/>
      <c r="I58" s="70"/>
      <c r="J58" s="70"/>
      <c r="K58" s="69">
        <f t="shared" si="0"/>
        <v>0</v>
      </c>
      <c r="L58" s="17"/>
    </row>
    <row r="59" spans="1:12" x14ac:dyDescent="0.35">
      <c r="A59" s="9"/>
      <c r="B59" s="9"/>
      <c r="C59" s="119" t="s">
        <v>116</v>
      </c>
      <c r="D59" s="9"/>
      <c r="E59" s="9"/>
      <c r="F59" s="9" t="s">
        <v>117</v>
      </c>
      <c r="G59" s="70">
        <v>3393617.79</v>
      </c>
      <c r="H59" s="16" t="s">
        <v>24</v>
      </c>
      <c r="I59" s="70"/>
      <c r="J59" s="70">
        <v>3393617.79</v>
      </c>
      <c r="K59" s="69">
        <f t="shared" si="0"/>
        <v>3393617.79</v>
      </c>
      <c r="L59" s="17"/>
    </row>
    <row r="60" spans="1:12" x14ac:dyDescent="0.35">
      <c r="A60" s="9"/>
      <c r="B60" s="9"/>
      <c r="C60" s="119" t="s">
        <v>118</v>
      </c>
      <c r="D60" s="9"/>
      <c r="E60" s="9"/>
      <c r="F60" s="9" t="s">
        <v>119</v>
      </c>
      <c r="G60" s="70">
        <v>134672.53</v>
      </c>
      <c r="H60" s="16" t="s">
        <v>24</v>
      </c>
      <c r="I60" s="70"/>
      <c r="J60" s="70">
        <v>134672.53</v>
      </c>
      <c r="K60" s="69">
        <f t="shared" si="0"/>
        <v>134672.53</v>
      </c>
      <c r="L60" s="17"/>
    </row>
    <row r="61" spans="1:12" x14ac:dyDescent="0.35">
      <c r="A61" s="9"/>
      <c r="B61" s="9"/>
      <c r="C61" s="119" t="s">
        <v>120</v>
      </c>
      <c r="D61" s="9"/>
      <c r="E61" s="9"/>
      <c r="F61" s="9" t="s">
        <v>121</v>
      </c>
      <c r="G61" s="70">
        <v>238456.98</v>
      </c>
      <c r="H61" s="16" t="s">
        <v>24</v>
      </c>
      <c r="I61" s="70"/>
      <c r="J61" s="70">
        <v>238456.98</v>
      </c>
      <c r="K61" s="69">
        <f t="shared" si="0"/>
        <v>238456.98</v>
      </c>
      <c r="L61" s="17"/>
    </row>
    <row r="62" spans="1:12" x14ac:dyDescent="0.35">
      <c r="A62" s="9"/>
      <c r="B62" s="9"/>
      <c r="C62" s="119" t="s">
        <v>122</v>
      </c>
      <c r="D62" s="9"/>
      <c r="E62" s="9"/>
      <c r="F62" s="9" t="s">
        <v>123</v>
      </c>
      <c r="G62" s="70"/>
      <c r="H62" s="16"/>
      <c r="I62" s="70"/>
      <c r="J62" s="70"/>
      <c r="K62" s="69">
        <f t="shared" si="0"/>
        <v>0</v>
      </c>
      <c r="L62" s="17"/>
    </row>
    <row r="63" spans="1:12" x14ac:dyDescent="0.35">
      <c r="A63" s="9"/>
      <c r="B63" s="9"/>
      <c r="C63" s="119" t="s">
        <v>124</v>
      </c>
      <c r="D63" s="9"/>
      <c r="E63" s="9"/>
      <c r="F63" s="9" t="s">
        <v>125</v>
      </c>
      <c r="G63" s="70">
        <v>395955.17</v>
      </c>
      <c r="H63" s="16" t="s">
        <v>24</v>
      </c>
      <c r="I63" s="70"/>
      <c r="J63" s="70">
        <v>395955.17</v>
      </c>
      <c r="K63" s="69">
        <f t="shared" si="0"/>
        <v>395955.17</v>
      </c>
      <c r="L63" s="17"/>
    </row>
    <row r="64" spans="1:12" hidden="1" x14ac:dyDescent="0.35">
      <c r="A64" s="9"/>
      <c r="B64" s="9" t="s">
        <v>126</v>
      </c>
      <c r="C64" s="119"/>
      <c r="D64" s="9"/>
      <c r="E64" s="9" t="s">
        <v>127</v>
      </c>
      <c r="F64" s="9"/>
      <c r="G64" s="69"/>
      <c r="H64" s="9"/>
      <c r="I64" s="69"/>
      <c r="J64" s="69"/>
      <c r="K64" s="69"/>
      <c r="L64" s="14"/>
    </row>
    <row r="65" spans="1:12" hidden="1" x14ac:dyDescent="0.35">
      <c r="A65" s="9"/>
      <c r="B65" s="9" t="s">
        <v>128</v>
      </c>
      <c r="C65" s="119"/>
      <c r="D65" s="9"/>
      <c r="E65" s="9" t="s">
        <v>127</v>
      </c>
      <c r="F65" s="9"/>
      <c r="G65" s="69"/>
      <c r="H65" s="9"/>
      <c r="I65" s="69"/>
      <c r="J65" s="69"/>
      <c r="K65" s="69"/>
      <c r="L65" s="14"/>
    </row>
    <row r="66" spans="1:12" x14ac:dyDescent="0.35">
      <c r="A66" s="9"/>
      <c r="B66" s="9" t="s">
        <v>129</v>
      </c>
      <c r="C66" s="119"/>
      <c r="D66" s="9"/>
      <c r="E66" s="9" t="s">
        <v>130</v>
      </c>
      <c r="F66" s="9"/>
      <c r="G66" s="69">
        <f>SUM(G67:G69)</f>
        <v>0</v>
      </c>
      <c r="H66" s="9"/>
      <c r="I66" s="69">
        <f>SUM(I67:I69)</f>
        <v>0</v>
      </c>
      <c r="J66" s="69">
        <f>SUM(J67:J69)</f>
        <v>0</v>
      </c>
      <c r="K66" s="69"/>
      <c r="L66" s="14"/>
    </row>
    <row r="67" spans="1:12" x14ac:dyDescent="0.35">
      <c r="A67" s="9"/>
      <c r="B67" s="9"/>
      <c r="C67" s="119" t="s">
        <v>131</v>
      </c>
      <c r="D67" s="9"/>
      <c r="E67" s="9"/>
      <c r="F67" s="9" t="s">
        <v>132</v>
      </c>
      <c r="G67" s="70"/>
      <c r="H67" s="16"/>
      <c r="I67" s="70"/>
      <c r="J67" s="70">
        <v>0</v>
      </c>
      <c r="K67" s="69">
        <f t="shared" ref="K67:K69" si="1">I67+J67</f>
        <v>0</v>
      </c>
      <c r="L67" s="17"/>
    </row>
    <row r="68" spans="1:12" x14ac:dyDescent="0.35">
      <c r="A68" s="9"/>
      <c r="B68" s="9"/>
      <c r="C68" s="119" t="s">
        <v>133</v>
      </c>
      <c r="D68" s="9"/>
      <c r="E68" s="9"/>
      <c r="F68" s="9" t="s">
        <v>134</v>
      </c>
      <c r="G68" s="70"/>
      <c r="H68" s="16"/>
      <c r="I68" s="70"/>
      <c r="J68" s="70"/>
      <c r="K68" s="69">
        <f t="shared" si="1"/>
        <v>0</v>
      </c>
      <c r="L68" s="17"/>
    </row>
    <row r="69" spans="1:12" x14ac:dyDescent="0.35">
      <c r="A69" s="9"/>
      <c r="B69" s="9"/>
      <c r="C69" s="119" t="s">
        <v>135</v>
      </c>
      <c r="D69" s="9"/>
      <c r="E69" s="9"/>
      <c r="F69" s="9" t="s">
        <v>136</v>
      </c>
      <c r="G69" s="70"/>
      <c r="H69" s="16"/>
      <c r="I69" s="70"/>
      <c r="J69" s="70"/>
      <c r="K69" s="69">
        <f t="shared" si="1"/>
        <v>0</v>
      </c>
      <c r="L69" s="17"/>
    </row>
    <row r="70" spans="1:12" x14ac:dyDescent="0.35">
      <c r="A70" s="9"/>
      <c r="B70" s="9" t="s">
        <v>137</v>
      </c>
      <c r="C70" s="119"/>
      <c r="D70" s="9"/>
      <c r="E70" s="9" t="s">
        <v>138</v>
      </c>
      <c r="F70" s="9"/>
      <c r="G70" s="69">
        <f>SUM(G71:G73)</f>
        <v>2789482.73</v>
      </c>
      <c r="H70" s="9"/>
      <c r="I70" s="69">
        <f>SUM(I71:I73)</f>
        <v>0</v>
      </c>
      <c r="J70" s="69">
        <f>SUM(J71:J73)</f>
        <v>2789482.73</v>
      </c>
      <c r="K70" s="69"/>
      <c r="L70" s="14"/>
    </row>
    <row r="71" spans="1:12" x14ac:dyDescent="0.35">
      <c r="A71" s="9"/>
      <c r="B71" s="9"/>
      <c r="C71" s="119" t="s">
        <v>139</v>
      </c>
      <c r="D71" s="9"/>
      <c r="E71" s="9"/>
      <c r="F71" s="9" t="s">
        <v>140</v>
      </c>
      <c r="G71" s="70"/>
      <c r="H71" s="16"/>
      <c r="I71" s="70"/>
      <c r="J71" s="70"/>
      <c r="K71" s="69">
        <f t="shared" ref="K71:K73" si="2">I71+J71</f>
        <v>0</v>
      </c>
      <c r="L71" s="17"/>
    </row>
    <row r="72" spans="1:12" x14ac:dyDescent="0.35">
      <c r="A72" s="9"/>
      <c r="B72" s="9"/>
      <c r="C72" s="119" t="s">
        <v>141</v>
      </c>
      <c r="D72" s="9"/>
      <c r="E72" s="9"/>
      <c r="F72" s="9" t="s">
        <v>142</v>
      </c>
      <c r="G72" s="70">
        <v>2194363.08</v>
      </c>
      <c r="H72" s="16" t="s">
        <v>24</v>
      </c>
      <c r="I72" s="70"/>
      <c r="J72" s="70">
        <v>2194363.08</v>
      </c>
      <c r="K72" s="69">
        <f t="shared" si="2"/>
        <v>2194363.08</v>
      </c>
      <c r="L72" s="17"/>
    </row>
    <row r="73" spans="1:12" x14ac:dyDescent="0.35">
      <c r="A73" s="9"/>
      <c r="B73" s="9"/>
      <c r="C73" s="119" t="s">
        <v>143</v>
      </c>
      <c r="D73" s="9"/>
      <c r="E73" s="9"/>
      <c r="F73" s="9" t="s">
        <v>144</v>
      </c>
      <c r="G73" s="70">
        <v>595119.65</v>
      </c>
      <c r="H73" s="16" t="s">
        <v>24</v>
      </c>
      <c r="I73" s="70"/>
      <c r="J73" s="70">
        <v>595119.65</v>
      </c>
      <c r="K73" s="69">
        <f t="shared" si="2"/>
        <v>595119.65</v>
      </c>
      <c r="L73" s="17"/>
    </row>
    <row r="74" spans="1:12" hidden="1" x14ac:dyDescent="0.35">
      <c r="A74" s="9"/>
      <c r="B74" s="9" t="s">
        <v>145</v>
      </c>
      <c r="C74" s="119"/>
      <c r="D74" s="9"/>
      <c r="E74" s="9" t="s">
        <v>127</v>
      </c>
      <c r="F74" s="9"/>
      <c r="G74" s="69"/>
      <c r="H74" s="9"/>
      <c r="I74" s="69"/>
      <c r="J74" s="69"/>
      <c r="K74" s="69"/>
      <c r="L74" s="14"/>
    </row>
    <row r="75" spans="1:12" hidden="1" x14ac:dyDescent="0.35">
      <c r="A75" s="9"/>
      <c r="B75" s="9" t="s">
        <v>146</v>
      </c>
      <c r="C75" s="119"/>
      <c r="D75" s="9"/>
      <c r="E75" s="9" t="s">
        <v>127</v>
      </c>
      <c r="F75" s="9"/>
      <c r="G75" s="69"/>
      <c r="H75" s="9"/>
      <c r="I75" s="69"/>
      <c r="J75" s="69"/>
      <c r="K75" s="69"/>
      <c r="L75" s="14"/>
    </row>
    <row r="76" spans="1:12" s="7" customFormat="1" x14ac:dyDescent="0.35">
      <c r="A76" s="4" t="s">
        <v>147</v>
      </c>
      <c r="B76" s="4"/>
      <c r="C76" s="122"/>
      <c r="D76" s="4"/>
      <c r="E76" s="4"/>
      <c r="F76" s="4"/>
      <c r="G76" s="138">
        <f>G8+G25+G42+G66+G70</f>
        <v>22626511.949999999</v>
      </c>
      <c r="H76" s="88"/>
      <c r="I76" s="138">
        <f>I8+I25+I42+I66+I70</f>
        <v>9470528.4000000004</v>
      </c>
      <c r="J76" s="138">
        <f>J8+J25+J42+J66+J70</f>
        <v>13155983.550000001</v>
      </c>
      <c r="K76" s="69">
        <f t="shared" ref="K76" si="3">I76+J76</f>
        <v>22626511.950000003</v>
      </c>
      <c r="L76" s="25"/>
    </row>
    <row r="77" spans="1:12" x14ac:dyDescent="0.35">
      <c r="F77" s="139" t="s">
        <v>200</v>
      </c>
      <c r="G77" s="140">
        <f>'[16]CA2 Detail'!L173</f>
        <v>22626511.950000003</v>
      </c>
      <c r="H77" s="13"/>
      <c r="I77" s="89">
        <f>I76/G76</f>
        <v>0.418558919771989</v>
      </c>
      <c r="J77" s="89">
        <f>J76/G76</f>
        <v>0.58144108022801111</v>
      </c>
      <c r="K77" s="27"/>
    </row>
    <row r="79" spans="1:12" x14ac:dyDescent="0.35">
      <c r="F79" s="142" t="s">
        <v>201</v>
      </c>
    </row>
    <row r="80" spans="1:12" hidden="1" x14ac:dyDescent="0.35">
      <c r="H80" t="s">
        <v>15</v>
      </c>
    </row>
    <row r="81" spans="3:11" hidden="1" x14ac:dyDescent="0.35">
      <c r="C81"/>
      <c r="H81" t="s">
        <v>24</v>
      </c>
    </row>
    <row r="82" spans="3:11" hidden="1" x14ac:dyDescent="0.35">
      <c r="C82"/>
      <c r="H82" t="s">
        <v>59</v>
      </c>
    </row>
    <row r="83" spans="3:11" x14ac:dyDescent="0.35">
      <c r="C83"/>
      <c r="H83" s="139" t="s">
        <v>202</v>
      </c>
      <c r="I83" s="69">
        <f>'[16]CA2 Detail'!W121-'[16]CA2 Detail'!J203</f>
        <v>133226947.96493179</v>
      </c>
      <c r="J83" s="161">
        <f>I76/I83</f>
        <v>7.1085681573166776E-2</v>
      </c>
      <c r="K83" s="142" t="s">
        <v>203</v>
      </c>
    </row>
    <row r="97" spans="3:3" x14ac:dyDescent="0.35">
      <c r="C97"/>
    </row>
    <row r="98" spans="3:3" x14ac:dyDescent="0.35">
      <c r="C98"/>
    </row>
    <row r="99" spans="3:3" x14ac:dyDescent="0.35">
      <c r="C99"/>
    </row>
    <row r="100" spans="3:3" x14ac:dyDescent="0.35">
      <c r="C100"/>
    </row>
    <row r="101" spans="3:3" x14ac:dyDescent="0.35">
      <c r="C101"/>
    </row>
    <row r="102" spans="3:3" x14ac:dyDescent="0.35">
      <c r="C102"/>
    </row>
    <row r="103" spans="3:3" x14ac:dyDescent="0.35">
      <c r="C103"/>
    </row>
    <row r="104" spans="3:3" x14ac:dyDescent="0.35">
      <c r="C104"/>
    </row>
    <row r="105" spans="3:3" x14ac:dyDescent="0.35">
      <c r="C105"/>
    </row>
    <row r="106" spans="3:3" x14ac:dyDescent="0.35">
      <c r="C106"/>
    </row>
    <row r="107" spans="3:3" x14ac:dyDescent="0.35">
      <c r="C107"/>
    </row>
    <row r="108" spans="3:3" x14ac:dyDescent="0.35">
      <c r="C108"/>
    </row>
    <row r="109" spans="3:3" x14ac:dyDescent="0.35">
      <c r="C109"/>
    </row>
    <row r="112" spans="3:3" ht="15" hidden="1" customHeight="1" x14ac:dyDescent="0.35"/>
    <row r="113" ht="15" hidden="1" customHeight="1" x14ac:dyDescent="0.35"/>
    <row r="114" ht="15" hidden="1" customHeight="1" x14ac:dyDescent="0.35"/>
    <row r="115" ht="15" hidden="1" customHeight="1" x14ac:dyDescent="0.35"/>
    <row r="116" ht="15" hidden="1" customHeight="1" x14ac:dyDescent="0.35"/>
    <row r="117" ht="15" hidden="1" customHeight="1" x14ac:dyDescent="0.35"/>
    <row r="118" ht="15" hidden="1" customHeight="1" x14ac:dyDescent="0.35"/>
    <row r="119" ht="15" hidden="1" customHeight="1" x14ac:dyDescent="0.35"/>
    <row r="120" ht="15" hidden="1" customHeight="1" x14ac:dyDescent="0.35"/>
    <row r="121" ht="15" hidden="1" customHeight="1" x14ac:dyDescent="0.35"/>
    <row r="122" ht="15" hidden="1" customHeight="1" x14ac:dyDescent="0.35"/>
    <row r="123" ht="15" hidden="1" customHeight="1" x14ac:dyDescent="0.35"/>
    <row r="124" ht="15" hidden="1" customHeight="1" x14ac:dyDescent="0.35"/>
    <row r="125" ht="15" hidden="1" customHeight="1" x14ac:dyDescent="0.35"/>
    <row r="126" ht="15" hidden="1" customHeight="1" x14ac:dyDescent="0.35"/>
    <row r="127" ht="15" hidden="1" customHeight="1" x14ac:dyDescent="0.35"/>
    <row r="128" ht="15" hidden="1" customHeight="1" x14ac:dyDescent="0.35"/>
    <row r="129" ht="15" hidden="1" customHeight="1" x14ac:dyDescent="0.35"/>
    <row r="130" ht="15" hidden="1" customHeight="1" x14ac:dyDescent="0.35"/>
    <row r="131" ht="15" hidden="1" customHeight="1" x14ac:dyDescent="0.35"/>
    <row r="132" ht="15" hidden="1" customHeight="1" x14ac:dyDescent="0.35"/>
    <row r="133" ht="15" hidden="1" customHeight="1" x14ac:dyDescent="0.35"/>
    <row r="134" ht="15" hidden="1" customHeight="1" x14ac:dyDescent="0.35"/>
    <row r="135" ht="15" hidden="1" customHeight="1" x14ac:dyDescent="0.35"/>
    <row r="136" ht="15" hidden="1" customHeight="1" x14ac:dyDescent="0.35"/>
    <row r="137" ht="15" hidden="1" customHeight="1" x14ac:dyDescent="0.35"/>
    <row r="138" ht="15" hidden="1" customHeight="1" x14ac:dyDescent="0.35"/>
    <row r="139" ht="15" hidden="1" customHeight="1" x14ac:dyDescent="0.35"/>
    <row r="140" ht="15" hidden="1" customHeight="1" x14ac:dyDescent="0.35"/>
  </sheetData>
  <conditionalFormatting sqref="G76">
    <cfRule type="cellIs" dxfId="163" priority="1" operator="notEqual">
      <formula>$G$77</formula>
    </cfRule>
    <cfRule type="cellIs" dxfId="162" priority="2" operator="equal">
      <formula>$G$77</formula>
    </cfRule>
  </conditionalFormatting>
  <conditionalFormatting sqref="K9:K24">
    <cfRule type="cellIs" dxfId="161" priority="13" operator="notEqual">
      <formula>G9</formula>
    </cfRule>
    <cfRule type="cellIs" dxfId="160" priority="14" operator="equal">
      <formula>G9</formula>
    </cfRule>
  </conditionalFormatting>
  <conditionalFormatting sqref="K26:K41">
    <cfRule type="cellIs" dxfId="159" priority="11" operator="notEqual">
      <formula>G26</formula>
    </cfRule>
    <cfRule type="cellIs" dxfId="158" priority="12" operator="equal">
      <formula>G26</formula>
    </cfRule>
  </conditionalFormatting>
  <conditionalFormatting sqref="K43:K63">
    <cfRule type="cellIs" dxfId="157" priority="9" operator="notEqual">
      <formula>G43</formula>
    </cfRule>
    <cfRule type="cellIs" dxfId="156" priority="10" operator="equal">
      <formula>G43</formula>
    </cfRule>
  </conditionalFormatting>
  <conditionalFormatting sqref="K67:K69">
    <cfRule type="cellIs" dxfId="155" priority="7" operator="notEqual">
      <formula>G67</formula>
    </cfRule>
    <cfRule type="cellIs" dxfId="154" priority="8" operator="equal">
      <formula>G67</formula>
    </cfRule>
  </conditionalFormatting>
  <conditionalFormatting sqref="K71:K73">
    <cfRule type="cellIs" dxfId="153" priority="5" operator="notEqual">
      <formula>G71</formula>
    </cfRule>
    <cfRule type="cellIs" dxfId="152" priority="6" operator="equal">
      <formula>G71</formula>
    </cfRule>
  </conditionalFormatting>
  <conditionalFormatting sqref="K76">
    <cfRule type="cellIs" dxfId="151" priority="3" operator="notEqual">
      <formula>G76</formula>
    </cfRule>
    <cfRule type="cellIs" dxfId="150" priority="4" operator="equal">
      <formula>G76</formula>
    </cfRule>
  </conditionalFormatting>
  <dataValidations count="1">
    <dataValidation type="list" allowBlank="1" showInputMessage="1" showErrorMessage="1" sqref="H9:H75" xr:uid="{D952C308-2187-454B-866A-C2931133DF8B}">
      <formula1>$H$80:$H$82</formula1>
    </dataValidation>
  </dataValidations>
  <pageMargins left="0.7" right="0.7" top="0.75" bottom="0.75" header="0.3" footer="0.3"/>
  <pageSetup scale="39" orientation="landscape" r:id="rId1"/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rgb="FF00B0F0"/>
    <pageSetUpPr fitToPage="1"/>
  </sheetPr>
  <dimension ref="A1:L109"/>
  <sheetViews>
    <sheetView showGridLines="0" zoomScaleNormal="100" workbookViewId="0"/>
  </sheetViews>
  <sheetFormatPr defaultRowHeight="14.5" x14ac:dyDescent="0.35"/>
  <cols>
    <col min="1" max="2" width="2.81640625" customWidth="1"/>
    <col min="3" max="3" width="10.453125" style="123" bestFit="1" customWidth="1"/>
    <col min="4" max="5" width="2.81640625" customWidth="1"/>
    <col min="6" max="6" width="80.7265625" bestFit="1" customWidth="1"/>
    <col min="7" max="7" width="27.81640625" customWidth="1"/>
    <col min="8" max="8" width="15.26953125" bestFit="1" customWidth="1"/>
    <col min="9" max="9" width="27.26953125" customWidth="1"/>
    <col min="10" max="10" width="26.81640625" customWidth="1"/>
    <col min="11" max="11" width="25.81640625" customWidth="1"/>
    <col min="12" max="12" width="82.54296875" customWidth="1"/>
    <col min="257" max="258" width="2.81640625" customWidth="1"/>
    <col min="259" max="259" width="10.453125" bestFit="1" customWidth="1"/>
    <col min="260" max="261" width="2.81640625" customWidth="1"/>
    <col min="262" max="262" width="80.7265625" bestFit="1" customWidth="1"/>
    <col min="263" max="263" width="27.81640625" customWidth="1"/>
    <col min="264" max="264" width="15.26953125" bestFit="1" customWidth="1"/>
    <col min="265" max="265" width="27.26953125" customWidth="1"/>
    <col min="266" max="266" width="26.81640625" customWidth="1"/>
    <col min="267" max="267" width="25.81640625" customWidth="1"/>
    <col min="268" max="268" width="82.54296875" customWidth="1"/>
    <col min="513" max="514" width="2.81640625" customWidth="1"/>
    <col min="515" max="515" width="10.453125" bestFit="1" customWidth="1"/>
    <col min="516" max="517" width="2.81640625" customWidth="1"/>
    <col min="518" max="518" width="80.7265625" bestFit="1" customWidth="1"/>
    <col min="519" max="519" width="27.81640625" customWidth="1"/>
    <col min="520" max="520" width="15.26953125" bestFit="1" customWidth="1"/>
    <col min="521" max="521" width="27.26953125" customWidth="1"/>
    <col min="522" max="522" width="26.81640625" customWidth="1"/>
    <col min="523" max="523" width="25.81640625" customWidth="1"/>
    <col min="524" max="524" width="82.54296875" customWidth="1"/>
    <col min="769" max="770" width="2.81640625" customWidth="1"/>
    <col min="771" max="771" width="10.453125" bestFit="1" customWidth="1"/>
    <col min="772" max="773" width="2.81640625" customWidth="1"/>
    <col min="774" max="774" width="80.7265625" bestFit="1" customWidth="1"/>
    <col min="775" max="775" width="27.81640625" customWidth="1"/>
    <col min="776" max="776" width="15.26953125" bestFit="1" customWidth="1"/>
    <col min="777" max="777" width="27.26953125" customWidth="1"/>
    <col min="778" max="778" width="26.81640625" customWidth="1"/>
    <col min="779" max="779" width="25.81640625" customWidth="1"/>
    <col min="780" max="780" width="82.54296875" customWidth="1"/>
    <col min="1025" max="1026" width="2.81640625" customWidth="1"/>
    <col min="1027" max="1027" width="10.453125" bestFit="1" customWidth="1"/>
    <col min="1028" max="1029" width="2.81640625" customWidth="1"/>
    <col min="1030" max="1030" width="80.7265625" bestFit="1" customWidth="1"/>
    <col min="1031" max="1031" width="27.81640625" customWidth="1"/>
    <col min="1032" max="1032" width="15.26953125" bestFit="1" customWidth="1"/>
    <col min="1033" max="1033" width="27.26953125" customWidth="1"/>
    <col min="1034" max="1034" width="26.81640625" customWidth="1"/>
    <col min="1035" max="1035" width="25.81640625" customWidth="1"/>
    <col min="1036" max="1036" width="82.54296875" customWidth="1"/>
    <col min="1281" max="1282" width="2.81640625" customWidth="1"/>
    <col min="1283" max="1283" width="10.453125" bestFit="1" customWidth="1"/>
    <col min="1284" max="1285" width="2.81640625" customWidth="1"/>
    <col min="1286" max="1286" width="80.7265625" bestFit="1" customWidth="1"/>
    <col min="1287" max="1287" width="27.81640625" customWidth="1"/>
    <col min="1288" max="1288" width="15.26953125" bestFit="1" customWidth="1"/>
    <col min="1289" max="1289" width="27.26953125" customWidth="1"/>
    <col min="1290" max="1290" width="26.81640625" customWidth="1"/>
    <col min="1291" max="1291" width="25.81640625" customWidth="1"/>
    <col min="1292" max="1292" width="82.54296875" customWidth="1"/>
    <col min="1537" max="1538" width="2.81640625" customWidth="1"/>
    <col min="1539" max="1539" width="10.453125" bestFit="1" customWidth="1"/>
    <col min="1540" max="1541" width="2.81640625" customWidth="1"/>
    <col min="1542" max="1542" width="80.7265625" bestFit="1" customWidth="1"/>
    <col min="1543" max="1543" width="27.81640625" customWidth="1"/>
    <col min="1544" max="1544" width="15.26953125" bestFit="1" customWidth="1"/>
    <col min="1545" max="1545" width="27.26953125" customWidth="1"/>
    <col min="1546" max="1546" width="26.81640625" customWidth="1"/>
    <col min="1547" max="1547" width="25.81640625" customWidth="1"/>
    <col min="1548" max="1548" width="82.54296875" customWidth="1"/>
    <col min="1793" max="1794" width="2.81640625" customWidth="1"/>
    <col min="1795" max="1795" width="10.453125" bestFit="1" customWidth="1"/>
    <col min="1796" max="1797" width="2.81640625" customWidth="1"/>
    <col min="1798" max="1798" width="80.7265625" bestFit="1" customWidth="1"/>
    <col min="1799" max="1799" width="27.81640625" customWidth="1"/>
    <col min="1800" max="1800" width="15.26953125" bestFit="1" customWidth="1"/>
    <col min="1801" max="1801" width="27.26953125" customWidth="1"/>
    <col min="1802" max="1802" width="26.81640625" customWidth="1"/>
    <col min="1803" max="1803" width="25.81640625" customWidth="1"/>
    <col min="1804" max="1804" width="82.54296875" customWidth="1"/>
    <col min="2049" max="2050" width="2.81640625" customWidth="1"/>
    <col min="2051" max="2051" width="10.453125" bestFit="1" customWidth="1"/>
    <col min="2052" max="2053" width="2.81640625" customWidth="1"/>
    <col min="2054" max="2054" width="80.7265625" bestFit="1" customWidth="1"/>
    <col min="2055" max="2055" width="27.81640625" customWidth="1"/>
    <col min="2056" max="2056" width="15.26953125" bestFit="1" customWidth="1"/>
    <col min="2057" max="2057" width="27.26953125" customWidth="1"/>
    <col min="2058" max="2058" width="26.81640625" customWidth="1"/>
    <col min="2059" max="2059" width="25.81640625" customWidth="1"/>
    <col min="2060" max="2060" width="82.54296875" customWidth="1"/>
    <col min="2305" max="2306" width="2.81640625" customWidth="1"/>
    <col min="2307" max="2307" width="10.453125" bestFit="1" customWidth="1"/>
    <col min="2308" max="2309" width="2.81640625" customWidth="1"/>
    <col min="2310" max="2310" width="80.7265625" bestFit="1" customWidth="1"/>
    <col min="2311" max="2311" width="27.81640625" customWidth="1"/>
    <col min="2312" max="2312" width="15.26953125" bestFit="1" customWidth="1"/>
    <col min="2313" max="2313" width="27.26953125" customWidth="1"/>
    <col min="2314" max="2314" width="26.81640625" customWidth="1"/>
    <col min="2315" max="2315" width="25.81640625" customWidth="1"/>
    <col min="2316" max="2316" width="82.54296875" customWidth="1"/>
    <col min="2561" max="2562" width="2.81640625" customWidth="1"/>
    <col min="2563" max="2563" width="10.453125" bestFit="1" customWidth="1"/>
    <col min="2564" max="2565" width="2.81640625" customWidth="1"/>
    <col min="2566" max="2566" width="80.7265625" bestFit="1" customWidth="1"/>
    <col min="2567" max="2567" width="27.81640625" customWidth="1"/>
    <col min="2568" max="2568" width="15.26953125" bestFit="1" customWidth="1"/>
    <col min="2569" max="2569" width="27.26953125" customWidth="1"/>
    <col min="2570" max="2570" width="26.81640625" customWidth="1"/>
    <col min="2571" max="2571" width="25.81640625" customWidth="1"/>
    <col min="2572" max="2572" width="82.54296875" customWidth="1"/>
    <col min="2817" max="2818" width="2.81640625" customWidth="1"/>
    <col min="2819" max="2819" width="10.453125" bestFit="1" customWidth="1"/>
    <col min="2820" max="2821" width="2.81640625" customWidth="1"/>
    <col min="2822" max="2822" width="80.7265625" bestFit="1" customWidth="1"/>
    <col min="2823" max="2823" width="27.81640625" customWidth="1"/>
    <col min="2824" max="2824" width="15.26953125" bestFit="1" customWidth="1"/>
    <col min="2825" max="2825" width="27.26953125" customWidth="1"/>
    <col min="2826" max="2826" width="26.81640625" customWidth="1"/>
    <col min="2827" max="2827" width="25.81640625" customWidth="1"/>
    <col min="2828" max="2828" width="82.54296875" customWidth="1"/>
    <col min="3073" max="3074" width="2.81640625" customWidth="1"/>
    <col min="3075" max="3075" width="10.453125" bestFit="1" customWidth="1"/>
    <col min="3076" max="3077" width="2.81640625" customWidth="1"/>
    <col min="3078" max="3078" width="80.7265625" bestFit="1" customWidth="1"/>
    <col min="3079" max="3079" width="27.81640625" customWidth="1"/>
    <col min="3080" max="3080" width="15.26953125" bestFit="1" customWidth="1"/>
    <col min="3081" max="3081" width="27.26953125" customWidth="1"/>
    <col min="3082" max="3082" width="26.81640625" customWidth="1"/>
    <col min="3083" max="3083" width="25.81640625" customWidth="1"/>
    <col min="3084" max="3084" width="82.54296875" customWidth="1"/>
    <col min="3329" max="3330" width="2.81640625" customWidth="1"/>
    <col min="3331" max="3331" width="10.453125" bestFit="1" customWidth="1"/>
    <col min="3332" max="3333" width="2.81640625" customWidth="1"/>
    <col min="3334" max="3334" width="80.7265625" bestFit="1" customWidth="1"/>
    <col min="3335" max="3335" width="27.81640625" customWidth="1"/>
    <col min="3336" max="3336" width="15.26953125" bestFit="1" customWidth="1"/>
    <col min="3337" max="3337" width="27.26953125" customWidth="1"/>
    <col min="3338" max="3338" width="26.81640625" customWidth="1"/>
    <col min="3339" max="3339" width="25.81640625" customWidth="1"/>
    <col min="3340" max="3340" width="82.54296875" customWidth="1"/>
    <col min="3585" max="3586" width="2.81640625" customWidth="1"/>
    <col min="3587" max="3587" width="10.453125" bestFit="1" customWidth="1"/>
    <col min="3588" max="3589" width="2.81640625" customWidth="1"/>
    <col min="3590" max="3590" width="80.7265625" bestFit="1" customWidth="1"/>
    <col min="3591" max="3591" width="27.81640625" customWidth="1"/>
    <col min="3592" max="3592" width="15.26953125" bestFit="1" customWidth="1"/>
    <col min="3593" max="3593" width="27.26953125" customWidth="1"/>
    <col min="3594" max="3594" width="26.81640625" customWidth="1"/>
    <col min="3595" max="3595" width="25.81640625" customWidth="1"/>
    <col min="3596" max="3596" width="82.54296875" customWidth="1"/>
    <col min="3841" max="3842" width="2.81640625" customWidth="1"/>
    <col min="3843" max="3843" width="10.453125" bestFit="1" customWidth="1"/>
    <col min="3844" max="3845" width="2.81640625" customWidth="1"/>
    <col min="3846" max="3846" width="80.7265625" bestFit="1" customWidth="1"/>
    <col min="3847" max="3847" width="27.81640625" customWidth="1"/>
    <col min="3848" max="3848" width="15.26953125" bestFit="1" customWidth="1"/>
    <col min="3849" max="3849" width="27.26953125" customWidth="1"/>
    <col min="3850" max="3850" width="26.81640625" customWidth="1"/>
    <col min="3851" max="3851" width="25.81640625" customWidth="1"/>
    <col min="3852" max="3852" width="82.54296875" customWidth="1"/>
    <col min="4097" max="4098" width="2.81640625" customWidth="1"/>
    <col min="4099" max="4099" width="10.453125" bestFit="1" customWidth="1"/>
    <col min="4100" max="4101" width="2.81640625" customWidth="1"/>
    <col min="4102" max="4102" width="80.7265625" bestFit="1" customWidth="1"/>
    <col min="4103" max="4103" width="27.81640625" customWidth="1"/>
    <col min="4104" max="4104" width="15.26953125" bestFit="1" customWidth="1"/>
    <col min="4105" max="4105" width="27.26953125" customWidth="1"/>
    <col min="4106" max="4106" width="26.81640625" customWidth="1"/>
    <col min="4107" max="4107" width="25.81640625" customWidth="1"/>
    <col min="4108" max="4108" width="82.54296875" customWidth="1"/>
    <col min="4353" max="4354" width="2.81640625" customWidth="1"/>
    <col min="4355" max="4355" width="10.453125" bestFit="1" customWidth="1"/>
    <col min="4356" max="4357" width="2.81640625" customWidth="1"/>
    <col min="4358" max="4358" width="80.7265625" bestFit="1" customWidth="1"/>
    <col min="4359" max="4359" width="27.81640625" customWidth="1"/>
    <col min="4360" max="4360" width="15.26953125" bestFit="1" customWidth="1"/>
    <col min="4361" max="4361" width="27.26953125" customWidth="1"/>
    <col min="4362" max="4362" width="26.81640625" customWidth="1"/>
    <col min="4363" max="4363" width="25.81640625" customWidth="1"/>
    <col min="4364" max="4364" width="82.54296875" customWidth="1"/>
    <col min="4609" max="4610" width="2.81640625" customWidth="1"/>
    <col min="4611" max="4611" width="10.453125" bestFit="1" customWidth="1"/>
    <col min="4612" max="4613" width="2.81640625" customWidth="1"/>
    <col min="4614" max="4614" width="80.7265625" bestFit="1" customWidth="1"/>
    <col min="4615" max="4615" width="27.81640625" customWidth="1"/>
    <col min="4616" max="4616" width="15.26953125" bestFit="1" customWidth="1"/>
    <col min="4617" max="4617" width="27.26953125" customWidth="1"/>
    <col min="4618" max="4618" width="26.81640625" customWidth="1"/>
    <col min="4619" max="4619" width="25.81640625" customWidth="1"/>
    <col min="4620" max="4620" width="82.54296875" customWidth="1"/>
    <col min="4865" max="4866" width="2.81640625" customWidth="1"/>
    <col min="4867" max="4867" width="10.453125" bestFit="1" customWidth="1"/>
    <col min="4868" max="4869" width="2.81640625" customWidth="1"/>
    <col min="4870" max="4870" width="80.7265625" bestFit="1" customWidth="1"/>
    <col min="4871" max="4871" width="27.81640625" customWidth="1"/>
    <col min="4872" max="4872" width="15.26953125" bestFit="1" customWidth="1"/>
    <col min="4873" max="4873" width="27.26953125" customWidth="1"/>
    <col min="4874" max="4874" width="26.81640625" customWidth="1"/>
    <col min="4875" max="4875" width="25.81640625" customWidth="1"/>
    <col min="4876" max="4876" width="82.54296875" customWidth="1"/>
    <col min="5121" max="5122" width="2.81640625" customWidth="1"/>
    <col min="5123" max="5123" width="10.453125" bestFit="1" customWidth="1"/>
    <col min="5124" max="5125" width="2.81640625" customWidth="1"/>
    <col min="5126" max="5126" width="80.7265625" bestFit="1" customWidth="1"/>
    <col min="5127" max="5127" width="27.81640625" customWidth="1"/>
    <col min="5128" max="5128" width="15.26953125" bestFit="1" customWidth="1"/>
    <col min="5129" max="5129" width="27.26953125" customWidth="1"/>
    <col min="5130" max="5130" width="26.81640625" customWidth="1"/>
    <col min="5131" max="5131" width="25.81640625" customWidth="1"/>
    <col min="5132" max="5132" width="82.54296875" customWidth="1"/>
    <col min="5377" max="5378" width="2.81640625" customWidth="1"/>
    <col min="5379" max="5379" width="10.453125" bestFit="1" customWidth="1"/>
    <col min="5380" max="5381" width="2.81640625" customWidth="1"/>
    <col min="5382" max="5382" width="80.7265625" bestFit="1" customWidth="1"/>
    <col min="5383" max="5383" width="27.81640625" customWidth="1"/>
    <col min="5384" max="5384" width="15.26953125" bestFit="1" customWidth="1"/>
    <col min="5385" max="5385" width="27.26953125" customWidth="1"/>
    <col min="5386" max="5386" width="26.81640625" customWidth="1"/>
    <col min="5387" max="5387" width="25.81640625" customWidth="1"/>
    <col min="5388" max="5388" width="82.54296875" customWidth="1"/>
    <col min="5633" max="5634" width="2.81640625" customWidth="1"/>
    <col min="5635" max="5635" width="10.453125" bestFit="1" customWidth="1"/>
    <col min="5636" max="5637" width="2.81640625" customWidth="1"/>
    <col min="5638" max="5638" width="80.7265625" bestFit="1" customWidth="1"/>
    <col min="5639" max="5639" width="27.81640625" customWidth="1"/>
    <col min="5640" max="5640" width="15.26953125" bestFit="1" customWidth="1"/>
    <col min="5641" max="5641" width="27.26953125" customWidth="1"/>
    <col min="5642" max="5642" width="26.81640625" customWidth="1"/>
    <col min="5643" max="5643" width="25.81640625" customWidth="1"/>
    <col min="5644" max="5644" width="82.54296875" customWidth="1"/>
    <col min="5889" max="5890" width="2.81640625" customWidth="1"/>
    <col min="5891" max="5891" width="10.453125" bestFit="1" customWidth="1"/>
    <col min="5892" max="5893" width="2.81640625" customWidth="1"/>
    <col min="5894" max="5894" width="80.7265625" bestFit="1" customWidth="1"/>
    <col min="5895" max="5895" width="27.81640625" customWidth="1"/>
    <col min="5896" max="5896" width="15.26953125" bestFit="1" customWidth="1"/>
    <col min="5897" max="5897" width="27.26953125" customWidth="1"/>
    <col min="5898" max="5898" width="26.81640625" customWidth="1"/>
    <col min="5899" max="5899" width="25.81640625" customWidth="1"/>
    <col min="5900" max="5900" width="82.54296875" customWidth="1"/>
    <col min="6145" max="6146" width="2.81640625" customWidth="1"/>
    <col min="6147" max="6147" width="10.453125" bestFit="1" customWidth="1"/>
    <col min="6148" max="6149" width="2.81640625" customWidth="1"/>
    <col min="6150" max="6150" width="80.7265625" bestFit="1" customWidth="1"/>
    <col min="6151" max="6151" width="27.81640625" customWidth="1"/>
    <col min="6152" max="6152" width="15.26953125" bestFit="1" customWidth="1"/>
    <col min="6153" max="6153" width="27.26953125" customWidth="1"/>
    <col min="6154" max="6154" width="26.81640625" customWidth="1"/>
    <col min="6155" max="6155" width="25.81640625" customWidth="1"/>
    <col min="6156" max="6156" width="82.54296875" customWidth="1"/>
    <col min="6401" max="6402" width="2.81640625" customWidth="1"/>
    <col min="6403" max="6403" width="10.453125" bestFit="1" customWidth="1"/>
    <col min="6404" max="6405" width="2.81640625" customWidth="1"/>
    <col min="6406" max="6406" width="80.7265625" bestFit="1" customWidth="1"/>
    <col min="6407" max="6407" width="27.81640625" customWidth="1"/>
    <col min="6408" max="6408" width="15.26953125" bestFit="1" customWidth="1"/>
    <col min="6409" max="6409" width="27.26953125" customWidth="1"/>
    <col min="6410" max="6410" width="26.81640625" customWidth="1"/>
    <col min="6411" max="6411" width="25.81640625" customWidth="1"/>
    <col min="6412" max="6412" width="82.54296875" customWidth="1"/>
    <col min="6657" max="6658" width="2.81640625" customWidth="1"/>
    <col min="6659" max="6659" width="10.453125" bestFit="1" customWidth="1"/>
    <col min="6660" max="6661" width="2.81640625" customWidth="1"/>
    <col min="6662" max="6662" width="80.7265625" bestFit="1" customWidth="1"/>
    <col min="6663" max="6663" width="27.81640625" customWidth="1"/>
    <col min="6664" max="6664" width="15.26953125" bestFit="1" customWidth="1"/>
    <col min="6665" max="6665" width="27.26953125" customWidth="1"/>
    <col min="6666" max="6666" width="26.81640625" customWidth="1"/>
    <col min="6667" max="6667" width="25.81640625" customWidth="1"/>
    <col min="6668" max="6668" width="82.54296875" customWidth="1"/>
    <col min="6913" max="6914" width="2.81640625" customWidth="1"/>
    <col min="6915" max="6915" width="10.453125" bestFit="1" customWidth="1"/>
    <col min="6916" max="6917" width="2.81640625" customWidth="1"/>
    <col min="6918" max="6918" width="80.7265625" bestFit="1" customWidth="1"/>
    <col min="6919" max="6919" width="27.81640625" customWidth="1"/>
    <col min="6920" max="6920" width="15.26953125" bestFit="1" customWidth="1"/>
    <col min="6921" max="6921" width="27.26953125" customWidth="1"/>
    <col min="6922" max="6922" width="26.81640625" customWidth="1"/>
    <col min="6923" max="6923" width="25.81640625" customWidth="1"/>
    <col min="6924" max="6924" width="82.54296875" customWidth="1"/>
    <col min="7169" max="7170" width="2.81640625" customWidth="1"/>
    <col min="7171" max="7171" width="10.453125" bestFit="1" customWidth="1"/>
    <col min="7172" max="7173" width="2.81640625" customWidth="1"/>
    <col min="7174" max="7174" width="80.7265625" bestFit="1" customWidth="1"/>
    <col min="7175" max="7175" width="27.81640625" customWidth="1"/>
    <col min="7176" max="7176" width="15.26953125" bestFit="1" customWidth="1"/>
    <col min="7177" max="7177" width="27.26953125" customWidth="1"/>
    <col min="7178" max="7178" width="26.81640625" customWidth="1"/>
    <col min="7179" max="7179" width="25.81640625" customWidth="1"/>
    <col min="7180" max="7180" width="82.54296875" customWidth="1"/>
    <col min="7425" max="7426" width="2.81640625" customWidth="1"/>
    <col min="7427" max="7427" width="10.453125" bestFit="1" customWidth="1"/>
    <col min="7428" max="7429" width="2.81640625" customWidth="1"/>
    <col min="7430" max="7430" width="80.7265625" bestFit="1" customWidth="1"/>
    <col min="7431" max="7431" width="27.81640625" customWidth="1"/>
    <col min="7432" max="7432" width="15.26953125" bestFit="1" customWidth="1"/>
    <col min="7433" max="7433" width="27.26953125" customWidth="1"/>
    <col min="7434" max="7434" width="26.81640625" customWidth="1"/>
    <col min="7435" max="7435" width="25.81640625" customWidth="1"/>
    <col min="7436" max="7436" width="82.54296875" customWidth="1"/>
    <col min="7681" max="7682" width="2.81640625" customWidth="1"/>
    <col min="7683" max="7683" width="10.453125" bestFit="1" customWidth="1"/>
    <col min="7684" max="7685" width="2.81640625" customWidth="1"/>
    <col min="7686" max="7686" width="80.7265625" bestFit="1" customWidth="1"/>
    <col min="7687" max="7687" width="27.81640625" customWidth="1"/>
    <col min="7688" max="7688" width="15.26953125" bestFit="1" customWidth="1"/>
    <col min="7689" max="7689" width="27.26953125" customWidth="1"/>
    <col min="7690" max="7690" width="26.81640625" customWidth="1"/>
    <col min="7691" max="7691" width="25.81640625" customWidth="1"/>
    <col min="7692" max="7692" width="82.54296875" customWidth="1"/>
    <col min="7937" max="7938" width="2.81640625" customWidth="1"/>
    <col min="7939" max="7939" width="10.453125" bestFit="1" customWidth="1"/>
    <col min="7940" max="7941" width="2.81640625" customWidth="1"/>
    <col min="7942" max="7942" width="80.7265625" bestFit="1" customWidth="1"/>
    <col min="7943" max="7943" width="27.81640625" customWidth="1"/>
    <col min="7944" max="7944" width="15.26953125" bestFit="1" customWidth="1"/>
    <col min="7945" max="7945" width="27.26953125" customWidth="1"/>
    <col min="7946" max="7946" width="26.81640625" customWidth="1"/>
    <col min="7947" max="7947" width="25.81640625" customWidth="1"/>
    <col min="7948" max="7948" width="82.54296875" customWidth="1"/>
    <col min="8193" max="8194" width="2.81640625" customWidth="1"/>
    <col min="8195" max="8195" width="10.453125" bestFit="1" customWidth="1"/>
    <col min="8196" max="8197" width="2.81640625" customWidth="1"/>
    <col min="8198" max="8198" width="80.7265625" bestFit="1" customWidth="1"/>
    <col min="8199" max="8199" width="27.81640625" customWidth="1"/>
    <col min="8200" max="8200" width="15.26953125" bestFit="1" customWidth="1"/>
    <col min="8201" max="8201" width="27.26953125" customWidth="1"/>
    <col min="8202" max="8202" width="26.81640625" customWidth="1"/>
    <col min="8203" max="8203" width="25.81640625" customWidth="1"/>
    <col min="8204" max="8204" width="82.54296875" customWidth="1"/>
    <col min="8449" max="8450" width="2.81640625" customWidth="1"/>
    <col min="8451" max="8451" width="10.453125" bestFit="1" customWidth="1"/>
    <col min="8452" max="8453" width="2.81640625" customWidth="1"/>
    <col min="8454" max="8454" width="80.7265625" bestFit="1" customWidth="1"/>
    <col min="8455" max="8455" width="27.81640625" customWidth="1"/>
    <col min="8456" max="8456" width="15.26953125" bestFit="1" customWidth="1"/>
    <col min="8457" max="8457" width="27.26953125" customWidth="1"/>
    <col min="8458" max="8458" width="26.81640625" customWidth="1"/>
    <col min="8459" max="8459" width="25.81640625" customWidth="1"/>
    <col min="8460" max="8460" width="82.54296875" customWidth="1"/>
    <col min="8705" max="8706" width="2.81640625" customWidth="1"/>
    <col min="8707" max="8707" width="10.453125" bestFit="1" customWidth="1"/>
    <col min="8708" max="8709" width="2.81640625" customWidth="1"/>
    <col min="8710" max="8710" width="80.7265625" bestFit="1" customWidth="1"/>
    <col min="8711" max="8711" width="27.81640625" customWidth="1"/>
    <col min="8712" max="8712" width="15.26953125" bestFit="1" customWidth="1"/>
    <col min="8713" max="8713" width="27.26953125" customWidth="1"/>
    <col min="8714" max="8714" width="26.81640625" customWidth="1"/>
    <col min="8715" max="8715" width="25.81640625" customWidth="1"/>
    <col min="8716" max="8716" width="82.54296875" customWidth="1"/>
    <col min="8961" max="8962" width="2.81640625" customWidth="1"/>
    <col min="8963" max="8963" width="10.453125" bestFit="1" customWidth="1"/>
    <col min="8964" max="8965" width="2.81640625" customWidth="1"/>
    <col min="8966" max="8966" width="80.7265625" bestFit="1" customWidth="1"/>
    <col min="8967" max="8967" width="27.81640625" customWidth="1"/>
    <col min="8968" max="8968" width="15.26953125" bestFit="1" customWidth="1"/>
    <col min="8969" max="8969" width="27.26953125" customWidth="1"/>
    <col min="8970" max="8970" width="26.81640625" customWidth="1"/>
    <col min="8971" max="8971" width="25.81640625" customWidth="1"/>
    <col min="8972" max="8972" width="82.54296875" customWidth="1"/>
    <col min="9217" max="9218" width="2.81640625" customWidth="1"/>
    <col min="9219" max="9219" width="10.453125" bestFit="1" customWidth="1"/>
    <col min="9220" max="9221" width="2.81640625" customWidth="1"/>
    <col min="9222" max="9222" width="80.7265625" bestFit="1" customWidth="1"/>
    <col min="9223" max="9223" width="27.81640625" customWidth="1"/>
    <col min="9224" max="9224" width="15.26953125" bestFit="1" customWidth="1"/>
    <col min="9225" max="9225" width="27.26953125" customWidth="1"/>
    <col min="9226" max="9226" width="26.81640625" customWidth="1"/>
    <col min="9227" max="9227" width="25.81640625" customWidth="1"/>
    <col min="9228" max="9228" width="82.54296875" customWidth="1"/>
    <col min="9473" max="9474" width="2.81640625" customWidth="1"/>
    <col min="9475" max="9475" width="10.453125" bestFit="1" customWidth="1"/>
    <col min="9476" max="9477" width="2.81640625" customWidth="1"/>
    <col min="9478" max="9478" width="80.7265625" bestFit="1" customWidth="1"/>
    <col min="9479" max="9479" width="27.81640625" customWidth="1"/>
    <col min="9480" max="9480" width="15.26953125" bestFit="1" customWidth="1"/>
    <col min="9481" max="9481" width="27.26953125" customWidth="1"/>
    <col min="9482" max="9482" width="26.81640625" customWidth="1"/>
    <col min="9483" max="9483" width="25.81640625" customWidth="1"/>
    <col min="9484" max="9484" width="82.54296875" customWidth="1"/>
    <col min="9729" max="9730" width="2.81640625" customWidth="1"/>
    <col min="9731" max="9731" width="10.453125" bestFit="1" customWidth="1"/>
    <col min="9732" max="9733" width="2.81640625" customWidth="1"/>
    <col min="9734" max="9734" width="80.7265625" bestFit="1" customWidth="1"/>
    <col min="9735" max="9735" width="27.81640625" customWidth="1"/>
    <col min="9736" max="9736" width="15.26953125" bestFit="1" customWidth="1"/>
    <col min="9737" max="9737" width="27.26953125" customWidth="1"/>
    <col min="9738" max="9738" width="26.81640625" customWidth="1"/>
    <col min="9739" max="9739" width="25.81640625" customWidth="1"/>
    <col min="9740" max="9740" width="82.54296875" customWidth="1"/>
    <col min="9985" max="9986" width="2.81640625" customWidth="1"/>
    <col min="9987" max="9987" width="10.453125" bestFit="1" customWidth="1"/>
    <col min="9988" max="9989" width="2.81640625" customWidth="1"/>
    <col min="9990" max="9990" width="80.7265625" bestFit="1" customWidth="1"/>
    <col min="9991" max="9991" width="27.81640625" customWidth="1"/>
    <col min="9992" max="9992" width="15.26953125" bestFit="1" customWidth="1"/>
    <col min="9993" max="9993" width="27.26953125" customWidth="1"/>
    <col min="9994" max="9994" width="26.81640625" customWidth="1"/>
    <col min="9995" max="9995" width="25.81640625" customWidth="1"/>
    <col min="9996" max="9996" width="82.54296875" customWidth="1"/>
    <col min="10241" max="10242" width="2.81640625" customWidth="1"/>
    <col min="10243" max="10243" width="10.453125" bestFit="1" customWidth="1"/>
    <col min="10244" max="10245" width="2.81640625" customWidth="1"/>
    <col min="10246" max="10246" width="80.7265625" bestFit="1" customWidth="1"/>
    <col min="10247" max="10247" width="27.81640625" customWidth="1"/>
    <col min="10248" max="10248" width="15.26953125" bestFit="1" customWidth="1"/>
    <col min="10249" max="10249" width="27.26953125" customWidth="1"/>
    <col min="10250" max="10250" width="26.81640625" customWidth="1"/>
    <col min="10251" max="10251" width="25.81640625" customWidth="1"/>
    <col min="10252" max="10252" width="82.54296875" customWidth="1"/>
    <col min="10497" max="10498" width="2.81640625" customWidth="1"/>
    <col min="10499" max="10499" width="10.453125" bestFit="1" customWidth="1"/>
    <col min="10500" max="10501" width="2.81640625" customWidth="1"/>
    <col min="10502" max="10502" width="80.7265625" bestFit="1" customWidth="1"/>
    <col min="10503" max="10503" width="27.81640625" customWidth="1"/>
    <col min="10504" max="10504" width="15.26953125" bestFit="1" customWidth="1"/>
    <col min="10505" max="10505" width="27.26953125" customWidth="1"/>
    <col min="10506" max="10506" width="26.81640625" customWidth="1"/>
    <col min="10507" max="10507" width="25.81640625" customWidth="1"/>
    <col min="10508" max="10508" width="82.54296875" customWidth="1"/>
    <col min="10753" max="10754" width="2.81640625" customWidth="1"/>
    <col min="10755" max="10755" width="10.453125" bestFit="1" customWidth="1"/>
    <col min="10756" max="10757" width="2.81640625" customWidth="1"/>
    <col min="10758" max="10758" width="80.7265625" bestFit="1" customWidth="1"/>
    <col min="10759" max="10759" width="27.81640625" customWidth="1"/>
    <col min="10760" max="10760" width="15.26953125" bestFit="1" customWidth="1"/>
    <col min="10761" max="10761" width="27.26953125" customWidth="1"/>
    <col min="10762" max="10762" width="26.81640625" customWidth="1"/>
    <col min="10763" max="10763" width="25.81640625" customWidth="1"/>
    <col min="10764" max="10764" width="82.54296875" customWidth="1"/>
    <col min="11009" max="11010" width="2.81640625" customWidth="1"/>
    <col min="11011" max="11011" width="10.453125" bestFit="1" customWidth="1"/>
    <col min="11012" max="11013" width="2.81640625" customWidth="1"/>
    <col min="11014" max="11014" width="80.7265625" bestFit="1" customWidth="1"/>
    <col min="11015" max="11015" width="27.81640625" customWidth="1"/>
    <col min="11016" max="11016" width="15.26953125" bestFit="1" customWidth="1"/>
    <col min="11017" max="11017" width="27.26953125" customWidth="1"/>
    <col min="11018" max="11018" width="26.81640625" customWidth="1"/>
    <col min="11019" max="11019" width="25.81640625" customWidth="1"/>
    <col min="11020" max="11020" width="82.54296875" customWidth="1"/>
    <col min="11265" max="11266" width="2.81640625" customWidth="1"/>
    <col min="11267" max="11267" width="10.453125" bestFit="1" customWidth="1"/>
    <col min="11268" max="11269" width="2.81640625" customWidth="1"/>
    <col min="11270" max="11270" width="80.7265625" bestFit="1" customWidth="1"/>
    <col min="11271" max="11271" width="27.81640625" customWidth="1"/>
    <col min="11272" max="11272" width="15.26953125" bestFit="1" customWidth="1"/>
    <col min="11273" max="11273" width="27.26953125" customWidth="1"/>
    <col min="11274" max="11274" width="26.81640625" customWidth="1"/>
    <col min="11275" max="11275" width="25.81640625" customWidth="1"/>
    <col min="11276" max="11276" width="82.54296875" customWidth="1"/>
    <col min="11521" max="11522" width="2.81640625" customWidth="1"/>
    <col min="11523" max="11523" width="10.453125" bestFit="1" customWidth="1"/>
    <col min="11524" max="11525" width="2.81640625" customWidth="1"/>
    <col min="11526" max="11526" width="80.7265625" bestFit="1" customWidth="1"/>
    <col min="11527" max="11527" width="27.81640625" customWidth="1"/>
    <col min="11528" max="11528" width="15.26953125" bestFit="1" customWidth="1"/>
    <col min="11529" max="11529" width="27.26953125" customWidth="1"/>
    <col min="11530" max="11530" width="26.81640625" customWidth="1"/>
    <col min="11531" max="11531" width="25.81640625" customWidth="1"/>
    <col min="11532" max="11532" width="82.54296875" customWidth="1"/>
    <col min="11777" max="11778" width="2.81640625" customWidth="1"/>
    <col min="11779" max="11779" width="10.453125" bestFit="1" customWidth="1"/>
    <col min="11780" max="11781" width="2.81640625" customWidth="1"/>
    <col min="11782" max="11782" width="80.7265625" bestFit="1" customWidth="1"/>
    <col min="11783" max="11783" width="27.81640625" customWidth="1"/>
    <col min="11784" max="11784" width="15.26953125" bestFit="1" customWidth="1"/>
    <col min="11785" max="11785" width="27.26953125" customWidth="1"/>
    <col min="11786" max="11786" width="26.81640625" customWidth="1"/>
    <col min="11787" max="11787" width="25.81640625" customWidth="1"/>
    <col min="11788" max="11788" width="82.54296875" customWidth="1"/>
    <col min="12033" max="12034" width="2.81640625" customWidth="1"/>
    <col min="12035" max="12035" width="10.453125" bestFit="1" customWidth="1"/>
    <col min="12036" max="12037" width="2.81640625" customWidth="1"/>
    <col min="12038" max="12038" width="80.7265625" bestFit="1" customWidth="1"/>
    <col min="12039" max="12039" width="27.81640625" customWidth="1"/>
    <col min="12040" max="12040" width="15.26953125" bestFit="1" customWidth="1"/>
    <col min="12041" max="12041" width="27.26953125" customWidth="1"/>
    <col min="12042" max="12042" width="26.81640625" customWidth="1"/>
    <col min="12043" max="12043" width="25.81640625" customWidth="1"/>
    <col min="12044" max="12044" width="82.54296875" customWidth="1"/>
    <col min="12289" max="12290" width="2.81640625" customWidth="1"/>
    <col min="12291" max="12291" width="10.453125" bestFit="1" customWidth="1"/>
    <col min="12292" max="12293" width="2.81640625" customWidth="1"/>
    <col min="12294" max="12294" width="80.7265625" bestFit="1" customWidth="1"/>
    <col min="12295" max="12295" width="27.81640625" customWidth="1"/>
    <col min="12296" max="12296" width="15.26953125" bestFit="1" customWidth="1"/>
    <col min="12297" max="12297" width="27.26953125" customWidth="1"/>
    <col min="12298" max="12298" width="26.81640625" customWidth="1"/>
    <col min="12299" max="12299" width="25.81640625" customWidth="1"/>
    <col min="12300" max="12300" width="82.54296875" customWidth="1"/>
    <col min="12545" max="12546" width="2.81640625" customWidth="1"/>
    <col min="12547" max="12547" width="10.453125" bestFit="1" customWidth="1"/>
    <col min="12548" max="12549" width="2.81640625" customWidth="1"/>
    <col min="12550" max="12550" width="80.7265625" bestFit="1" customWidth="1"/>
    <col min="12551" max="12551" width="27.81640625" customWidth="1"/>
    <col min="12552" max="12552" width="15.26953125" bestFit="1" customWidth="1"/>
    <col min="12553" max="12553" width="27.26953125" customWidth="1"/>
    <col min="12554" max="12554" width="26.81640625" customWidth="1"/>
    <col min="12555" max="12555" width="25.81640625" customWidth="1"/>
    <col min="12556" max="12556" width="82.54296875" customWidth="1"/>
    <col min="12801" max="12802" width="2.81640625" customWidth="1"/>
    <col min="12803" max="12803" width="10.453125" bestFit="1" customWidth="1"/>
    <col min="12804" max="12805" width="2.81640625" customWidth="1"/>
    <col min="12806" max="12806" width="80.7265625" bestFit="1" customWidth="1"/>
    <col min="12807" max="12807" width="27.81640625" customWidth="1"/>
    <col min="12808" max="12808" width="15.26953125" bestFit="1" customWidth="1"/>
    <col min="12809" max="12809" width="27.26953125" customWidth="1"/>
    <col min="12810" max="12810" width="26.81640625" customWidth="1"/>
    <col min="12811" max="12811" width="25.81640625" customWidth="1"/>
    <col min="12812" max="12812" width="82.54296875" customWidth="1"/>
    <col min="13057" max="13058" width="2.81640625" customWidth="1"/>
    <col min="13059" max="13059" width="10.453125" bestFit="1" customWidth="1"/>
    <col min="13060" max="13061" width="2.81640625" customWidth="1"/>
    <col min="13062" max="13062" width="80.7265625" bestFit="1" customWidth="1"/>
    <col min="13063" max="13063" width="27.81640625" customWidth="1"/>
    <col min="13064" max="13064" width="15.26953125" bestFit="1" customWidth="1"/>
    <col min="13065" max="13065" width="27.26953125" customWidth="1"/>
    <col min="13066" max="13066" width="26.81640625" customWidth="1"/>
    <col min="13067" max="13067" width="25.81640625" customWidth="1"/>
    <col min="13068" max="13068" width="82.54296875" customWidth="1"/>
    <col min="13313" max="13314" width="2.81640625" customWidth="1"/>
    <col min="13315" max="13315" width="10.453125" bestFit="1" customWidth="1"/>
    <col min="13316" max="13317" width="2.81640625" customWidth="1"/>
    <col min="13318" max="13318" width="80.7265625" bestFit="1" customWidth="1"/>
    <col min="13319" max="13319" width="27.81640625" customWidth="1"/>
    <col min="13320" max="13320" width="15.26953125" bestFit="1" customWidth="1"/>
    <col min="13321" max="13321" width="27.26953125" customWidth="1"/>
    <col min="13322" max="13322" width="26.81640625" customWidth="1"/>
    <col min="13323" max="13323" width="25.81640625" customWidth="1"/>
    <col min="13324" max="13324" width="82.54296875" customWidth="1"/>
    <col min="13569" max="13570" width="2.81640625" customWidth="1"/>
    <col min="13571" max="13571" width="10.453125" bestFit="1" customWidth="1"/>
    <col min="13572" max="13573" width="2.81640625" customWidth="1"/>
    <col min="13574" max="13574" width="80.7265625" bestFit="1" customWidth="1"/>
    <col min="13575" max="13575" width="27.81640625" customWidth="1"/>
    <col min="13576" max="13576" width="15.26953125" bestFit="1" customWidth="1"/>
    <col min="13577" max="13577" width="27.26953125" customWidth="1"/>
    <col min="13578" max="13578" width="26.81640625" customWidth="1"/>
    <col min="13579" max="13579" width="25.81640625" customWidth="1"/>
    <col min="13580" max="13580" width="82.54296875" customWidth="1"/>
    <col min="13825" max="13826" width="2.81640625" customWidth="1"/>
    <col min="13827" max="13827" width="10.453125" bestFit="1" customWidth="1"/>
    <col min="13828" max="13829" width="2.81640625" customWidth="1"/>
    <col min="13830" max="13830" width="80.7265625" bestFit="1" customWidth="1"/>
    <col min="13831" max="13831" width="27.81640625" customWidth="1"/>
    <col min="13832" max="13832" width="15.26953125" bestFit="1" customWidth="1"/>
    <col min="13833" max="13833" width="27.26953125" customWidth="1"/>
    <col min="13834" max="13834" width="26.81640625" customWidth="1"/>
    <col min="13835" max="13835" width="25.81640625" customWidth="1"/>
    <col min="13836" max="13836" width="82.54296875" customWidth="1"/>
    <col min="14081" max="14082" width="2.81640625" customWidth="1"/>
    <col min="14083" max="14083" width="10.453125" bestFit="1" customWidth="1"/>
    <col min="14084" max="14085" width="2.81640625" customWidth="1"/>
    <col min="14086" max="14086" width="80.7265625" bestFit="1" customWidth="1"/>
    <col min="14087" max="14087" width="27.81640625" customWidth="1"/>
    <col min="14088" max="14088" width="15.26953125" bestFit="1" customWidth="1"/>
    <col min="14089" max="14089" width="27.26953125" customWidth="1"/>
    <col min="14090" max="14090" width="26.81640625" customWidth="1"/>
    <col min="14091" max="14091" width="25.81640625" customWidth="1"/>
    <col min="14092" max="14092" width="82.54296875" customWidth="1"/>
    <col min="14337" max="14338" width="2.81640625" customWidth="1"/>
    <col min="14339" max="14339" width="10.453125" bestFit="1" customWidth="1"/>
    <col min="14340" max="14341" width="2.81640625" customWidth="1"/>
    <col min="14342" max="14342" width="80.7265625" bestFit="1" customWidth="1"/>
    <col min="14343" max="14343" width="27.81640625" customWidth="1"/>
    <col min="14344" max="14344" width="15.26953125" bestFit="1" customWidth="1"/>
    <col min="14345" max="14345" width="27.26953125" customWidth="1"/>
    <col min="14346" max="14346" width="26.81640625" customWidth="1"/>
    <col min="14347" max="14347" width="25.81640625" customWidth="1"/>
    <col min="14348" max="14348" width="82.54296875" customWidth="1"/>
    <col min="14593" max="14594" width="2.81640625" customWidth="1"/>
    <col min="14595" max="14595" width="10.453125" bestFit="1" customWidth="1"/>
    <col min="14596" max="14597" width="2.81640625" customWidth="1"/>
    <col min="14598" max="14598" width="80.7265625" bestFit="1" customWidth="1"/>
    <col min="14599" max="14599" width="27.81640625" customWidth="1"/>
    <col min="14600" max="14600" width="15.26953125" bestFit="1" customWidth="1"/>
    <col min="14601" max="14601" width="27.26953125" customWidth="1"/>
    <col min="14602" max="14602" width="26.81640625" customWidth="1"/>
    <col min="14603" max="14603" width="25.81640625" customWidth="1"/>
    <col min="14604" max="14604" width="82.54296875" customWidth="1"/>
    <col min="14849" max="14850" width="2.81640625" customWidth="1"/>
    <col min="14851" max="14851" width="10.453125" bestFit="1" customWidth="1"/>
    <col min="14852" max="14853" width="2.81640625" customWidth="1"/>
    <col min="14854" max="14854" width="80.7265625" bestFit="1" customWidth="1"/>
    <col min="14855" max="14855" width="27.81640625" customWidth="1"/>
    <col min="14856" max="14856" width="15.26953125" bestFit="1" customWidth="1"/>
    <col min="14857" max="14857" width="27.26953125" customWidth="1"/>
    <col min="14858" max="14858" width="26.81640625" customWidth="1"/>
    <col min="14859" max="14859" width="25.81640625" customWidth="1"/>
    <col min="14860" max="14860" width="82.54296875" customWidth="1"/>
    <col min="15105" max="15106" width="2.81640625" customWidth="1"/>
    <col min="15107" max="15107" width="10.453125" bestFit="1" customWidth="1"/>
    <col min="15108" max="15109" width="2.81640625" customWidth="1"/>
    <col min="15110" max="15110" width="80.7265625" bestFit="1" customWidth="1"/>
    <col min="15111" max="15111" width="27.81640625" customWidth="1"/>
    <col min="15112" max="15112" width="15.26953125" bestFit="1" customWidth="1"/>
    <col min="15113" max="15113" width="27.26953125" customWidth="1"/>
    <col min="15114" max="15114" width="26.81640625" customWidth="1"/>
    <col min="15115" max="15115" width="25.81640625" customWidth="1"/>
    <col min="15116" max="15116" width="82.54296875" customWidth="1"/>
    <col min="15361" max="15362" width="2.81640625" customWidth="1"/>
    <col min="15363" max="15363" width="10.453125" bestFit="1" customWidth="1"/>
    <col min="15364" max="15365" width="2.81640625" customWidth="1"/>
    <col min="15366" max="15366" width="80.7265625" bestFit="1" customWidth="1"/>
    <col min="15367" max="15367" width="27.81640625" customWidth="1"/>
    <col min="15368" max="15368" width="15.26953125" bestFit="1" customWidth="1"/>
    <col min="15369" max="15369" width="27.26953125" customWidth="1"/>
    <col min="15370" max="15370" width="26.81640625" customWidth="1"/>
    <col min="15371" max="15371" width="25.81640625" customWidth="1"/>
    <col min="15372" max="15372" width="82.54296875" customWidth="1"/>
    <col min="15617" max="15618" width="2.81640625" customWidth="1"/>
    <col min="15619" max="15619" width="10.453125" bestFit="1" customWidth="1"/>
    <col min="15620" max="15621" width="2.81640625" customWidth="1"/>
    <col min="15622" max="15622" width="80.7265625" bestFit="1" customWidth="1"/>
    <col min="15623" max="15623" width="27.81640625" customWidth="1"/>
    <col min="15624" max="15624" width="15.26953125" bestFit="1" customWidth="1"/>
    <col min="15625" max="15625" width="27.26953125" customWidth="1"/>
    <col min="15626" max="15626" width="26.81640625" customWidth="1"/>
    <col min="15627" max="15627" width="25.81640625" customWidth="1"/>
    <col min="15628" max="15628" width="82.54296875" customWidth="1"/>
    <col min="15873" max="15874" width="2.81640625" customWidth="1"/>
    <col min="15875" max="15875" width="10.453125" bestFit="1" customWidth="1"/>
    <col min="15876" max="15877" width="2.81640625" customWidth="1"/>
    <col min="15878" max="15878" width="80.7265625" bestFit="1" customWidth="1"/>
    <col min="15879" max="15879" width="27.81640625" customWidth="1"/>
    <col min="15880" max="15880" width="15.26953125" bestFit="1" customWidth="1"/>
    <col min="15881" max="15881" width="27.26953125" customWidth="1"/>
    <col min="15882" max="15882" width="26.81640625" customWidth="1"/>
    <col min="15883" max="15883" width="25.81640625" customWidth="1"/>
    <col min="15884" max="15884" width="82.54296875" customWidth="1"/>
    <col min="16129" max="16130" width="2.81640625" customWidth="1"/>
    <col min="16131" max="16131" width="10.453125" bestFit="1" customWidth="1"/>
    <col min="16132" max="16133" width="2.81640625" customWidth="1"/>
    <col min="16134" max="16134" width="80.7265625" bestFit="1" customWidth="1"/>
    <col min="16135" max="16135" width="27.81640625" customWidth="1"/>
    <col min="16136" max="16136" width="15.26953125" bestFit="1" customWidth="1"/>
    <col min="16137" max="16137" width="27.26953125" customWidth="1"/>
    <col min="16138" max="16138" width="26.81640625" customWidth="1"/>
    <col min="16139" max="16139" width="25.81640625" customWidth="1"/>
    <col min="16140" max="16140" width="82.54296875" customWidth="1"/>
  </cols>
  <sheetData>
    <row r="1" spans="1:12" x14ac:dyDescent="0.35">
      <c r="A1" s="7"/>
      <c r="B1" s="7"/>
      <c r="C1" s="7"/>
      <c r="D1" s="7"/>
      <c r="E1" s="7"/>
      <c r="F1" s="7"/>
      <c r="G1" s="7"/>
      <c r="H1" s="7"/>
      <c r="I1" s="7" t="s">
        <v>0</v>
      </c>
      <c r="J1" s="7"/>
      <c r="K1" s="7"/>
      <c r="L1" s="7"/>
    </row>
    <row r="2" spans="1:12" x14ac:dyDescent="0.35">
      <c r="A2" s="7"/>
      <c r="B2" s="7"/>
      <c r="C2" s="7"/>
      <c r="D2" s="7"/>
      <c r="E2" s="7"/>
      <c r="F2" s="7"/>
      <c r="G2" s="7"/>
      <c r="H2" s="7"/>
      <c r="I2" s="132" t="s">
        <v>197</v>
      </c>
      <c r="J2" s="7"/>
      <c r="K2" s="7"/>
      <c r="L2" s="7"/>
    </row>
    <row r="3" spans="1:12" x14ac:dyDescent="0.35">
      <c r="A3" s="136" t="s">
        <v>198</v>
      </c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</row>
    <row r="4" spans="1:12" ht="19.5" customHeight="1" x14ac:dyDescent="0.35">
      <c r="A4" s="137" t="str">
        <f>'[17]Data Entry - CA2'!A2</f>
        <v>Pasco-Hernando State College</v>
      </c>
      <c r="C4"/>
    </row>
    <row r="5" spans="1:12" x14ac:dyDescent="0.35">
      <c r="C5"/>
    </row>
    <row r="6" spans="1:12" s="7" customFormat="1" x14ac:dyDescent="0.35">
      <c r="A6" s="3" t="s">
        <v>2</v>
      </c>
      <c r="B6" s="4"/>
      <c r="C6" s="4"/>
      <c r="D6" s="3" t="s">
        <v>3</v>
      </c>
      <c r="E6" s="4"/>
      <c r="F6" s="4"/>
      <c r="G6" s="118" t="s">
        <v>274</v>
      </c>
      <c r="H6" s="6" t="s">
        <v>4</v>
      </c>
      <c r="I6" s="6" t="s">
        <v>5</v>
      </c>
      <c r="J6" s="6" t="s">
        <v>6</v>
      </c>
      <c r="K6" s="6" t="s">
        <v>7</v>
      </c>
      <c r="L6" s="6" t="s">
        <v>199</v>
      </c>
    </row>
    <row r="7" spans="1:12" x14ac:dyDescent="0.35">
      <c r="A7" s="8" t="s">
        <v>9</v>
      </c>
      <c r="B7" s="9"/>
      <c r="C7" s="119"/>
      <c r="D7" s="11" t="s">
        <v>10</v>
      </c>
      <c r="E7" s="119"/>
      <c r="F7" s="119"/>
      <c r="G7" s="69"/>
      <c r="H7" s="9"/>
      <c r="I7" s="69"/>
      <c r="J7" s="69"/>
      <c r="K7" s="69"/>
      <c r="L7" s="11"/>
    </row>
    <row r="8" spans="1:12" x14ac:dyDescent="0.35">
      <c r="A8" s="8"/>
      <c r="B8" s="9" t="s">
        <v>11</v>
      </c>
      <c r="C8" s="119"/>
      <c r="D8" s="13"/>
      <c r="E8" s="9" t="s">
        <v>12</v>
      </c>
      <c r="F8" s="119"/>
      <c r="G8" s="69">
        <f>SUM(G9:G24)</f>
        <v>2613827.7800000003</v>
      </c>
      <c r="H8" s="9"/>
      <c r="I8" s="69">
        <f>SUM(I9:I24)</f>
        <v>1009755.48</v>
      </c>
      <c r="J8" s="69">
        <f>SUM(J9:J24)</f>
        <v>1604072.2999999998</v>
      </c>
      <c r="K8" s="69"/>
      <c r="L8" s="14"/>
    </row>
    <row r="9" spans="1:12" x14ac:dyDescent="0.35">
      <c r="A9" s="8"/>
      <c r="B9" s="9"/>
      <c r="C9" s="119" t="s">
        <v>13</v>
      </c>
      <c r="D9" s="13"/>
      <c r="E9" s="119"/>
      <c r="F9" s="9" t="s">
        <v>14</v>
      </c>
      <c r="G9" s="86"/>
      <c r="H9" s="16"/>
      <c r="I9" s="86"/>
      <c r="J9" s="86"/>
      <c r="K9" s="69">
        <f t="shared" ref="K9:K63" si="0">I9+J9</f>
        <v>0</v>
      </c>
      <c r="L9" s="17"/>
    </row>
    <row r="10" spans="1:12" x14ac:dyDescent="0.35">
      <c r="A10" s="8"/>
      <c r="B10" s="9"/>
      <c r="C10" s="119" t="s">
        <v>16</v>
      </c>
      <c r="D10" s="13"/>
      <c r="E10" s="119"/>
      <c r="F10" s="9" t="s">
        <v>17</v>
      </c>
      <c r="G10" s="86">
        <v>9144.23</v>
      </c>
      <c r="H10" s="16" t="s">
        <v>15</v>
      </c>
      <c r="I10" s="86">
        <v>9144.23</v>
      </c>
      <c r="J10" s="86"/>
      <c r="K10" s="69">
        <f t="shared" si="0"/>
        <v>9144.23</v>
      </c>
      <c r="L10" s="17"/>
    </row>
    <row r="11" spans="1:12" x14ac:dyDescent="0.35">
      <c r="A11" s="8"/>
      <c r="B11" s="9"/>
      <c r="C11" s="119" t="s">
        <v>18</v>
      </c>
      <c r="D11" s="13"/>
      <c r="E11" s="119"/>
      <c r="F11" s="9" t="s">
        <v>19</v>
      </c>
      <c r="G11" s="86">
        <v>662369.26</v>
      </c>
      <c r="H11" s="16" t="s">
        <v>15</v>
      </c>
      <c r="I11" s="86">
        <v>662369.26</v>
      </c>
      <c r="J11" s="86">
        <v>0</v>
      </c>
      <c r="K11" s="69">
        <f t="shared" si="0"/>
        <v>662369.26</v>
      </c>
      <c r="L11" s="17"/>
    </row>
    <row r="12" spans="1:12" x14ac:dyDescent="0.35">
      <c r="A12" s="8"/>
      <c r="B12" s="9"/>
      <c r="C12" s="119" t="s">
        <v>20</v>
      </c>
      <c r="D12" s="13"/>
      <c r="E12" s="119"/>
      <c r="F12" s="9" t="s">
        <v>21</v>
      </c>
      <c r="G12" s="86">
        <v>197662.91</v>
      </c>
      <c r="H12" s="16" t="s">
        <v>24</v>
      </c>
      <c r="I12" s="86"/>
      <c r="J12" s="86">
        <v>197662.91</v>
      </c>
      <c r="K12" s="69">
        <f t="shared" si="0"/>
        <v>197662.91</v>
      </c>
      <c r="L12" s="17"/>
    </row>
    <row r="13" spans="1:12" x14ac:dyDescent="0.35">
      <c r="A13" s="8"/>
      <c r="B13" s="9"/>
      <c r="C13" s="119" t="s">
        <v>22</v>
      </c>
      <c r="D13" s="13"/>
      <c r="E13" s="119"/>
      <c r="F13" s="9" t="s">
        <v>23</v>
      </c>
      <c r="G13" s="86"/>
      <c r="H13" s="16"/>
      <c r="I13" s="86"/>
      <c r="J13" s="86"/>
      <c r="K13" s="69">
        <f t="shared" si="0"/>
        <v>0</v>
      </c>
      <c r="L13" s="17"/>
    </row>
    <row r="14" spans="1:12" x14ac:dyDescent="0.35">
      <c r="A14" s="8"/>
      <c r="B14" s="9"/>
      <c r="C14" s="119" t="s">
        <v>25</v>
      </c>
      <c r="D14" s="13"/>
      <c r="E14" s="119"/>
      <c r="F14" s="9" t="s">
        <v>26</v>
      </c>
      <c r="G14" s="86">
        <f>918604.49+6716</f>
        <v>925320.49</v>
      </c>
      <c r="H14" s="16" t="s">
        <v>24</v>
      </c>
      <c r="I14" s="86"/>
      <c r="J14" s="86">
        <v>925320.49</v>
      </c>
      <c r="K14" s="69">
        <f t="shared" si="0"/>
        <v>925320.49</v>
      </c>
      <c r="L14" s="17" t="s">
        <v>211</v>
      </c>
    </row>
    <row r="15" spans="1:12" x14ac:dyDescent="0.35">
      <c r="A15" s="8"/>
      <c r="B15" s="9"/>
      <c r="C15" s="119" t="s">
        <v>27</v>
      </c>
      <c r="D15" s="13"/>
      <c r="E15" s="119"/>
      <c r="F15" s="9" t="s">
        <v>28</v>
      </c>
      <c r="G15" s="86"/>
      <c r="H15" s="16"/>
      <c r="I15" s="86"/>
      <c r="J15" s="86"/>
      <c r="K15" s="69">
        <f t="shared" si="0"/>
        <v>0</v>
      </c>
      <c r="L15" s="17"/>
    </row>
    <row r="16" spans="1:12" x14ac:dyDescent="0.35">
      <c r="A16" s="8"/>
      <c r="B16" s="9"/>
      <c r="C16" s="119" t="s">
        <v>29</v>
      </c>
      <c r="D16" s="13"/>
      <c r="E16" s="119"/>
      <c r="F16" s="9" t="s">
        <v>30</v>
      </c>
      <c r="G16" s="86"/>
      <c r="H16" s="16"/>
      <c r="I16" s="86"/>
      <c r="J16" s="86"/>
      <c r="K16" s="69">
        <f t="shared" si="0"/>
        <v>0</v>
      </c>
      <c r="L16" s="17"/>
    </row>
    <row r="17" spans="1:12" x14ac:dyDescent="0.35">
      <c r="A17" s="8"/>
      <c r="B17" s="9"/>
      <c r="C17" s="119" t="s">
        <v>31</v>
      </c>
      <c r="D17" s="13"/>
      <c r="E17" s="119"/>
      <c r="F17" s="9" t="s">
        <v>32</v>
      </c>
      <c r="G17" s="86"/>
      <c r="H17" s="16"/>
      <c r="I17" s="86"/>
      <c r="J17" s="86"/>
      <c r="K17" s="69">
        <f t="shared" si="0"/>
        <v>0</v>
      </c>
      <c r="L17" s="17"/>
    </row>
    <row r="18" spans="1:12" x14ac:dyDescent="0.35">
      <c r="A18" s="8"/>
      <c r="B18" s="9"/>
      <c r="C18" s="119" t="s">
        <v>33</v>
      </c>
      <c r="D18" s="13"/>
      <c r="E18" s="119"/>
      <c r="F18" s="9" t="s">
        <v>34</v>
      </c>
      <c r="G18" s="86">
        <v>355729.43</v>
      </c>
      <c r="H18" s="16" t="s">
        <v>24</v>
      </c>
      <c r="I18" s="86"/>
      <c r="J18" s="86">
        <v>355729.43</v>
      </c>
      <c r="K18" s="69">
        <f t="shared" si="0"/>
        <v>355729.43</v>
      </c>
      <c r="L18" s="17"/>
    </row>
    <row r="19" spans="1:12" x14ac:dyDescent="0.35">
      <c r="A19" s="8"/>
      <c r="B19" s="9"/>
      <c r="C19" s="119" t="s">
        <v>35</v>
      </c>
      <c r="D19" s="13"/>
      <c r="E19" s="119"/>
      <c r="F19" s="9" t="s">
        <v>36</v>
      </c>
      <c r="G19" s="91">
        <v>125359.47</v>
      </c>
      <c r="H19" s="16" t="s">
        <v>24</v>
      </c>
      <c r="I19" s="91"/>
      <c r="J19" s="91">
        <v>125359.47</v>
      </c>
      <c r="K19" s="69">
        <f t="shared" si="0"/>
        <v>125359.47</v>
      </c>
      <c r="L19" s="17" t="s">
        <v>229</v>
      </c>
    </row>
    <row r="20" spans="1:12" x14ac:dyDescent="0.35">
      <c r="A20" s="8"/>
      <c r="B20" s="9"/>
      <c r="C20" s="119" t="s">
        <v>37</v>
      </c>
      <c r="D20" s="13"/>
      <c r="E20" s="119"/>
      <c r="F20" s="9" t="s">
        <v>38</v>
      </c>
      <c r="G20" s="86">
        <v>338241.99</v>
      </c>
      <c r="H20" s="16" t="s">
        <v>15</v>
      </c>
      <c r="I20" s="86">
        <v>338241.99</v>
      </c>
      <c r="J20" s="86"/>
      <c r="K20" s="69">
        <f t="shared" si="0"/>
        <v>338241.99</v>
      </c>
      <c r="L20" s="17" t="s">
        <v>236</v>
      </c>
    </row>
    <row r="21" spans="1:12" x14ac:dyDescent="0.35">
      <c r="A21" s="8"/>
      <c r="B21" s="9"/>
      <c r="C21" s="119" t="s">
        <v>39</v>
      </c>
      <c r="D21" s="13"/>
      <c r="E21" s="119"/>
      <c r="F21" s="9" t="s">
        <v>40</v>
      </c>
      <c r="G21" s="86"/>
      <c r="H21" s="16"/>
      <c r="I21" s="86"/>
      <c r="J21" s="86"/>
      <c r="K21" s="69">
        <f t="shared" si="0"/>
        <v>0</v>
      </c>
      <c r="L21" s="17"/>
    </row>
    <row r="22" spans="1:12" x14ac:dyDescent="0.35">
      <c r="A22" s="8"/>
      <c r="B22" s="9"/>
      <c r="C22" s="119" t="s">
        <v>41</v>
      </c>
      <c r="D22" s="13"/>
      <c r="E22" s="119"/>
      <c r="F22" s="9" t="s">
        <v>42</v>
      </c>
      <c r="G22" s="86"/>
      <c r="H22" s="16"/>
      <c r="I22" s="86"/>
      <c r="J22" s="86"/>
      <c r="K22" s="69">
        <f t="shared" si="0"/>
        <v>0</v>
      </c>
      <c r="L22" s="17"/>
    </row>
    <row r="23" spans="1:12" x14ac:dyDescent="0.35">
      <c r="A23" s="8"/>
      <c r="B23" s="9"/>
      <c r="C23" s="119" t="s">
        <v>43</v>
      </c>
      <c r="D23" s="13"/>
      <c r="E23" s="119"/>
      <c r="F23" s="9" t="s">
        <v>44</v>
      </c>
      <c r="G23" s="86"/>
      <c r="H23" s="16"/>
      <c r="I23" s="86"/>
      <c r="J23" s="86"/>
      <c r="K23" s="69">
        <f t="shared" si="0"/>
        <v>0</v>
      </c>
      <c r="L23" s="17"/>
    </row>
    <row r="24" spans="1:12" x14ac:dyDescent="0.35">
      <c r="A24" s="9"/>
      <c r="B24" s="9"/>
      <c r="C24" s="120" t="s">
        <v>45</v>
      </c>
      <c r="D24" s="13"/>
      <c r="E24" s="120"/>
      <c r="F24" s="9" t="s">
        <v>46</v>
      </c>
      <c r="G24" s="92"/>
      <c r="H24" s="16"/>
      <c r="I24" s="92"/>
      <c r="J24" s="92"/>
      <c r="K24" s="69">
        <f t="shared" si="0"/>
        <v>0</v>
      </c>
      <c r="L24" s="17"/>
    </row>
    <row r="25" spans="1:12" x14ac:dyDescent="0.35">
      <c r="A25" s="8"/>
      <c r="B25" s="9" t="s">
        <v>47</v>
      </c>
      <c r="C25" s="119"/>
      <c r="D25" s="13"/>
      <c r="E25" s="9" t="s">
        <v>48</v>
      </c>
      <c r="F25" s="119"/>
      <c r="G25" s="69">
        <f>SUM(G26:G41)</f>
        <v>2060472.6600000001</v>
      </c>
      <c r="H25" s="9"/>
      <c r="I25" s="69">
        <f>SUM(I26:I41)</f>
        <v>1377891.16</v>
      </c>
      <c r="J25" s="69">
        <f>SUM(J26:J41)</f>
        <v>682581.5</v>
      </c>
      <c r="K25" s="69"/>
      <c r="L25" s="14"/>
    </row>
    <row r="26" spans="1:12" x14ac:dyDescent="0.35">
      <c r="A26" s="8"/>
      <c r="B26" s="9"/>
      <c r="C26" s="119" t="s">
        <v>49</v>
      </c>
      <c r="D26" s="13"/>
      <c r="E26" s="119"/>
      <c r="F26" s="9" t="s">
        <v>50</v>
      </c>
      <c r="G26" s="86">
        <v>0</v>
      </c>
      <c r="H26" s="16"/>
      <c r="I26" s="86"/>
      <c r="J26" s="86"/>
      <c r="K26" s="69">
        <f t="shared" si="0"/>
        <v>0</v>
      </c>
      <c r="L26" s="17"/>
    </row>
    <row r="27" spans="1:12" x14ac:dyDescent="0.35">
      <c r="A27" s="8"/>
      <c r="B27" s="9"/>
      <c r="C27" s="119" t="s">
        <v>51</v>
      </c>
      <c r="D27" s="13"/>
      <c r="E27" s="119"/>
      <c r="F27" s="9" t="s">
        <v>52</v>
      </c>
      <c r="G27" s="86">
        <v>554452.12</v>
      </c>
      <c r="H27" s="16" t="s">
        <v>15</v>
      </c>
      <c r="I27" s="86">
        <v>554452.12</v>
      </c>
      <c r="J27" s="86"/>
      <c r="K27" s="69">
        <f t="shared" si="0"/>
        <v>554452.12</v>
      </c>
      <c r="L27" s="17" t="s">
        <v>250</v>
      </c>
    </row>
    <row r="28" spans="1:12" x14ac:dyDescent="0.35">
      <c r="A28" s="8"/>
      <c r="B28" s="9"/>
      <c r="C28" s="119" t="s">
        <v>53</v>
      </c>
      <c r="D28" s="13"/>
      <c r="E28" s="119"/>
      <c r="F28" s="9" t="s">
        <v>54</v>
      </c>
      <c r="G28" s="86"/>
      <c r="H28" s="16"/>
      <c r="I28" s="86"/>
      <c r="J28" s="86"/>
      <c r="K28" s="69">
        <f t="shared" si="0"/>
        <v>0</v>
      </c>
      <c r="L28" s="17"/>
    </row>
    <row r="29" spans="1:12" x14ac:dyDescent="0.35">
      <c r="A29" s="8"/>
      <c r="B29" s="9"/>
      <c r="C29" s="119" t="s">
        <v>55</v>
      </c>
      <c r="D29" s="13"/>
      <c r="E29" s="119"/>
      <c r="F29" s="9" t="s">
        <v>56</v>
      </c>
      <c r="G29" s="86"/>
      <c r="H29" s="16"/>
      <c r="I29" s="86"/>
      <c r="J29" s="86"/>
      <c r="K29" s="69">
        <f t="shared" si="0"/>
        <v>0</v>
      </c>
      <c r="L29" s="17"/>
    </row>
    <row r="30" spans="1:12" x14ac:dyDescent="0.35">
      <c r="A30" s="8"/>
      <c r="B30" s="9"/>
      <c r="C30" s="119" t="s">
        <v>57</v>
      </c>
      <c r="D30" s="13"/>
      <c r="E30" s="119"/>
      <c r="F30" s="9" t="s">
        <v>58</v>
      </c>
      <c r="G30" s="86">
        <v>825245.60000000009</v>
      </c>
      <c r="H30" s="16" t="s">
        <v>59</v>
      </c>
      <c r="I30" s="86">
        <f>825245.6-166201</f>
        <v>659044.6</v>
      </c>
      <c r="J30" s="86">
        <v>166201</v>
      </c>
      <c r="K30" s="69">
        <f t="shared" si="0"/>
        <v>825245.6</v>
      </c>
      <c r="L30" s="17" t="s">
        <v>283</v>
      </c>
    </row>
    <row r="31" spans="1:12" x14ac:dyDescent="0.35">
      <c r="A31" s="8"/>
      <c r="B31" s="9"/>
      <c r="C31" s="119" t="s">
        <v>60</v>
      </c>
      <c r="D31" s="13"/>
      <c r="E31" s="119"/>
      <c r="F31" s="9" t="s">
        <v>61</v>
      </c>
      <c r="G31" s="86">
        <v>164394.44</v>
      </c>
      <c r="H31" s="16" t="s">
        <v>15</v>
      </c>
      <c r="I31" s="86">
        <v>164394.44</v>
      </c>
      <c r="J31" s="86"/>
      <c r="K31" s="69">
        <f t="shared" si="0"/>
        <v>164394.44</v>
      </c>
      <c r="L31" s="17"/>
    </row>
    <row r="32" spans="1:12" x14ac:dyDescent="0.35">
      <c r="A32" s="8"/>
      <c r="B32" s="9"/>
      <c r="C32" s="119" t="s">
        <v>62</v>
      </c>
      <c r="D32" s="13"/>
      <c r="E32" s="119"/>
      <c r="F32" s="9" t="s">
        <v>63</v>
      </c>
      <c r="G32" s="86">
        <f>543797.5-27417</f>
        <v>516380.5</v>
      </c>
      <c r="H32" s="16" t="s">
        <v>24</v>
      </c>
      <c r="I32" s="86"/>
      <c r="J32" s="86">
        <v>516380.5</v>
      </c>
      <c r="K32" s="69">
        <f t="shared" si="0"/>
        <v>516380.5</v>
      </c>
      <c r="L32" s="17" t="s">
        <v>259</v>
      </c>
    </row>
    <row r="33" spans="1:12" x14ac:dyDescent="0.35">
      <c r="A33" s="9"/>
      <c r="B33" s="9"/>
      <c r="C33" s="119" t="s">
        <v>64</v>
      </c>
      <c r="D33" s="9"/>
      <c r="E33" s="119"/>
      <c r="F33" s="9" t="s">
        <v>65</v>
      </c>
      <c r="G33" s="86"/>
      <c r="H33" s="16"/>
      <c r="I33" s="86"/>
      <c r="J33" s="86"/>
      <c r="K33" s="69">
        <f t="shared" si="0"/>
        <v>0</v>
      </c>
      <c r="L33" s="17"/>
    </row>
    <row r="34" spans="1:12" x14ac:dyDescent="0.35">
      <c r="A34" s="9"/>
      <c r="B34" s="9"/>
      <c r="C34" s="119" t="s">
        <v>66</v>
      </c>
      <c r="D34" s="9"/>
      <c r="E34" s="9"/>
      <c r="F34" s="9" t="s">
        <v>67</v>
      </c>
      <c r="G34" s="86"/>
      <c r="H34" s="16"/>
      <c r="I34" s="86"/>
      <c r="J34" s="86"/>
      <c r="K34" s="69">
        <f t="shared" si="0"/>
        <v>0</v>
      </c>
      <c r="L34" s="17"/>
    </row>
    <row r="35" spans="1:12" x14ac:dyDescent="0.35">
      <c r="A35" s="9"/>
      <c r="B35" s="9"/>
      <c r="C35" s="119" t="s">
        <v>68</v>
      </c>
      <c r="D35" s="9"/>
      <c r="E35" s="119"/>
      <c r="F35" s="9" t="s">
        <v>69</v>
      </c>
      <c r="G35" s="86"/>
      <c r="H35" s="16"/>
      <c r="I35" s="86"/>
      <c r="J35" s="86"/>
      <c r="K35" s="69">
        <f t="shared" si="0"/>
        <v>0</v>
      </c>
      <c r="L35" s="17"/>
    </row>
    <row r="36" spans="1:12" x14ac:dyDescent="0.35">
      <c r="A36" s="9"/>
      <c r="B36" s="9"/>
      <c r="C36" s="119" t="s">
        <v>70</v>
      </c>
      <c r="D36" s="9"/>
      <c r="E36" s="9"/>
      <c r="F36" s="9" t="s">
        <v>71</v>
      </c>
      <c r="G36" s="86"/>
      <c r="H36" s="16"/>
      <c r="I36" s="86"/>
      <c r="J36" s="86"/>
      <c r="K36" s="69">
        <f t="shared" si="0"/>
        <v>0</v>
      </c>
      <c r="L36" s="17"/>
    </row>
    <row r="37" spans="1:12" x14ac:dyDescent="0.35">
      <c r="A37" s="9"/>
      <c r="B37" s="9"/>
      <c r="C37" s="119" t="s">
        <v>72</v>
      </c>
      <c r="D37" s="9"/>
      <c r="E37" s="121"/>
      <c r="F37" s="9" t="s">
        <v>73</v>
      </c>
      <c r="G37" s="86"/>
      <c r="H37" s="16"/>
      <c r="I37" s="86"/>
      <c r="J37" s="86"/>
      <c r="K37" s="69">
        <f t="shared" si="0"/>
        <v>0</v>
      </c>
      <c r="L37" s="17"/>
    </row>
    <row r="38" spans="1:12" x14ac:dyDescent="0.35">
      <c r="A38" s="9"/>
      <c r="B38" s="9"/>
      <c r="C38" s="119" t="s">
        <v>74</v>
      </c>
      <c r="D38" s="9"/>
      <c r="E38" s="9"/>
      <c r="F38" s="9" t="s">
        <v>75</v>
      </c>
      <c r="G38" s="86"/>
      <c r="H38" s="16"/>
      <c r="I38" s="86"/>
      <c r="J38" s="86"/>
      <c r="K38" s="69">
        <f t="shared" si="0"/>
        <v>0</v>
      </c>
      <c r="L38" s="17"/>
    </row>
    <row r="39" spans="1:12" x14ac:dyDescent="0.35">
      <c r="A39" s="9"/>
      <c r="B39" s="9"/>
      <c r="C39" s="119" t="s">
        <v>76</v>
      </c>
      <c r="D39" s="9"/>
      <c r="E39" s="9"/>
      <c r="F39" s="9" t="s">
        <v>77</v>
      </c>
      <c r="G39" s="86"/>
      <c r="H39" s="16"/>
      <c r="I39" s="86"/>
      <c r="J39" s="86"/>
      <c r="K39" s="69">
        <f t="shared" si="0"/>
        <v>0</v>
      </c>
      <c r="L39" s="17"/>
    </row>
    <row r="40" spans="1:12" x14ac:dyDescent="0.35">
      <c r="A40" s="9"/>
      <c r="B40" s="9"/>
      <c r="C40" s="119" t="s">
        <v>78</v>
      </c>
      <c r="D40" s="9"/>
      <c r="E40" s="9"/>
      <c r="F40" s="9" t="s">
        <v>79</v>
      </c>
      <c r="G40" s="86"/>
      <c r="H40" s="16"/>
      <c r="I40" s="86"/>
      <c r="J40" s="86"/>
      <c r="K40" s="69">
        <f t="shared" si="0"/>
        <v>0</v>
      </c>
      <c r="L40" s="17"/>
    </row>
    <row r="41" spans="1:12" x14ac:dyDescent="0.35">
      <c r="A41" s="9"/>
      <c r="B41" s="9"/>
      <c r="C41" s="119" t="s">
        <v>80</v>
      </c>
      <c r="D41" s="9"/>
      <c r="E41" s="9"/>
      <c r="F41" s="9" t="s">
        <v>81</v>
      </c>
      <c r="G41" s="86"/>
      <c r="H41" s="16"/>
      <c r="I41" s="86"/>
      <c r="J41" s="86"/>
      <c r="K41" s="69">
        <f t="shared" si="0"/>
        <v>0</v>
      </c>
      <c r="L41" s="17"/>
    </row>
    <row r="42" spans="1:12" x14ac:dyDescent="0.35">
      <c r="A42" s="9"/>
      <c r="B42" s="9" t="s">
        <v>82</v>
      </c>
      <c r="C42" s="119"/>
      <c r="D42" s="9"/>
      <c r="E42" s="9" t="s">
        <v>83</v>
      </c>
      <c r="F42" s="9"/>
      <c r="G42" s="69">
        <f>SUM(G43:G63)</f>
        <v>5976160.46</v>
      </c>
      <c r="H42" s="9"/>
      <c r="I42" s="69">
        <f>SUM(I43:I63)</f>
        <v>936883.96</v>
      </c>
      <c r="J42" s="69">
        <f>SUM(J43:J63)</f>
        <v>5039276.4999999991</v>
      </c>
      <c r="K42" s="69"/>
      <c r="L42" s="14"/>
    </row>
    <row r="43" spans="1:12" x14ac:dyDescent="0.35">
      <c r="A43" s="9"/>
      <c r="B43" s="9"/>
      <c r="C43" s="119" t="s">
        <v>84</v>
      </c>
      <c r="D43" s="9"/>
      <c r="E43" s="9"/>
      <c r="F43" s="9" t="s">
        <v>85</v>
      </c>
      <c r="G43" s="86">
        <v>503354.79</v>
      </c>
      <c r="H43" s="16" t="s">
        <v>24</v>
      </c>
      <c r="I43" s="86"/>
      <c r="J43" s="86">
        <v>503354.79</v>
      </c>
      <c r="K43" s="69">
        <f t="shared" si="0"/>
        <v>503354.79</v>
      </c>
      <c r="L43" s="17" t="s">
        <v>251</v>
      </c>
    </row>
    <row r="44" spans="1:12" x14ac:dyDescent="0.35">
      <c r="A44" s="9"/>
      <c r="B44" s="9"/>
      <c r="C44" s="119" t="s">
        <v>86</v>
      </c>
      <c r="D44" s="9"/>
      <c r="E44" s="9"/>
      <c r="F44" s="9" t="s">
        <v>87</v>
      </c>
      <c r="G44" s="86">
        <v>1849011.84</v>
      </c>
      <c r="H44" s="16" t="s">
        <v>24</v>
      </c>
      <c r="I44" s="86"/>
      <c r="J44" s="86">
        <v>1849011.84</v>
      </c>
      <c r="K44" s="69">
        <f t="shared" si="0"/>
        <v>1849011.84</v>
      </c>
      <c r="L44" s="17" t="s">
        <v>252</v>
      </c>
    </row>
    <row r="45" spans="1:12" x14ac:dyDescent="0.35">
      <c r="A45" s="9"/>
      <c r="B45" s="9"/>
      <c r="C45" s="119" t="s">
        <v>88</v>
      </c>
      <c r="D45" s="9"/>
      <c r="E45" s="9"/>
      <c r="F45" s="9" t="s">
        <v>89</v>
      </c>
      <c r="G45" s="86"/>
      <c r="H45" s="16"/>
      <c r="I45" s="86"/>
      <c r="J45" s="86"/>
      <c r="K45" s="69">
        <f t="shared" si="0"/>
        <v>0</v>
      </c>
      <c r="L45" s="17"/>
    </row>
    <row r="46" spans="1:12" x14ac:dyDescent="0.35">
      <c r="A46" s="9"/>
      <c r="B46" s="9"/>
      <c r="C46" s="119" t="s">
        <v>90</v>
      </c>
      <c r="D46" s="9"/>
      <c r="E46" s="9"/>
      <c r="F46" s="9" t="s">
        <v>91</v>
      </c>
      <c r="G46" s="86">
        <f>1948788.24+97527.76</f>
        <v>2046316</v>
      </c>
      <c r="H46" s="16" t="s">
        <v>24</v>
      </c>
      <c r="I46" s="86"/>
      <c r="J46" s="86">
        <v>2046316</v>
      </c>
      <c r="K46" s="69">
        <f t="shared" si="0"/>
        <v>2046316</v>
      </c>
      <c r="L46" s="17"/>
    </row>
    <row r="47" spans="1:12" x14ac:dyDescent="0.35">
      <c r="A47" s="9"/>
      <c r="B47" s="9"/>
      <c r="C47" s="119" t="s">
        <v>92</v>
      </c>
      <c r="D47" s="9"/>
      <c r="E47" s="9"/>
      <c r="F47" s="9" t="s">
        <v>93</v>
      </c>
      <c r="G47" s="86">
        <f>706011.16+5224</f>
        <v>711235.16</v>
      </c>
      <c r="H47" s="16" t="s">
        <v>15</v>
      </c>
      <c r="I47" s="86">
        <v>711235.15999999992</v>
      </c>
      <c r="J47" s="86"/>
      <c r="K47" s="69">
        <f t="shared" si="0"/>
        <v>711235.15999999992</v>
      </c>
      <c r="L47" s="17"/>
    </row>
    <row r="48" spans="1:12" x14ac:dyDescent="0.35">
      <c r="A48" s="9"/>
      <c r="B48" s="9"/>
      <c r="C48" s="119" t="s">
        <v>94</v>
      </c>
      <c r="D48" s="9"/>
      <c r="E48" s="9"/>
      <c r="F48" s="9" t="s">
        <v>95</v>
      </c>
      <c r="G48" s="86"/>
      <c r="H48" s="16"/>
      <c r="I48" s="86"/>
      <c r="J48" s="86"/>
      <c r="K48" s="69">
        <f t="shared" si="0"/>
        <v>0</v>
      </c>
      <c r="L48" s="17"/>
    </row>
    <row r="49" spans="1:12" x14ac:dyDescent="0.35">
      <c r="A49" s="9"/>
      <c r="B49" s="9"/>
      <c r="C49" s="119" t="s">
        <v>96</v>
      </c>
      <c r="D49" s="9"/>
      <c r="E49" s="9"/>
      <c r="F49" s="9" t="s">
        <v>97</v>
      </c>
      <c r="G49" s="86">
        <v>145587.86000000002</v>
      </c>
      <c r="H49" s="16" t="s">
        <v>15</v>
      </c>
      <c r="I49" s="86">
        <v>145587.86000000002</v>
      </c>
      <c r="J49" s="86"/>
      <c r="K49" s="69">
        <f t="shared" si="0"/>
        <v>145587.86000000002</v>
      </c>
      <c r="L49" s="17"/>
    </row>
    <row r="50" spans="1:12" x14ac:dyDescent="0.35">
      <c r="A50" s="9"/>
      <c r="B50" s="9"/>
      <c r="C50" s="119" t="s">
        <v>98</v>
      </c>
      <c r="D50" s="9"/>
      <c r="E50" s="9"/>
      <c r="F50" s="9" t="s">
        <v>99</v>
      </c>
      <c r="G50" s="86"/>
      <c r="H50" s="16"/>
      <c r="I50" s="86"/>
      <c r="J50" s="86"/>
      <c r="K50" s="69">
        <f t="shared" si="0"/>
        <v>0</v>
      </c>
      <c r="L50" s="17"/>
    </row>
    <row r="51" spans="1:12" x14ac:dyDescent="0.35">
      <c r="A51" s="9"/>
      <c r="B51" s="9"/>
      <c r="C51" s="119" t="s">
        <v>100</v>
      </c>
      <c r="D51" s="9"/>
      <c r="E51" s="9"/>
      <c r="F51" s="9" t="s">
        <v>101</v>
      </c>
      <c r="G51" s="86"/>
      <c r="H51" s="16"/>
      <c r="I51" s="86"/>
      <c r="J51" s="86"/>
      <c r="K51" s="69">
        <f t="shared" si="0"/>
        <v>0</v>
      </c>
      <c r="L51" s="17"/>
    </row>
    <row r="52" spans="1:12" x14ac:dyDescent="0.35">
      <c r="A52" s="9"/>
      <c r="B52" s="9"/>
      <c r="C52" s="119" t="s">
        <v>102</v>
      </c>
      <c r="D52" s="9"/>
      <c r="E52" s="9"/>
      <c r="F52" s="9" t="s">
        <v>103</v>
      </c>
      <c r="G52" s="86"/>
      <c r="H52" s="16"/>
      <c r="I52" s="86"/>
      <c r="J52" s="86"/>
      <c r="K52" s="69">
        <f t="shared" si="0"/>
        <v>0</v>
      </c>
      <c r="L52" s="17"/>
    </row>
    <row r="53" spans="1:12" x14ac:dyDescent="0.35">
      <c r="A53" s="9"/>
      <c r="B53" s="9"/>
      <c r="C53" s="119" t="s">
        <v>104</v>
      </c>
      <c r="D53" s="9"/>
      <c r="E53" s="9"/>
      <c r="F53" s="9" t="s">
        <v>105</v>
      </c>
      <c r="G53" s="86"/>
      <c r="H53" s="16"/>
      <c r="I53" s="86"/>
      <c r="J53" s="86"/>
      <c r="K53" s="69">
        <f t="shared" si="0"/>
        <v>0</v>
      </c>
      <c r="L53" s="17"/>
    </row>
    <row r="54" spans="1:12" x14ac:dyDescent="0.35">
      <c r="A54" s="9"/>
      <c r="B54" s="9"/>
      <c r="C54" s="119" t="s">
        <v>106</v>
      </c>
      <c r="D54" s="9"/>
      <c r="E54" s="9"/>
      <c r="F54" s="9" t="s">
        <v>107</v>
      </c>
      <c r="G54" s="86">
        <v>123520.35</v>
      </c>
      <c r="H54" s="16" t="s">
        <v>24</v>
      </c>
      <c r="I54" s="86"/>
      <c r="J54" s="86">
        <v>123520.35</v>
      </c>
      <c r="K54" s="69">
        <f t="shared" si="0"/>
        <v>123520.35</v>
      </c>
      <c r="L54" s="17"/>
    </row>
    <row r="55" spans="1:12" x14ac:dyDescent="0.35">
      <c r="A55" s="9"/>
      <c r="B55" s="9"/>
      <c r="C55" s="119" t="s">
        <v>108</v>
      </c>
      <c r="D55" s="9"/>
      <c r="E55" s="9"/>
      <c r="F55" s="9" t="s">
        <v>109</v>
      </c>
      <c r="G55" s="86">
        <v>254569.79</v>
      </c>
      <c r="H55" s="16" t="s">
        <v>24</v>
      </c>
      <c r="I55" s="86"/>
      <c r="J55" s="86">
        <v>254569.79</v>
      </c>
      <c r="K55" s="69">
        <f t="shared" si="0"/>
        <v>254569.79</v>
      </c>
      <c r="L55" s="17"/>
    </row>
    <row r="56" spans="1:12" x14ac:dyDescent="0.35">
      <c r="A56" s="9"/>
      <c r="B56" s="9"/>
      <c r="C56" s="119" t="s">
        <v>110</v>
      </c>
      <c r="D56" s="9"/>
      <c r="E56" s="9"/>
      <c r="F56" s="9" t="s">
        <v>111</v>
      </c>
      <c r="G56" s="86">
        <v>89111.64</v>
      </c>
      <c r="H56" s="16" t="s">
        <v>24</v>
      </c>
      <c r="I56" s="86"/>
      <c r="J56" s="86">
        <v>89111.64</v>
      </c>
      <c r="K56" s="69">
        <f t="shared" si="0"/>
        <v>89111.64</v>
      </c>
      <c r="L56" s="17"/>
    </row>
    <row r="57" spans="1:12" x14ac:dyDescent="0.35">
      <c r="A57" s="9"/>
      <c r="B57" s="9"/>
      <c r="C57" s="119" t="s">
        <v>112</v>
      </c>
      <c r="D57" s="9"/>
      <c r="E57" s="9"/>
      <c r="F57" s="9" t="s">
        <v>113</v>
      </c>
      <c r="G57" s="86"/>
      <c r="H57" s="16"/>
      <c r="I57" s="86"/>
      <c r="J57" s="86"/>
      <c r="K57" s="69">
        <f t="shared" si="0"/>
        <v>0</v>
      </c>
      <c r="L57" s="17"/>
    </row>
    <row r="58" spans="1:12" x14ac:dyDescent="0.35">
      <c r="A58" s="9"/>
      <c r="B58" s="9"/>
      <c r="C58" s="119" t="s">
        <v>114</v>
      </c>
      <c r="D58" s="9"/>
      <c r="E58" s="9"/>
      <c r="F58" s="9" t="s">
        <v>115</v>
      </c>
      <c r="G58" s="86"/>
      <c r="H58" s="16"/>
      <c r="I58" s="86"/>
      <c r="J58" s="86"/>
      <c r="K58" s="69">
        <f t="shared" si="0"/>
        <v>0</v>
      </c>
      <c r="L58" s="17"/>
    </row>
    <row r="59" spans="1:12" x14ac:dyDescent="0.35">
      <c r="A59" s="9"/>
      <c r="B59" s="9"/>
      <c r="C59" s="119" t="s">
        <v>116</v>
      </c>
      <c r="D59" s="9"/>
      <c r="E59" s="9"/>
      <c r="F59" s="9" t="s">
        <v>117</v>
      </c>
      <c r="G59" s="86"/>
      <c r="H59" s="16"/>
      <c r="I59" s="86"/>
      <c r="J59" s="86"/>
      <c r="K59" s="69">
        <f t="shared" si="0"/>
        <v>0</v>
      </c>
      <c r="L59" s="17"/>
    </row>
    <row r="60" spans="1:12" x14ac:dyDescent="0.35">
      <c r="A60" s="9"/>
      <c r="B60" s="9"/>
      <c r="C60" s="119" t="s">
        <v>118</v>
      </c>
      <c r="D60" s="9"/>
      <c r="E60" s="9"/>
      <c r="F60" s="9" t="s">
        <v>119</v>
      </c>
      <c r="G60" s="86">
        <v>5644.99</v>
      </c>
      <c r="H60" s="16" t="s">
        <v>226</v>
      </c>
      <c r="I60" s="86"/>
      <c r="J60" s="86">
        <v>5644.99</v>
      </c>
      <c r="K60" s="69">
        <f t="shared" si="0"/>
        <v>5644.99</v>
      </c>
      <c r="L60" s="17"/>
    </row>
    <row r="61" spans="1:12" ht="29" x14ac:dyDescent="0.35">
      <c r="A61" s="9"/>
      <c r="B61" s="9"/>
      <c r="C61" s="119" t="s">
        <v>120</v>
      </c>
      <c r="D61" s="9"/>
      <c r="E61" s="9"/>
      <c r="F61" s="9" t="s">
        <v>121</v>
      </c>
      <c r="G61" s="86">
        <v>80060.94</v>
      </c>
      <c r="H61" s="16" t="s">
        <v>15</v>
      </c>
      <c r="I61" s="86">
        <v>80060.94</v>
      </c>
      <c r="J61" s="86"/>
      <c r="K61" s="69">
        <f t="shared" si="0"/>
        <v>80060.94</v>
      </c>
      <c r="L61" s="17" t="s">
        <v>222</v>
      </c>
    </row>
    <row r="62" spans="1:12" x14ac:dyDescent="0.35">
      <c r="A62" s="9"/>
      <c r="B62" s="9"/>
      <c r="C62" s="119" t="s">
        <v>122</v>
      </c>
      <c r="D62" s="9"/>
      <c r="E62" s="9"/>
      <c r="F62" s="9" t="s">
        <v>123</v>
      </c>
      <c r="G62" s="86">
        <f>254897.26-119107.67</f>
        <v>135789.59000000003</v>
      </c>
      <c r="H62" s="16" t="s">
        <v>24</v>
      </c>
      <c r="I62" s="86"/>
      <c r="J62" s="86">
        <v>135789.59000000003</v>
      </c>
      <c r="K62" s="69">
        <f t="shared" si="0"/>
        <v>135789.59000000003</v>
      </c>
      <c r="L62" s="17" t="s">
        <v>212</v>
      </c>
    </row>
    <row r="63" spans="1:12" x14ac:dyDescent="0.35">
      <c r="A63" s="9"/>
      <c r="B63" s="9"/>
      <c r="C63" s="119" t="s">
        <v>124</v>
      </c>
      <c r="D63" s="9"/>
      <c r="E63" s="9"/>
      <c r="F63" s="9" t="s">
        <v>125</v>
      </c>
      <c r="G63" s="86">
        <v>31957.51</v>
      </c>
      <c r="H63" s="16" t="s">
        <v>24</v>
      </c>
      <c r="I63" s="86"/>
      <c r="J63" s="86">
        <v>31957.51</v>
      </c>
      <c r="K63" s="69">
        <f t="shared" si="0"/>
        <v>31957.51</v>
      </c>
      <c r="L63" s="17"/>
    </row>
    <row r="64" spans="1:12" hidden="1" x14ac:dyDescent="0.35">
      <c r="A64" s="9"/>
      <c r="B64" s="9" t="s">
        <v>126</v>
      </c>
      <c r="C64" s="119"/>
      <c r="D64" s="9"/>
      <c r="E64" s="9" t="s">
        <v>127</v>
      </c>
      <c r="F64" s="9"/>
      <c r="G64" s="69"/>
      <c r="H64" s="9"/>
      <c r="I64" s="69"/>
      <c r="J64" s="69"/>
      <c r="K64" s="69"/>
      <c r="L64" s="14"/>
    </row>
    <row r="65" spans="1:12" hidden="1" x14ac:dyDescent="0.35">
      <c r="A65" s="9"/>
      <c r="B65" s="9" t="s">
        <v>128</v>
      </c>
      <c r="C65" s="119"/>
      <c r="D65" s="9"/>
      <c r="E65" s="9" t="s">
        <v>127</v>
      </c>
      <c r="F65" s="9"/>
      <c r="G65" s="69"/>
      <c r="H65" s="9"/>
      <c r="I65" s="69"/>
      <c r="J65" s="69"/>
      <c r="K65" s="69"/>
      <c r="L65" s="14"/>
    </row>
    <row r="66" spans="1:12" x14ac:dyDescent="0.35">
      <c r="A66" s="9"/>
      <c r="B66" s="9" t="s">
        <v>129</v>
      </c>
      <c r="C66" s="119"/>
      <c r="D66" s="9"/>
      <c r="E66" s="9" t="s">
        <v>130</v>
      </c>
      <c r="F66" s="9"/>
      <c r="G66" s="69">
        <f>SUM(G67:G69)</f>
        <v>0</v>
      </c>
      <c r="H66" s="9"/>
      <c r="I66" s="69">
        <f>SUM(I67:I69)</f>
        <v>0</v>
      </c>
      <c r="J66" s="69">
        <f>SUM(J67:J69)</f>
        <v>0</v>
      </c>
      <c r="K66" s="69"/>
      <c r="L66" s="14"/>
    </row>
    <row r="67" spans="1:12" x14ac:dyDescent="0.35">
      <c r="A67" s="9"/>
      <c r="B67" s="9"/>
      <c r="C67" s="119" t="s">
        <v>131</v>
      </c>
      <c r="D67" s="9"/>
      <c r="E67" s="9"/>
      <c r="F67" s="9" t="s">
        <v>132</v>
      </c>
      <c r="G67" s="86"/>
      <c r="H67" s="16"/>
      <c r="I67" s="86"/>
      <c r="J67" s="86">
        <v>0</v>
      </c>
      <c r="K67" s="69">
        <f>I67+J67</f>
        <v>0</v>
      </c>
      <c r="L67" s="17"/>
    </row>
    <row r="68" spans="1:12" x14ac:dyDescent="0.35">
      <c r="A68" s="9"/>
      <c r="B68" s="9"/>
      <c r="C68" s="119" t="s">
        <v>133</v>
      </c>
      <c r="D68" s="9"/>
      <c r="E68" s="9"/>
      <c r="F68" s="9" t="s">
        <v>134</v>
      </c>
      <c r="G68" s="86"/>
      <c r="H68" s="16"/>
      <c r="I68" s="86"/>
      <c r="J68" s="86"/>
      <c r="K68" s="69">
        <f>I68+J68</f>
        <v>0</v>
      </c>
      <c r="L68" s="17"/>
    </row>
    <row r="69" spans="1:12" x14ac:dyDescent="0.35">
      <c r="A69" s="9"/>
      <c r="B69" s="9"/>
      <c r="C69" s="119" t="s">
        <v>135</v>
      </c>
      <c r="D69" s="9"/>
      <c r="E69" s="9"/>
      <c r="F69" s="9" t="s">
        <v>136</v>
      </c>
      <c r="G69" s="86"/>
      <c r="H69" s="16"/>
      <c r="I69" s="86"/>
      <c r="J69" s="86"/>
      <c r="K69" s="69">
        <f>I69+J69</f>
        <v>0</v>
      </c>
      <c r="L69" s="17"/>
    </row>
    <row r="70" spans="1:12" x14ac:dyDescent="0.35">
      <c r="A70" s="9"/>
      <c r="B70" s="9" t="s">
        <v>137</v>
      </c>
      <c r="C70" s="119"/>
      <c r="D70" s="9"/>
      <c r="E70" s="9" t="s">
        <v>138</v>
      </c>
      <c r="F70" s="9"/>
      <c r="G70" s="69">
        <f>SUM(G71:G73)</f>
        <v>1503827.0799999998</v>
      </c>
      <c r="H70" s="9"/>
      <c r="I70" s="69">
        <f>SUM(I71:I73)</f>
        <v>49288.85</v>
      </c>
      <c r="J70" s="69">
        <f>SUM(J71:J73)</f>
        <v>1454538.23</v>
      </c>
      <c r="K70" s="69"/>
      <c r="L70" s="14"/>
    </row>
    <row r="71" spans="1:12" x14ac:dyDescent="0.35">
      <c r="A71" s="9"/>
      <c r="B71" s="9"/>
      <c r="C71" s="119" t="s">
        <v>139</v>
      </c>
      <c r="D71" s="9"/>
      <c r="E71" s="9"/>
      <c r="F71" s="9" t="s">
        <v>140</v>
      </c>
      <c r="G71" s="86">
        <v>25114.75</v>
      </c>
      <c r="H71" s="16" t="s">
        <v>24</v>
      </c>
      <c r="I71" s="86"/>
      <c r="J71" s="86">
        <v>25114.75</v>
      </c>
      <c r="K71" s="69">
        <f>I71+J71</f>
        <v>25114.75</v>
      </c>
      <c r="L71" s="17" t="s">
        <v>213</v>
      </c>
    </row>
    <row r="72" spans="1:12" x14ac:dyDescent="0.35">
      <c r="A72" s="9"/>
      <c r="B72" s="9"/>
      <c r="C72" s="119" t="s">
        <v>141</v>
      </c>
      <c r="D72" s="9"/>
      <c r="E72" s="9"/>
      <c r="F72" s="9" t="s">
        <v>142</v>
      </c>
      <c r="G72" s="86">
        <v>985776.94</v>
      </c>
      <c r="H72" s="16" t="s">
        <v>59</v>
      </c>
      <c r="I72" s="86">
        <v>49288.85</v>
      </c>
      <c r="J72" s="86">
        <f>985776.94-49288.85</f>
        <v>936488.09</v>
      </c>
      <c r="K72" s="69">
        <f>I72+J72</f>
        <v>985776.94</v>
      </c>
      <c r="L72" s="17" t="s">
        <v>237</v>
      </c>
    </row>
    <row r="73" spans="1:12" x14ac:dyDescent="0.35">
      <c r="A73" s="9"/>
      <c r="B73" s="9"/>
      <c r="C73" s="119" t="s">
        <v>143</v>
      </c>
      <c r="D73" s="9"/>
      <c r="E73" s="9"/>
      <c r="F73" s="9" t="s">
        <v>144</v>
      </c>
      <c r="G73" s="86">
        <v>492935.38999999996</v>
      </c>
      <c r="H73" s="16" t="s">
        <v>24</v>
      </c>
      <c r="I73" s="86"/>
      <c r="J73" s="86">
        <v>492935.38999999996</v>
      </c>
      <c r="K73" s="69">
        <f>I73+J73</f>
        <v>492935.38999999996</v>
      </c>
      <c r="L73" s="17" t="s">
        <v>214</v>
      </c>
    </row>
    <row r="74" spans="1:12" hidden="1" x14ac:dyDescent="0.35">
      <c r="A74" s="9"/>
      <c r="B74" s="9" t="s">
        <v>145</v>
      </c>
      <c r="C74" s="119"/>
      <c r="D74" s="9"/>
      <c r="E74" s="9" t="s">
        <v>127</v>
      </c>
      <c r="F74" s="9"/>
      <c r="G74" s="69"/>
      <c r="H74" s="9"/>
      <c r="I74" s="69"/>
      <c r="J74" s="69"/>
      <c r="K74" s="69"/>
      <c r="L74" s="14"/>
    </row>
    <row r="75" spans="1:12" hidden="1" x14ac:dyDescent="0.35">
      <c r="A75" s="9"/>
      <c r="B75" s="9" t="s">
        <v>146</v>
      </c>
      <c r="C75" s="119"/>
      <c r="D75" s="9"/>
      <c r="E75" s="9" t="s">
        <v>127</v>
      </c>
      <c r="F75" s="9"/>
      <c r="G75" s="69"/>
      <c r="H75" s="9"/>
      <c r="I75" s="69"/>
      <c r="J75" s="69"/>
      <c r="K75" s="69"/>
      <c r="L75" s="14"/>
    </row>
    <row r="76" spans="1:12" s="7" customFormat="1" x14ac:dyDescent="0.35">
      <c r="A76" s="4" t="s">
        <v>147</v>
      </c>
      <c r="B76" s="4"/>
      <c r="C76" s="122"/>
      <c r="D76" s="4"/>
      <c r="E76" s="4"/>
      <c r="F76" s="4"/>
      <c r="G76" s="138">
        <f>G8+G25+G42+G66+G70</f>
        <v>12154287.98</v>
      </c>
      <c r="H76" s="88"/>
      <c r="I76" s="138">
        <f>I8+I25+I42+I66+I70</f>
        <v>3373819.4499999997</v>
      </c>
      <c r="J76" s="138">
        <f>J8+J25+J42+J66+J70</f>
        <v>8780468.5299999993</v>
      </c>
      <c r="K76" s="69">
        <f>I76+J76</f>
        <v>12154287.979999999</v>
      </c>
      <c r="L76" s="25"/>
    </row>
    <row r="77" spans="1:12" x14ac:dyDescent="0.35">
      <c r="F77" s="139" t="s">
        <v>200</v>
      </c>
      <c r="G77" s="140">
        <f>'[17]CA2 Detail'!L173</f>
        <v>12154287.98</v>
      </c>
      <c r="H77" s="13"/>
      <c r="I77" s="89">
        <f>I76/G76</f>
        <v>0.27758264865466842</v>
      </c>
      <c r="J77" s="89">
        <f>J76/G76</f>
        <v>0.72241735134533147</v>
      </c>
      <c r="K77" s="27"/>
    </row>
    <row r="79" spans="1:12" x14ac:dyDescent="0.35">
      <c r="F79" s="142" t="s">
        <v>201</v>
      </c>
    </row>
    <row r="80" spans="1:12" hidden="1" x14ac:dyDescent="0.35">
      <c r="H80" t="s">
        <v>15</v>
      </c>
    </row>
    <row r="81" spans="3:11" hidden="1" x14ac:dyDescent="0.35">
      <c r="C81"/>
      <c r="H81" t="s">
        <v>24</v>
      </c>
    </row>
    <row r="82" spans="3:11" hidden="1" x14ac:dyDescent="0.35">
      <c r="C82"/>
      <c r="H82" t="s">
        <v>59</v>
      </c>
    </row>
    <row r="83" spans="3:11" x14ac:dyDescent="0.35">
      <c r="C83"/>
      <c r="H83" s="139" t="s">
        <v>202</v>
      </c>
      <c r="I83" s="69">
        <f>'[17]CA2 Detail'!W121-'[17]CA2 Detail'!J203</f>
        <v>57342662.309999987</v>
      </c>
      <c r="J83" s="161">
        <f>I76/I83</f>
        <v>5.8836114580114972E-2</v>
      </c>
      <c r="K83" s="142" t="s">
        <v>203</v>
      </c>
    </row>
    <row r="97" customFormat="1" x14ac:dyDescent="0.35"/>
    <row r="98" customFormat="1" x14ac:dyDescent="0.35"/>
    <row r="99" customFormat="1" x14ac:dyDescent="0.35"/>
    <row r="100" customFormat="1" x14ac:dyDescent="0.35"/>
    <row r="101" customFormat="1" x14ac:dyDescent="0.35"/>
    <row r="102" customFormat="1" x14ac:dyDescent="0.35"/>
    <row r="103" customFormat="1" x14ac:dyDescent="0.35"/>
    <row r="104" customFormat="1" x14ac:dyDescent="0.35"/>
    <row r="105" customFormat="1" x14ac:dyDescent="0.35"/>
    <row r="106" customFormat="1" x14ac:dyDescent="0.35"/>
    <row r="107" customFormat="1" x14ac:dyDescent="0.35"/>
    <row r="108" customFormat="1" x14ac:dyDescent="0.35"/>
    <row r="109" customFormat="1" x14ac:dyDescent="0.35"/>
  </sheetData>
  <conditionalFormatting sqref="G76">
    <cfRule type="cellIs" dxfId="149" priority="1" operator="notEqual">
      <formula>$G$77</formula>
    </cfRule>
    <cfRule type="cellIs" dxfId="148" priority="2" operator="equal">
      <formula>$G$77</formula>
    </cfRule>
  </conditionalFormatting>
  <conditionalFormatting sqref="K9:K24">
    <cfRule type="cellIs" dxfId="147" priority="13" operator="notEqual">
      <formula>G9</formula>
    </cfRule>
    <cfRule type="cellIs" dxfId="146" priority="14" operator="equal">
      <formula>G9</formula>
    </cfRule>
  </conditionalFormatting>
  <conditionalFormatting sqref="K26:K41">
    <cfRule type="cellIs" dxfId="145" priority="11" operator="notEqual">
      <formula>G26</formula>
    </cfRule>
    <cfRule type="cellIs" dxfId="144" priority="12" operator="equal">
      <formula>G26</formula>
    </cfRule>
  </conditionalFormatting>
  <conditionalFormatting sqref="K43:K63">
    <cfRule type="cellIs" dxfId="143" priority="9" operator="notEqual">
      <formula>G43</formula>
    </cfRule>
    <cfRule type="cellIs" dxfId="142" priority="10" operator="equal">
      <formula>G43</formula>
    </cfRule>
  </conditionalFormatting>
  <conditionalFormatting sqref="K67:K69">
    <cfRule type="cellIs" dxfId="141" priority="7" operator="notEqual">
      <formula>G67</formula>
    </cfRule>
    <cfRule type="cellIs" dxfId="140" priority="8" operator="equal">
      <formula>G67</formula>
    </cfRule>
  </conditionalFormatting>
  <conditionalFormatting sqref="K71:K73">
    <cfRule type="cellIs" dxfId="139" priority="5" operator="notEqual">
      <formula>G71</formula>
    </cfRule>
    <cfRule type="cellIs" dxfId="138" priority="6" operator="equal">
      <formula>G71</formula>
    </cfRule>
  </conditionalFormatting>
  <conditionalFormatting sqref="K76">
    <cfRule type="cellIs" dxfId="137" priority="3" operator="notEqual">
      <formula>G76</formula>
    </cfRule>
    <cfRule type="cellIs" dxfId="136" priority="4" operator="equal">
      <formula>G76</formula>
    </cfRule>
  </conditionalFormatting>
  <dataValidations count="1">
    <dataValidation type="list" allowBlank="1" showInputMessage="1" showErrorMessage="1" sqref="H9:H75 JD9:JD75 SZ9:SZ75 ACV9:ACV75 AMR9:AMR75 AWN9:AWN75 BGJ9:BGJ75 BQF9:BQF75 CAB9:CAB75 CJX9:CJX75 CTT9:CTT75 DDP9:DDP75 DNL9:DNL75 DXH9:DXH75 EHD9:EHD75 EQZ9:EQZ75 FAV9:FAV75 FKR9:FKR75 FUN9:FUN75 GEJ9:GEJ75 GOF9:GOF75 GYB9:GYB75 HHX9:HHX75 HRT9:HRT75 IBP9:IBP75 ILL9:ILL75 IVH9:IVH75 JFD9:JFD75 JOZ9:JOZ75 JYV9:JYV75 KIR9:KIR75 KSN9:KSN75 LCJ9:LCJ75 LMF9:LMF75 LWB9:LWB75 MFX9:MFX75 MPT9:MPT75 MZP9:MZP75 NJL9:NJL75 NTH9:NTH75 ODD9:ODD75 OMZ9:OMZ75 OWV9:OWV75 PGR9:PGR75 PQN9:PQN75 QAJ9:QAJ75 QKF9:QKF75 QUB9:QUB75 RDX9:RDX75 RNT9:RNT75 RXP9:RXP75 SHL9:SHL75 SRH9:SRH75 TBD9:TBD75 TKZ9:TKZ75 TUV9:TUV75 UER9:UER75 UON9:UON75 UYJ9:UYJ75 VIF9:VIF75 VSB9:VSB75 WBX9:WBX75 WLT9:WLT75 WVP9:WVP75 H65545:H65611 JD65545:JD65611 SZ65545:SZ65611 ACV65545:ACV65611 AMR65545:AMR65611 AWN65545:AWN65611 BGJ65545:BGJ65611 BQF65545:BQF65611 CAB65545:CAB65611 CJX65545:CJX65611 CTT65545:CTT65611 DDP65545:DDP65611 DNL65545:DNL65611 DXH65545:DXH65611 EHD65545:EHD65611 EQZ65545:EQZ65611 FAV65545:FAV65611 FKR65545:FKR65611 FUN65545:FUN65611 GEJ65545:GEJ65611 GOF65545:GOF65611 GYB65545:GYB65611 HHX65545:HHX65611 HRT65545:HRT65611 IBP65545:IBP65611 ILL65545:ILL65611 IVH65545:IVH65611 JFD65545:JFD65611 JOZ65545:JOZ65611 JYV65545:JYV65611 KIR65545:KIR65611 KSN65545:KSN65611 LCJ65545:LCJ65611 LMF65545:LMF65611 LWB65545:LWB65611 MFX65545:MFX65611 MPT65545:MPT65611 MZP65545:MZP65611 NJL65545:NJL65611 NTH65545:NTH65611 ODD65545:ODD65611 OMZ65545:OMZ65611 OWV65545:OWV65611 PGR65545:PGR65611 PQN65545:PQN65611 QAJ65545:QAJ65611 QKF65545:QKF65611 QUB65545:QUB65611 RDX65545:RDX65611 RNT65545:RNT65611 RXP65545:RXP65611 SHL65545:SHL65611 SRH65545:SRH65611 TBD65545:TBD65611 TKZ65545:TKZ65611 TUV65545:TUV65611 UER65545:UER65611 UON65545:UON65611 UYJ65545:UYJ65611 VIF65545:VIF65611 VSB65545:VSB65611 WBX65545:WBX65611 WLT65545:WLT65611 WVP65545:WVP65611 H131081:H131147 JD131081:JD131147 SZ131081:SZ131147 ACV131081:ACV131147 AMR131081:AMR131147 AWN131081:AWN131147 BGJ131081:BGJ131147 BQF131081:BQF131147 CAB131081:CAB131147 CJX131081:CJX131147 CTT131081:CTT131147 DDP131081:DDP131147 DNL131081:DNL131147 DXH131081:DXH131147 EHD131081:EHD131147 EQZ131081:EQZ131147 FAV131081:FAV131147 FKR131081:FKR131147 FUN131081:FUN131147 GEJ131081:GEJ131147 GOF131081:GOF131147 GYB131081:GYB131147 HHX131081:HHX131147 HRT131081:HRT131147 IBP131081:IBP131147 ILL131081:ILL131147 IVH131081:IVH131147 JFD131081:JFD131147 JOZ131081:JOZ131147 JYV131081:JYV131147 KIR131081:KIR131147 KSN131081:KSN131147 LCJ131081:LCJ131147 LMF131081:LMF131147 LWB131081:LWB131147 MFX131081:MFX131147 MPT131081:MPT131147 MZP131081:MZP131147 NJL131081:NJL131147 NTH131081:NTH131147 ODD131081:ODD131147 OMZ131081:OMZ131147 OWV131081:OWV131147 PGR131081:PGR131147 PQN131081:PQN131147 QAJ131081:QAJ131147 QKF131081:QKF131147 QUB131081:QUB131147 RDX131081:RDX131147 RNT131081:RNT131147 RXP131081:RXP131147 SHL131081:SHL131147 SRH131081:SRH131147 TBD131081:TBD131147 TKZ131081:TKZ131147 TUV131081:TUV131147 UER131081:UER131147 UON131081:UON131147 UYJ131081:UYJ131147 VIF131081:VIF131147 VSB131081:VSB131147 WBX131081:WBX131147 WLT131081:WLT131147 WVP131081:WVP131147 H196617:H196683 JD196617:JD196683 SZ196617:SZ196683 ACV196617:ACV196683 AMR196617:AMR196683 AWN196617:AWN196683 BGJ196617:BGJ196683 BQF196617:BQF196683 CAB196617:CAB196683 CJX196617:CJX196683 CTT196617:CTT196683 DDP196617:DDP196683 DNL196617:DNL196683 DXH196617:DXH196683 EHD196617:EHD196683 EQZ196617:EQZ196683 FAV196617:FAV196683 FKR196617:FKR196683 FUN196617:FUN196683 GEJ196617:GEJ196683 GOF196617:GOF196683 GYB196617:GYB196683 HHX196617:HHX196683 HRT196617:HRT196683 IBP196617:IBP196683 ILL196617:ILL196683 IVH196617:IVH196683 JFD196617:JFD196683 JOZ196617:JOZ196683 JYV196617:JYV196683 KIR196617:KIR196683 KSN196617:KSN196683 LCJ196617:LCJ196683 LMF196617:LMF196683 LWB196617:LWB196683 MFX196617:MFX196683 MPT196617:MPT196683 MZP196617:MZP196683 NJL196617:NJL196683 NTH196617:NTH196683 ODD196617:ODD196683 OMZ196617:OMZ196683 OWV196617:OWV196683 PGR196617:PGR196683 PQN196617:PQN196683 QAJ196617:QAJ196683 QKF196617:QKF196683 QUB196617:QUB196683 RDX196617:RDX196683 RNT196617:RNT196683 RXP196617:RXP196683 SHL196617:SHL196683 SRH196617:SRH196683 TBD196617:TBD196683 TKZ196617:TKZ196683 TUV196617:TUV196683 UER196617:UER196683 UON196617:UON196683 UYJ196617:UYJ196683 VIF196617:VIF196683 VSB196617:VSB196683 WBX196617:WBX196683 WLT196617:WLT196683 WVP196617:WVP196683 H262153:H262219 JD262153:JD262219 SZ262153:SZ262219 ACV262153:ACV262219 AMR262153:AMR262219 AWN262153:AWN262219 BGJ262153:BGJ262219 BQF262153:BQF262219 CAB262153:CAB262219 CJX262153:CJX262219 CTT262153:CTT262219 DDP262153:DDP262219 DNL262153:DNL262219 DXH262153:DXH262219 EHD262153:EHD262219 EQZ262153:EQZ262219 FAV262153:FAV262219 FKR262153:FKR262219 FUN262153:FUN262219 GEJ262153:GEJ262219 GOF262153:GOF262219 GYB262153:GYB262219 HHX262153:HHX262219 HRT262153:HRT262219 IBP262153:IBP262219 ILL262153:ILL262219 IVH262153:IVH262219 JFD262153:JFD262219 JOZ262153:JOZ262219 JYV262153:JYV262219 KIR262153:KIR262219 KSN262153:KSN262219 LCJ262153:LCJ262219 LMF262153:LMF262219 LWB262153:LWB262219 MFX262153:MFX262219 MPT262153:MPT262219 MZP262153:MZP262219 NJL262153:NJL262219 NTH262153:NTH262219 ODD262153:ODD262219 OMZ262153:OMZ262219 OWV262153:OWV262219 PGR262153:PGR262219 PQN262153:PQN262219 QAJ262153:QAJ262219 QKF262153:QKF262219 QUB262153:QUB262219 RDX262153:RDX262219 RNT262153:RNT262219 RXP262153:RXP262219 SHL262153:SHL262219 SRH262153:SRH262219 TBD262153:TBD262219 TKZ262153:TKZ262219 TUV262153:TUV262219 UER262153:UER262219 UON262153:UON262219 UYJ262153:UYJ262219 VIF262153:VIF262219 VSB262153:VSB262219 WBX262153:WBX262219 WLT262153:WLT262219 WVP262153:WVP262219 H327689:H327755 JD327689:JD327755 SZ327689:SZ327755 ACV327689:ACV327755 AMR327689:AMR327755 AWN327689:AWN327755 BGJ327689:BGJ327755 BQF327689:BQF327755 CAB327689:CAB327755 CJX327689:CJX327755 CTT327689:CTT327755 DDP327689:DDP327755 DNL327689:DNL327755 DXH327689:DXH327755 EHD327689:EHD327755 EQZ327689:EQZ327755 FAV327689:FAV327755 FKR327689:FKR327755 FUN327689:FUN327755 GEJ327689:GEJ327755 GOF327689:GOF327755 GYB327689:GYB327755 HHX327689:HHX327755 HRT327689:HRT327755 IBP327689:IBP327755 ILL327689:ILL327755 IVH327689:IVH327755 JFD327689:JFD327755 JOZ327689:JOZ327755 JYV327689:JYV327755 KIR327689:KIR327755 KSN327689:KSN327755 LCJ327689:LCJ327755 LMF327689:LMF327755 LWB327689:LWB327755 MFX327689:MFX327755 MPT327689:MPT327755 MZP327689:MZP327755 NJL327689:NJL327755 NTH327689:NTH327755 ODD327689:ODD327755 OMZ327689:OMZ327755 OWV327689:OWV327755 PGR327689:PGR327755 PQN327689:PQN327755 QAJ327689:QAJ327755 QKF327689:QKF327755 QUB327689:QUB327755 RDX327689:RDX327755 RNT327689:RNT327755 RXP327689:RXP327755 SHL327689:SHL327755 SRH327689:SRH327755 TBD327689:TBD327755 TKZ327689:TKZ327755 TUV327689:TUV327755 UER327689:UER327755 UON327689:UON327755 UYJ327689:UYJ327755 VIF327689:VIF327755 VSB327689:VSB327755 WBX327689:WBX327755 WLT327689:WLT327755 WVP327689:WVP327755 H393225:H393291 JD393225:JD393291 SZ393225:SZ393291 ACV393225:ACV393291 AMR393225:AMR393291 AWN393225:AWN393291 BGJ393225:BGJ393291 BQF393225:BQF393291 CAB393225:CAB393291 CJX393225:CJX393291 CTT393225:CTT393291 DDP393225:DDP393291 DNL393225:DNL393291 DXH393225:DXH393291 EHD393225:EHD393291 EQZ393225:EQZ393291 FAV393225:FAV393291 FKR393225:FKR393291 FUN393225:FUN393291 GEJ393225:GEJ393291 GOF393225:GOF393291 GYB393225:GYB393291 HHX393225:HHX393291 HRT393225:HRT393291 IBP393225:IBP393291 ILL393225:ILL393291 IVH393225:IVH393291 JFD393225:JFD393291 JOZ393225:JOZ393291 JYV393225:JYV393291 KIR393225:KIR393291 KSN393225:KSN393291 LCJ393225:LCJ393291 LMF393225:LMF393291 LWB393225:LWB393291 MFX393225:MFX393291 MPT393225:MPT393291 MZP393225:MZP393291 NJL393225:NJL393291 NTH393225:NTH393291 ODD393225:ODD393291 OMZ393225:OMZ393291 OWV393225:OWV393291 PGR393225:PGR393291 PQN393225:PQN393291 QAJ393225:QAJ393291 QKF393225:QKF393291 QUB393225:QUB393291 RDX393225:RDX393291 RNT393225:RNT393291 RXP393225:RXP393291 SHL393225:SHL393291 SRH393225:SRH393291 TBD393225:TBD393291 TKZ393225:TKZ393291 TUV393225:TUV393291 UER393225:UER393291 UON393225:UON393291 UYJ393225:UYJ393291 VIF393225:VIF393291 VSB393225:VSB393291 WBX393225:WBX393291 WLT393225:WLT393291 WVP393225:WVP393291 H458761:H458827 JD458761:JD458827 SZ458761:SZ458827 ACV458761:ACV458827 AMR458761:AMR458827 AWN458761:AWN458827 BGJ458761:BGJ458827 BQF458761:BQF458827 CAB458761:CAB458827 CJX458761:CJX458827 CTT458761:CTT458827 DDP458761:DDP458827 DNL458761:DNL458827 DXH458761:DXH458827 EHD458761:EHD458827 EQZ458761:EQZ458827 FAV458761:FAV458827 FKR458761:FKR458827 FUN458761:FUN458827 GEJ458761:GEJ458827 GOF458761:GOF458827 GYB458761:GYB458827 HHX458761:HHX458827 HRT458761:HRT458827 IBP458761:IBP458827 ILL458761:ILL458827 IVH458761:IVH458827 JFD458761:JFD458827 JOZ458761:JOZ458827 JYV458761:JYV458827 KIR458761:KIR458827 KSN458761:KSN458827 LCJ458761:LCJ458827 LMF458761:LMF458827 LWB458761:LWB458827 MFX458761:MFX458827 MPT458761:MPT458827 MZP458761:MZP458827 NJL458761:NJL458827 NTH458761:NTH458827 ODD458761:ODD458827 OMZ458761:OMZ458827 OWV458761:OWV458827 PGR458761:PGR458827 PQN458761:PQN458827 QAJ458761:QAJ458827 QKF458761:QKF458827 QUB458761:QUB458827 RDX458761:RDX458827 RNT458761:RNT458827 RXP458761:RXP458827 SHL458761:SHL458827 SRH458761:SRH458827 TBD458761:TBD458827 TKZ458761:TKZ458827 TUV458761:TUV458827 UER458761:UER458827 UON458761:UON458827 UYJ458761:UYJ458827 VIF458761:VIF458827 VSB458761:VSB458827 WBX458761:WBX458827 WLT458761:WLT458827 WVP458761:WVP458827 H524297:H524363 JD524297:JD524363 SZ524297:SZ524363 ACV524297:ACV524363 AMR524297:AMR524363 AWN524297:AWN524363 BGJ524297:BGJ524363 BQF524297:BQF524363 CAB524297:CAB524363 CJX524297:CJX524363 CTT524297:CTT524363 DDP524297:DDP524363 DNL524297:DNL524363 DXH524297:DXH524363 EHD524297:EHD524363 EQZ524297:EQZ524363 FAV524297:FAV524363 FKR524297:FKR524363 FUN524297:FUN524363 GEJ524297:GEJ524363 GOF524297:GOF524363 GYB524297:GYB524363 HHX524297:HHX524363 HRT524297:HRT524363 IBP524297:IBP524363 ILL524297:ILL524363 IVH524297:IVH524363 JFD524297:JFD524363 JOZ524297:JOZ524363 JYV524297:JYV524363 KIR524297:KIR524363 KSN524297:KSN524363 LCJ524297:LCJ524363 LMF524297:LMF524363 LWB524297:LWB524363 MFX524297:MFX524363 MPT524297:MPT524363 MZP524297:MZP524363 NJL524297:NJL524363 NTH524297:NTH524363 ODD524297:ODD524363 OMZ524297:OMZ524363 OWV524297:OWV524363 PGR524297:PGR524363 PQN524297:PQN524363 QAJ524297:QAJ524363 QKF524297:QKF524363 QUB524297:QUB524363 RDX524297:RDX524363 RNT524297:RNT524363 RXP524297:RXP524363 SHL524297:SHL524363 SRH524297:SRH524363 TBD524297:TBD524363 TKZ524297:TKZ524363 TUV524297:TUV524363 UER524297:UER524363 UON524297:UON524363 UYJ524297:UYJ524363 VIF524297:VIF524363 VSB524297:VSB524363 WBX524297:WBX524363 WLT524297:WLT524363 WVP524297:WVP524363 H589833:H589899 JD589833:JD589899 SZ589833:SZ589899 ACV589833:ACV589899 AMR589833:AMR589899 AWN589833:AWN589899 BGJ589833:BGJ589899 BQF589833:BQF589899 CAB589833:CAB589899 CJX589833:CJX589899 CTT589833:CTT589899 DDP589833:DDP589899 DNL589833:DNL589899 DXH589833:DXH589899 EHD589833:EHD589899 EQZ589833:EQZ589899 FAV589833:FAV589899 FKR589833:FKR589899 FUN589833:FUN589899 GEJ589833:GEJ589899 GOF589833:GOF589899 GYB589833:GYB589899 HHX589833:HHX589899 HRT589833:HRT589899 IBP589833:IBP589899 ILL589833:ILL589899 IVH589833:IVH589899 JFD589833:JFD589899 JOZ589833:JOZ589899 JYV589833:JYV589899 KIR589833:KIR589899 KSN589833:KSN589899 LCJ589833:LCJ589899 LMF589833:LMF589899 LWB589833:LWB589899 MFX589833:MFX589899 MPT589833:MPT589899 MZP589833:MZP589899 NJL589833:NJL589899 NTH589833:NTH589899 ODD589833:ODD589899 OMZ589833:OMZ589899 OWV589833:OWV589899 PGR589833:PGR589899 PQN589833:PQN589899 QAJ589833:QAJ589899 QKF589833:QKF589899 QUB589833:QUB589899 RDX589833:RDX589899 RNT589833:RNT589899 RXP589833:RXP589899 SHL589833:SHL589899 SRH589833:SRH589899 TBD589833:TBD589899 TKZ589833:TKZ589899 TUV589833:TUV589899 UER589833:UER589899 UON589833:UON589899 UYJ589833:UYJ589899 VIF589833:VIF589899 VSB589833:VSB589899 WBX589833:WBX589899 WLT589833:WLT589899 WVP589833:WVP589899 H655369:H655435 JD655369:JD655435 SZ655369:SZ655435 ACV655369:ACV655435 AMR655369:AMR655435 AWN655369:AWN655435 BGJ655369:BGJ655435 BQF655369:BQF655435 CAB655369:CAB655435 CJX655369:CJX655435 CTT655369:CTT655435 DDP655369:DDP655435 DNL655369:DNL655435 DXH655369:DXH655435 EHD655369:EHD655435 EQZ655369:EQZ655435 FAV655369:FAV655435 FKR655369:FKR655435 FUN655369:FUN655435 GEJ655369:GEJ655435 GOF655369:GOF655435 GYB655369:GYB655435 HHX655369:HHX655435 HRT655369:HRT655435 IBP655369:IBP655435 ILL655369:ILL655435 IVH655369:IVH655435 JFD655369:JFD655435 JOZ655369:JOZ655435 JYV655369:JYV655435 KIR655369:KIR655435 KSN655369:KSN655435 LCJ655369:LCJ655435 LMF655369:LMF655435 LWB655369:LWB655435 MFX655369:MFX655435 MPT655369:MPT655435 MZP655369:MZP655435 NJL655369:NJL655435 NTH655369:NTH655435 ODD655369:ODD655435 OMZ655369:OMZ655435 OWV655369:OWV655435 PGR655369:PGR655435 PQN655369:PQN655435 QAJ655369:QAJ655435 QKF655369:QKF655435 QUB655369:QUB655435 RDX655369:RDX655435 RNT655369:RNT655435 RXP655369:RXP655435 SHL655369:SHL655435 SRH655369:SRH655435 TBD655369:TBD655435 TKZ655369:TKZ655435 TUV655369:TUV655435 UER655369:UER655435 UON655369:UON655435 UYJ655369:UYJ655435 VIF655369:VIF655435 VSB655369:VSB655435 WBX655369:WBX655435 WLT655369:WLT655435 WVP655369:WVP655435 H720905:H720971 JD720905:JD720971 SZ720905:SZ720971 ACV720905:ACV720971 AMR720905:AMR720971 AWN720905:AWN720971 BGJ720905:BGJ720971 BQF720905:BQF720971 CAB720905:CAB720971 CJX720905:CJX720971 CTT720905:CTT720971 DDP720905:DDP720971 DNL720905:DNL720971 DXH720905:DXH720971 EHD720905:EHD720971 EQZ720905:EQZ720971 FAV720905:FAV720971 FKR720905:FKR720971 FUN720905:FUN720971 GEJ720905:GEJ720971 GOF720905:GOF720971 GYB720905:GYB720971 HHX720905:HHX720971 HRT720905:HRT720971 IBP720905:IBP720971 ILL720905:ILL720971 IVH720905:IVH720971 JFD720905:JFD720971 JOZ720905:JOZ720971 JYV720905:JYV720971 KIR720905:KIR720971 KSN720905:KSN720971 LCJ720905:LCJ720971 LMF720905:LMF720971 LWB720905:LWB720971 MFX720905:MFX720971 MPT720905:MPT720971 MZP720905:MZP720971 NJL720905:NJL720971 NTH720905:NTH720971 ODD720905:ODD720971 OMZ720905:OMZ720971 OWV720905:OWV720971 PGR720905:PGR720971 PQN720905:PQN720971 QAJ720905:QAJ720971 QKF720905:QKF720971 QUB720905:QUB720971 RDX720905:RDX720971 RNT720905:RNT720971 RXP720905:RXP720971 SHL720905:SHL720971 SRH720905:SRH720971 TBD720905:TBD720971 TKZ720905:TKZ720971 TUV720905:TUV720971 UER720905:UER720971 UON720905:UON720971 UYJ720905:UYJ720971 VIF720905:VIF720971 VSB720905:VSB720971 WBX720905:WBX720971 WLT720905:WLT720971 WVP720905:WVP720971 H786441:H786507 JD786441:JD786507 SZ786441:SZ786507 ACV786441:ACV786507 AMR786441:AMR786507 AWN786441:AWN786507 BGJ786441:BGJ786507 BQF786441:BQF786507 CAB786441:CAB786507 CJX786441:CJX786507 CTT786441:CTT786507 DDP786441:DDP786507 DNL786441:DNL786507 DXH786441:DXH786507 EHD786441:EHD786507 EQZ786441:EQZ786507 FAV786441:FAV786507 FKR786441:FKR786507 FUN786441:FUN786507 GEJ786441:GEJ786507 GOF786441:GOF786507 GYB786441:GYB786507 HHX786441:HHX786507 HRT786441:HRT786507 IBP786441:IBP786507 ILL786441:ILL786507 IVH786441:IVH786507 JFD786441:JFD786507 JOZ786441:JOZ786507 JYV786441:JYV786507 KIR786441:KIR786507 KSN786441:KSN786507 LCJ786441:LCJ786507 LMF786441:LMF786507 LWB786441:LWB786507 MFX786441:MFX786507 MPT786441:MPT786507 MZP786441:MZP786507 NJL786441:NJL786507 NTH786441:NTH786507 ODD786441:ODD786507 OMZ786441:OMZ786507 OWV786441:OWV786507 PGR786441:PGR786507 PQN786441:PQN786507 QAJ786441:QAJ786507 QKF786441:QKF786507 QUB786441:QUB786507 RDX786441:RDX786507 RNT786441:RNT786507 RXP786441:RXP786507 SHL786441:SHL786507 SRH786441:SRH786507 TBD786441:TBD786507 TKZ786441:TKZ786507 TUV786441:TUV786507 UER786441:UER786507 UON786441:UON786507 UYJ786441:UYJ786507 VIF786441:VIF786507 VSB786441:VSB786507 WBX786441:WBX786507 WLT786441:WLT786507 WVP786441:WVP786507 H851977:H852043 JD851977:JD852043 SZ851977:SZ852043 ACV851977:ACV852043 AMR851977:AMR852043 AWN851977:AWN852043 BGJ851977:BGJ852043 BQF851977:BQF852043 CAB851977:CAB852043 CJX851977:CJX852043 CTT851977:CTT852043 DDP851977:DDP852043 DNL851977:DNL852043 DXH851977:DXH852043 EHD851977:EHD852043 EQZ851977:EQZ852043 FAV851977:FAV852043 FKR851977:FKR852043 FUN851977:FUN852043 GEJ851977:GEJ852043 GOF851977:GOF852043 GYB851977:GYB852043 HHX851977:HHX852043 HRT851977:HRT852043 IBP851977:IBP852043 ILL851977:ILL852043 IVH851977:IVH852043 JFD851977:JFD852043 JOZ851977:JOZ852043 JYV851977:JYV852043 KIR851977:KIR852043 KSN851977:KSN852043 LCJ851977:LCJ852043 LMF851977:LMF852043 LWB851977:LWB852043 MFX851977:MFX852043 MPT851977:MPT852043 MZP851977:MZP852043 NJL851977:NJL852043 NTH851977:NTH852043 ODD851977:ODD852043 OMZ851977:OMZ852043 OWV851977:OWV852043 PGR851977:PGR852043 PQN851977:PQN852043 QAJ851977:QAJ852043 QKF851977:QKF852043 QUB851977:QUB852043 RDX851977:RDX852043 RNT851977:RNT852043 RXP851977:RXP852043 SHL851977:SHL852043 SRH851977:SRH852043 TBD851977:TBD852043 TKZ851977:TKZ852043 TUV851977:TUV852043 UER851977:UER852043 UON851977:UON852043 UYJ851977:UYJ852043 VIF851977:VIF852043 VSB851977:VSB852043 WBX851977:WBX852043 WLT851977:WLT852043 WVP851977:WVP852043 H917513:H917579 JD917513:JD917579 SZ917513:SZ917579 ACV917513:ACV917579 AMR917513:AMR917579 AWN917513:AWN917579 BGJ917513:BGJ917579 BQF917513:BQF917579 CAB917513:CAB917579 CJX917513:CJX917579 CTT917513:CTT917579 DDP917513:DDP917579 DNL917513:DNL917579 DXH917513:DXH917579 EHD917513:EHD917579 EQZ917513:EQZ917579 FAV917513:FAV917579 FKR917513:FKR917579 FUN917513:FUN917579 GEJ917513:GEJ917579 GOF917513:GOF917579 GYB917513:GYB917579 HHX917513:HHX917579 HRT917513:HRT917579 IBP917513:IBP917579 ILL917513:ILL917579 IVH917513:IVH917579 JFD917513:JFD917579 JOZ917513:JOZ917579 JYV917513:JYV917579 KIR917513:KIR917579 KSN917513:KSN917579 LCJ917513:LCJ917579 LMF917513:LMF917579 LWB917513:LWB917579 MFX917513:MFX917579 MPT917513:MPT917579 MZP917513:MZP917579 NJL917513:NJL917579 NTH917513:NTH917579 ODD917513:ODD917579 OMZ917513:OMZ917579 OWV917513:OWV917579 PGR917513:PGR917579 PQN917513:PQN917579 QAJ917513:QAJ917579 QKF917513:QKF917579 QUB917513:QUB917579 RDX917513:RDX917579 RNT917513:RNT917579 RXP917513:RXP917579 SHL917513:SHL917579 SRH917513:SRH917579 TBD917513:TBD917579 TKZ917513:TKZ917579 TUV917513:TUV917579 UER917513:UER917579 UON917513:UON917579 UYJ917513:UYJ917579 VIF917513:VIF917579 VSB917513:VSB917579 WBX917513:WBX917579 WLT917513:WLT917579 WVP917513:WVP917579 H983049:H983115 JD983049:JD983115 SZ983049:SZ983115 ACV983049:ACV983115 AMR983049:AMR983115 AWN983049:AWN983115 BGJ983049:BGJ983115 BQF983049:BQF983115 CAB983049:CAB983115 CJX983049:CJX983115 CTT983049:CTT983115 DDP983049:DDP983115 DNL983049:DNL983115 DXH983049:DXH983115 EHD983049:EHD983115 EQZ983049:EQZ983115 FAV983049:FAV983115 FKR983049:FKR983115 FUN983049:FUN983115 GEJ983049:GEJ983115 GOF983049:GOF983115 GYB983049:GYB983115 HHX983049:HHX983115 HRT983049:HRT983115 IBP983049:IBP983115 ILL983049:ILL983115 IVH983049:IVH983115 JFD983049:JFD983115 JOZ983049:JOZ983115 JYV983049:JYV983115 KIR983049:KIR983115 KSN983049:KSN983115 LCJ983049:LCJ983115 LMF983049:LMF983115 LWB983049:LWB983115 MFX983049:MFX983115 MPT983049:MPT983115 MZP983049:MZP983115 NJL983049:NJL983115 NTH983049:NTH983115 ODD983049:ODD983115 OMZ983049:OMZ983115 OWV983049:OWV983115 PGR983049:PGR983115 PQN983049:PQN983115 QAJ983049:QAJ983115 QKF983049:QKF983115 QUB983049:QUB983115 RDX983049:RDX983115 RNT983049:RNT983115 RXP983049:RXP983115 SHL983049:SHL983115 SRH983049:SRH983115 TBD983049:TBD983115 TKZ983049:TKZ983115 TUV983049:TUV983115 UER983049:UER983115 UON983049:UON983115 UYJ983049:UYJ983115 VIF983049:VIF983115 VSB983049:VSB983115 WBX983049:WBX983115 WLT983049:WLT983115 WVP983049:WVP983115" xr:uid="{402162AC-A158-4918-8407-F63659D952C5}">
      <formula1>$H$80:$H$82</formula1>
    </dataValidation>
  </dataValidations>
  <pageMargins left="0.7" right="0.7" top="0.75" bottom="0.75" header="0.3" footer="0.3"/>
  <pageSetup scale="39" orientation="landscape" r:id="rId1"/>
  <legacy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rgb="FF00B0F0"/>
    <pageSetUpPr fitToPage="1"/>
  </sheetPr>
  <dimension ref="A1:L140"/>
  <sheetViews>
    <sheetView workbookViewId="0"/>
  </sheetViews>
  <sheetFormatPr defaultRowHeight="14.5" x14ac:dyDescent="0.35"/>
  <cols>
    <col min="1" max="2" width="2.81640625" customWidth="1"/>
    <col min="3" max="3" width="10.453125" style="123" bestFit="1" customWidth="1"/>
    <col min="4" max="5" width="2.81640625" customWidth="1"/>
    <col min="6" max="6" width="80.7265625" bestFit="1" customWidth="1"/>
    <col min="7" max="7" width="27.81640625" customWidth="1"/>
    <col min="8" max="8" width="15.26953125" bestFit="1" customWidth="1"/>
    <col min="9" max="9" width="27.26953125" customWidth="1"/>
    <col min="10" max="10" width="26.81640625" customWidth="1"/>
    <col min="11" max="11" width="25.81640625" customWidth="1"/>
    <col min="12" max="12" width="82.54296875" customWidth="1"/>
  </cols>
  <sheetData>
    <row r="1" spans="1:12" x14ac:dyDescent="0.35">
      <c r="A1" s="7"/>
      <c r="B1" s="7"/>
      <c r="C1" s="7"/>
      <c r="D1" s="7"/>
      <c r="E1" s="7"/>
      <c r="F1" s="7"/>
      <c r="G1" s="7"/>
      <c r="H1" s="7"/>
      <c r="I1" s="7" t="s">
        <v>0</v>
      </c>
      <c r="J1" s="7"/>
      <c r="K1" s="7"/>
      <c r="L1" s="7"/>
    </row>
    <row r="2" spans="1:12" x14ac:dyDescent="0.35">
      <c r="A2" s="7"/>
      <c r="B2" s="7"/>
      <c r="C2" s="7"/>
      <c r="D2" s="7"/>
      <c r="E2" s="7"/>
      <c r="F2" s="7"/>
      <c r="G2" s="7"/>
      <c r="H2" s="7"/>
      <c r="I2" s="132" t="s">
        <v>197</v>
      </c>
      <c r="J2" s="7"/>
      <c r="K2" s="7"/>
      <c r="L2" s="7"/>
    </row>
    <row r="3" spans="1:12" x14ac:dyDescent="0.35">
      <c r="A3" s="136" t="s">
        <v>198</v>
      </c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</row>
    <row r="4" spans="1:12" ht="19.5" customHeight="1" x14ac:dyDescent="0.35">
      <c r="A4" s="137" t="str">
        <f>'[18]Data Entry - CA2'!A2</f>
        <v>Pensacola State College</v>
      </c>
      <c r="C4"/>
    </row>
    <row r="5" spans="1:12" x14ac:dyDescent="0.35">
      <c r="C5"/>
    </row>
    <row r="6" spans="1:12" s="7" customFormat="1" x14ac:dyDescent="0.35">
      <c r="A6" s="3" t="s">
        <v>2</v>
      </c>
      <c r="B6" s="4"/>
      <c r="C6" s="4"/>
      <c r="D6" s="3" t="s">
        <v>3</v>
      </c>
      <c r="E6" s="4"/>
      <c r="F6" s="4"/>
      <c r="G6" s="118" t="s">
        <v>274</v>
      </c>
      <c r="H6" s="6" t="s">
        <v>4</v>
      </c>
      <c r="I6" s="6" t="s">
        <v>5</v>
      </c>
      <c r="J6" s="6" t="s">
        <v>6</v>
      </c>
      <c r="K6" s="6" t="s">
        <v>7</v>
      </c>
      <c r="L6" s="6" t="s">
        <v>199</v>
      </c>
    </row>
    <row r="7" spans="1:12" x14ac:dyDescent="0.35">
      <c r="A7" s="8" t="s">
        <v>9</v>
      </c>
      <c r="B7" s="9"/>
      <c r="C7" s="119"/>
      <c r="D7" s="11" t="s">
        <v>10</v>
      </c>
      <c r="E7" s="119"/>
      <c r="F7" s="119"/>
      <c r="G7" s="69"/>
      <c r="H7" s="9"/>
      <c r="I7" s="69"/>
      <c r="J7" s="69"/>
      <c r="K7" s="69"/>
      <c r="L7" s="11"/>
    </row>
    <row r="8" spans="1:12" x14ac:dyDescent="0.35">
      <c r="A8" s="8"/>
      <c r="B8" s="9" t="s">
        <v>11</v>
      </c>
      <c r="C8" s="119"/>
      <c r="D8" s="13"/>
      <c r="E8" s="9" t="s">
        <v>12</v>
      </c>
      <c r="F8" s="119"/>
      <c r="G8" s="69">
        <f>SUM(G9:G24)</f>
        <v>2999709</v>
      </c>
      <c r="H8" s="9"/>
      <c r="I8" s="69">
        <f>SUM(I9:I24)</f>
        <v>2999709</v>
      </c>
      <c r="J8" s="69">
        <f>SUM(J9:J24)</f>
        <v>0</v>
      </c>
      <c r="K8" s="69"/>
      <c r="L8" s="14"/>
    </row>
    <row r="9" spans="1:12" x14ac:dyDescent="0.35">
      <c r="A9" s="8"/>
      <c r="B9" s="9"/>
      <c r="C9" s="119" t="s">
        <v>13</v>
      </c>
      <c r="D9" s="13"/>
      <c r="E9" s="119"/>
      <c r="F9" s="9" t="s">
        <v>14</v>
      </c>
      <c r="G9" s="70"/>
      <c r="H9" s="16"/>
      <c r="I9" s="70"/>
      <c r="J9" s="70"/>
      <c r="K9" s="69">
        <f t="shared" ref="K9:K63" si="0">I9+J9</f>
        <v>0</v>
      </c>
      <c r="L9" s="17"/>
    </row>
    <row r="10" spans="1:12" x14ac:dyDescent="0.35">
      <c r="A10" s="8"/>
      <c r="B10" s="9"/>
      <c r="C10" s="119" t="s">
        <v>16</v>
      </c>
      <c r="D10" s="13"/>
      <c r="E10" s="119"/>
      <c r="F10" s="9" t="s">
        <v>17</v>
      </c>
      <c r="G10" s="70">
        <f>+I10+J10</f>
        <v>2245</v>
      </c>
      <c r="H10" s="16" t="s">
        <v>225</v>
      </c>
      <c r="I10" s="70">
        <v>2245</v>
      </c>
      <c r="J10" s="70"/>
      <c r="K10" s="69">
        <f t="shared" si="0"/>
        <v>2245</v>
      </c>
      <c r="L10" s="17"/>
    </row>
    <row r="11" spans="1:12" x14ac:dyDescent="0.35">
      <c r="A11" s="8"/>
      <c r="B11" s="9"/>
      <c r="C11" s="119" t="s">
        <v>18</v>
      </c>
      <c r="D11" s="13"/>
      <c r="E11" s="119"/>
      <c r="F11" s="9" t="s">
        <v>19</v>
      </c>
      <c r="G11" s="70">
        <f>+I11+J11</f>
        <v>962076</v>
      </c>
      <c r="H11" s="16" t="s">
        <v>225</v>
      </c>
      <c r="I11" s="70">
        <f>614912+304695+42469</f>
        <v>962076</v>
      </c>
      <c r="J11" s="70"/>
      <c r="K11" s="69">
        <f t="shared" si="0"/>
        <v>962076</v>
      </c>
      <c r="L11" s="17"/>
    </row>
    <row r="12" spans="1:12" x14ac:dyDescent="0.35">
      <c r="A12" s="8"/>
      <c r="B12" s="9"/>
      <c r="C12" s="119" t="s">
        <v>20</v>
      </c>
      <c r="D12" s="13"/>
      <c r="E12" s="119"/>
      <c r="F12" s="9" t="s">
        <v>21</v>
      </c>
      <c r="G12" s="70">
        <f>+I12+J12</f>
        <v>208538</v>
      </c>
      <c r="H12" s="16" t="s">
        <v>225</v>
      </c>
      <c r="I12" s="70">
        <f>138456+45872+24210</f>
        <v>208538</v>
      </c>
      <c r="J12" s="70"/>
      <c r="K12" s="69">
        <f t="shared" si="0"/>
        <v>208538</v>
      </c>
      <c r="L12" s="17"/>
    </row>
    <row r="13" spans="1:12" x14ac:dyDescent="0.35">
      <c r="A13" s="8"/>
      <c r="B13" s="9"/>
      <c r="C13" s="119" t="s">
        <v>22</v>
      </c>
      <c r="D13" s="13"/>
      <c r="E13" s="119"/>
      <c r="F13" s="9" t="s">
        <v>23</v>
      </c>
      <c r="G13" s="70">
        <f>+I13+J13</f>
        <v>1011633</v>
      </c>
      <c r="H13" s="16" t="s">
        <v>225</v>
      </c>
      <c r="I13" s="70">
        <f>188095+153250+241206+99182+125075+93287+6714+52562+52262</f>
        <v>1011633</v>
      </c>
      <c r="J13" s="70"/>
      <c r="K13" s="69">
        <f t="shared" si="0"/>
        <v>1011633</v>
      </c>
      <c r="L13" s="17"/>
    </row>
    <row r="14" spans="1:12" x14ac:dyDescent="0.35">
      <c r="A14" s="8"/>
      <c r="B14" s="9"/>
      <c r="C14" s="119" t="s">
        <v>25</v>
      </c>
      <c r="D14" s="13"/>
      <c r="E14" s="119"/>
      <c r="F14" s="9" t="s">
        <v>26</v>
      </c>
      <c r="G14" s="70"/>
      <c r="H14" s="16"/>
      <c r="I14" s="70"/>
      <c r="J14" s="70"/>
      <c r="K14" s="69">
        <f t="shared" si="0"/>
        <v>0</v>
      </c>
      <c r="L14" s="17"/>
    </row>
    <row r="15" spans="1:12" x14ac:dyDescent="0.35">
      <c r="A15" s="8"/>
      <c r="B15" s="9"/>
      <c r="C15" s="119" t="s">
        <v>27</v>
      </c>
      <c r="D15" s="13"/>
      <c r="E15" s="119"/>
      <c r="F15" s="9" t="s">
        <v>28</v>
      </c>
      <c r="G15" s="70"/>
      <c r="H15" s="16"/>
      <c r="I15" s="70"/>
      <c r="J15" s="70"/>
      <c r="K15" s="69">
        <f t="shared" si="0"/>
        <v>0</v>
      </c>
      <c r="L15" s="17"/>
    </row>
    <row r="16" spans="1:12" x14ac:dyDescent="0.35">
      <c r="A16" s="8"/>
      <c r="B16" s="9"/>
      <c r="C16" s="119" t="s">
        <v>29</v>
      </c>
      <c r="D16" s="13"/>
      <c r="E16" s="119"/>
      <c r="F16" s="9" t="s">
        <v>30</v>
      </c>
      <c r="G16" s="70"/>
      <c r="H16" s="16"/>
      <c r="I16" s="70"/>
      <c r="J16" s="70"/>
      <c r="K16" s="69">
        <f t="shared" si="0"/>
        <v>0</v>
      </c>
      <c r="L16" s="17"/>
    </row>
    <row r="17" spans="1:12" x14ac:dyDescent="0.35">
      <c r="A17" s="8"/>
      <c r="B17" s="9"/>
      <c r="C17" s="119" t="s">
        <v>31</v>
      </c>
      <c r="D17" s="13"/>
      <c r="E17" s="119"/>
      <c r="F17" s="9" t="s">
        <v>32</v>
      </c>
      <c r="G17" s="70">
        <f>+I17+J17</f>
        <v>300373</v>
      </c>
      <c r="H17" s="16" t="s">
        <v>225</v>
      </c>
      <c r="I17" s="70">
        <f>186318+88546+25509</f>
        <v>300373</v>
      </c>
      <c r="J17" s="70"/>
      <c r="K17" s="69">
        <f t="shared" si="0"/>
        <v>300373</v>
      </c>
      <c r="L17" s="17"/>
    </row>
    <row r="18" spans="1:12" x14ac:dyDescent="0.35">
      <c r="A18" s="8"/>
      <c r="B18" s="9"/>
      <c r="C18" s="119" t="s">
        <v>33</v>
      </c>
      <c r="D18" s="13"/>
      <c r="E18" s="119"/>
      <c r="F18" s="9" t="s">
        <v>34</v>
      </c>
      <c r="G18" s="70">
        <f>+I18+J18</f>
        <v>431542</v>
      </c>
      <c r="H18" s="16" t="s">
        <v>225</v>
      </c>
      <c r="I18" s="70">
        <f>275611+126001+29930</f>
        <v>431542</v>
      </c>
      <c r="J18" s="70"/>
      <c r="K18" s="69">
        <f t="shared" si="0"/>
        <v>431542</v>
      </c>
      <c r="L18" s="17"/>
    </row>
    <row r="19" spans="1:12" x14ac:dyDescent="0.35">
      <c r="A19" s="8"/>
      <c r="B19" s="9"/>
      <c r="C19" s="119" t="s">
        <v>35</v>
      </c>
      <c r="D19" s="13"/>
      <c r="E19" s="119"/>
      <c r="F19" s="9" t="s">
        <v>36</v>
      </c>
      <c r="G19" s="71"/>
      <c r="H19" s="16"/>
      <c r="I19" s="71"/>
      <c r="J19" s="71"/>
      <c r="K19" s="69">
        <f t="shared" si="0"/>
        <v>0</v>
      </c>
      <c r="L19" s="17"/>
    </row>
    <row r="20" spans="1:12" x14ac:dyDescent="0.35">
      <c r="A20" s="8"/>
      <c r="B20" s="9"/>
      <c r="C20" s="119" t="s">
        <v>37</v>
      </c>
      <c r="D20" s="13"/>
      <c r="E20" s="119"/>
      <c r="F20" s="9" t="s">
        <v>38</v>
      </c>
      <c r="G20" s="70">
        <f>+I20+J20</f>
        <v>83302</v>
      </c>
      <c r="H20" s="16" t="s">
        <v>225</v>
      </c>
      <c r="I20" s="70">
        <f>45764+18782+624+18128+4</f>
        <v>83302</v>
      </c>
      <c r="J20" s="70"/>
      <c r="K20" s="69">
        <f t="shared" si="0"/>
        <v>83302</v>
      </c>
      <c r="L20" s="17"/>
    </row>
    <row r="21" spans="1:12" x14ac:dyDescent="0.35">
      <c r="A21" s="8"/>
      <c r="B21" s="9"/>
      <c r="C21" s="119" t="s">
        <v>39</v>
      </c>
      <c r="D21" s="13"/>
      <c r="E21" s="119"/>
      <c r="F21" s="9" t="s">
        <v>40</v>
      </c>
      <c r="G21" s="70">
        <f>+I21+J21</f>
        <v>0</v>
      </c>
      <c r="H21" s="16"/>
      <c r="I21" s="70"/>
      <c r="J21" s="70"/>
      <c r="K21" s="69">
        <f t="shared" si="0"/>
        <v>0</v>
      </c>
      <c r="L21" s="17"/>
    </row>
    <row r="22" spans="1:12" x14ac:dyDescent="0.35">
      <c r="A22" s="8"/>
      <c r="B22" s="9"/>
      <c r="C22" s="119" t="s">
        <v>41</v>
      </c>
      <c r="D22" s="13"/>
      <c r="E22" s="119"/>
      <c r="F22" s="9" t="s">
        <v>42</v>
      </c>
      <c r="G22" s="70"/>
      <c r="H22" s="16"/>
      <c r="I22" s="70"/>
      <c r="J22" s="70"/>
      <c r="K22" s="69">
        <f t="shared" si="0"/>
        <v>0</v>
      </c>
      <c r="L22" s="17"/>
    </row>
    <row r="23" spans="1:12" x14ac:dyDescent="0.35">
      <c r="A23" s="8"/>
      <c r="B23" s="9"/>
      <c r="C23" s="119" t="s">
        <v>43</v>
      </c>
      <c r="D23" s="13"/>
      <c r="E23" s="119"/>
      <c r="F23" s="9" t="s">
        <v>44</v>
      </c>
      <c r="G23" s="70"/>
      <c r="H23" s="16"/>
      <c r="I23" s="70"/>
      <c r="J23" s="70"/>
      <c r="K23" s="69">
        <f t="shared" si="0"/>
        <v>0</v>
      </c>
      <c r="L23" s="17"/>
    </row>
    <row r="24" spans="1:12" x14ac:dyDescent="0.35">
      <c r="A24" s="9"/>
      <c r="B24" s="9"/>
      <c r="C24" s="120" t="s">
        <v>45</v>
      </c>
      <c r="D24" s="13"/>
      <c r="E24" s="120"/>
      <c r="F24" s="9" t="s">
        <v>46</v>
      </c>
      <c r="G24" s="72"/>
      <c r="H24" s="16"/>
      <c r="I24" s="72"/>
      <c r="J24" s="72"/>
      <c r="K24" s="69">
        <f t="shared" si="0"/>
        <v>0</v>
      </c>
      <c r="L24" s="17"/>
    </row>
    <row r="25" spans="1:12" x14ac:dyDescent="0.35">
      <c r="A25" s="8"/>
      <c r="B25" s="9" t="s">
        <v>47</v>
      </c>
      <c r="C25" s="119"/>
      <c r="D25" s="13"/>
      <c r="E25" s="9" t="s">
        <v>48</v>
      </c>
      <c r="F25" s="119"/>
      <c r="G25" s="69">
        <f>SUM(G26:G41)</f>
        <v>1452995</v>
      </c>
      <c r="H25" s="9"/>
      <c r="I25" s="69">
        <f>SUM(I26:I41)</f>
        <v>1030867</v>
      </c>
      <c r="J25" s="69">
        <f>SUM(J26:J41)</f>
        <v>422128</v>
      </c>
      <c r="K25" s="69"/>
      <c r="L25" s="14"/>
    </row>
    <row r="26" spans="1:12" x14ac:dyDescent="0.35">
      <c r="A26" s="8"/>
      <c r="B26" s="9"/>
      <c r="C26" s="119" t="s">
        <v>49</v>
      </c>
      <c r="D26" s="13"/>
      <c r="E26" s="119"/>
      <c r="F26" s="9" t="s">
        <v>50</v>
      </c>
      <c r="G26" s="70">
        <f t="shared" ref="G26:G40" si="1">+I26+J26</f>
        <v>0</v>
      </c>
      <c r="H26" s="16"/>
      <c r="I26" s="70"/>
      <c r="J26" s="70"/>
      <c r="K26" s="69">
        <f t="shared" si="0"/>
        <v>0</v>
      </c>
      <c r="L26" s="17"/>
    </row>
    <row r="27" spans="1:12" x14ac:dyDescent="0.35">
      <c r="A27" s="8"/>
      <c r="B27" s="9"/>
      <c r="C27" s="119" t="s">
        <v>51</v>
      </c>
      <c r="D27" s="13"/>
      <c r="E27" s="119"/>
      <c r="F27" s="9" t="s">
        <v>52</v>
      </c>
      <c r="G27" s="70">
        <f t="shared" si="1"/>
        <v>0</v>
      </c>
      <c r="H27" s="16"/>
      <c r="I27" s="70"/>
      <c r="J27" s="70"/>
      <c r="K27" s="69">
        <f t="shared" si="0"/>
        <v>0</v>
      </c>
      <c r="L27" s="17"/>
    </row>
    <row r="28" spans="1:12" x14ac:dyDescent="0.35">
      <c r="A28" s="8"/>
      <c r="B28" s="9"/>
      <c r="C28" s="119" t="s">
        <v>53</v>
      </c>
      <c r="D28" s="13"/>
      <c r="E28" s="119"/>
      <c r="F28" s="9" t="s">
        <v>54</v>
      </c>
      <c r="G28" s="70">
        <f t="shared" si="1"/>
        <v>793339</v>
      </c>
      <c r="H28" s="16" t="s">
        <v>230</v>
      </c>
      <c r="I28" s="70">
        <f>552163+226003+12346+3941-1114-12347</f>
        <v>780992</v>
      </c>
      <c r="J28" s="70">
        <v>12347</v>
      </c>
      <c r="K28" s="69">
        <f t="shared" si="0"/>
        <v>793339</v>
      </c>
      <c r="L28" s="17"/>
    </row>
    <row r="29" spans="1:12" x14ac:dyDescent="0.35">
      <c r="A29" s="8"/>
      <c r="B29" s="9"/>
      <c r="C29" s="119" t="s">
        <v>55</v>
      </c>
      <c r="D29" s="13"/>
      <c r="E29" s="119"/>
      <c r="F29" s="9" t="s">
        <v>56</v>
      </c>
      <c r="G29" s="70">
        <f t="shared" si="1"/>
        <v>0</v>
      </c>
      <c r="H29" s="16"/>
      <c r="I29" s="70"/>
      <c r="J29" s="70"/>
      <c r="K29" s="69">
        <f t="shared" si="0"/>
        <v>0</v>
      </c>
      <c r="L29" s="17"/>
    </row>
    <row r="30" spans="1:12" x14ac:dyDescent="0.35">
      <c r="A30" s="8"/>
      <c r="B30" s="9"/>
      <c r="C30" s="119" t="s">
        <v>57</v>
      </c>
      <c r="D30" s="13"/>
      <c r="E30" s="119"/>
      <c r="F30" s="9" t="s">
        <v>58</v>
      </c>
      <c r="G30" s="70">
        <f t="shared" si="1"/>
        <v>0</v>
      </c>
      <c r="H30" s="16"/>
      <c r="I30" s="70"/>
      <c r="J30" s="70"/>
      <c r="K30" s="69">
        <f t="shared" si="0"/>
        <v>0</v>
      </c>
      <c r="L30" s="17"/>
    </row>
    <row r="31" spans="1:12" x14ac:dyDescent="0.35">
      <c r="A31" s="8"/>
      <c r="B31" s="9"/>
      <c r="C31" s="119" t="s">
        <v>60</v>
      </c>
      <c r="D31" s="13"/>
      <c r="E31" s="119"/>
      <c r="F31" s="9" t="s">
        <v>61</v>
      </c>
      <c r="G31" s="70">
        <f t="shared" si="1"/>
        <v>249875</v>
      </c>
      <c r="H31" s="16" t="s">
        <v>225</v>
      </c>
      <c r="I31" s="70">
        <f>168451+64639+16785</f>
        <v>249875</v>
      </c>
      <c r="J31" s="70"/>
      <c r="K31" s="69">
        <f t="shared" si="0"/>
        <v>249875</v>
      </c>
      <c r="L31" s="17"/>
    </row>
    <row r="32" spans="1:12" x14ac:dyDescent="0.35">
      <c r="A32" s="8"/>
      <c r="B32" s="9"/>
      <c r="C32" s="119" t="s">
        <v>62</v>
      </c>
      <c r="D32" s="13"/>
      <c r="E32" s="119"/>
      <c r="F32" s="9" t="s">
        <v>63</v>
      </c>
      <c r="G32" s="70">
        <f t="shared" si="1"/>
        <v>409781</v>
      </c>
      <c r="H32" s="16" t="s">
        <v>226</v>
      </c>
      <c r="I32" s="70">
        <v>0</v>
      </c>
      <c r="J32" s="70">
        <f>267320+95944+1+46515+1</f>
        <v>409781</v>
      </c>
      <c r="K32" s="69">
        <f t="shared" si="0"/>
        <v>409781</v>
      </c>
      <c r="L32" s="17"/>
    </row>
    <row r="33" spans="1:12" x14ac:dyDescent="0.35">
      <c r="A33" s="9"/>
      <c r="B33" s="9"/>
      <c r="C33" s="119" t="s">
        <v>64</v>
      </c>
      <c r="D33" s="9"/>
      <c r="E33" s="119"/>
      <c r="F33" s="9" t="s">
        <v>65</v>
      </c>
      <c r="G33" s="70">
        <f t="shared" si="1"/>
        <v>0</v>
      </c>
      <c r="H33" s="16"/>
      <c r="I33" s="70"/>
      <c r="J33" s="70"/>
      <c r="K33" s="69">
        <f t="shared" si="0"/>
        <v>0</v>
      </c>
      <c r="L33" s="17"/>
    </row>
    <row r="34" spans="1:12" x14ac:dyDescent="0.35">
      <c r="A34" s="9"/>
      <c r="B34" s="9"/>
      <c r="C34" s="119" t="s">
        <v>66</v>
      </c>
      <c r="D34" s="9"/>
      <c r="E34" s="9"/>
      <c r="F34" s="9" t="s">
        <v>67</v>
      </c>
      <c r="G34" s="70">
        <f t="shared" si="1"/>
        <v>0</v>
      </c>
      <c r="H34" s="16"/>
      <c r="I34" s="70"/>
      <c r="J34" s="70"/>
      <c r="K34" s="69">
        <f t="shared" si="0"/>
        <v>0</v>
      </c>
      <c r="L34" s="17"/>
    </row>
    <row r="35" spans="1:12" x14ac:dyDescent="0.35">
      <c r="A35" s="9"/>
      <c r="B35" s="9"/>
      <c r="C35" s="119" t="s">
        <v>68</v>
      </c>
      <c r="D35" s="9"/>
      <c r="E35" s="119"/>
      <c r="F35" s="9" t="s">
        <v>69</v>
      </c>
      <c r="G35" s="70">
        <f t="shared" si="1"/>
        <v>0</v>
      </c>
      <c r="H35" s="16"/>
      <c r="I35" s="70"/>
      <c r="J35" s="70"/>
      <c r="K35" s="69">
        <f t="shared" si="0"/>
        <v>0</v>
      </c>
      <c r="L35" s="17"/>
    </row>
    <row r="36" spans="1:12" x14ac:dyDescent="0.35">
      <c r="A36" s="9"/>
      <c r="B36" s="9"/>
      <c r="C36" s="119" t="s">
        <v>70</v>
      </c>
      <c r="D36" s="9"/>
      <c r="E36" s="9"/>
      <c r="F36" s="9" t="s">
        <v>71</v>
      </c>
      <c r="G36" s="70">
        <f t="shared" si="1"/>
        <v>0</v>
      </c>
      <c r="H36" s="16"/>
      <c r="I36" s="70"/>
      <c r="J36" s="70"/>
      <c r="K36" s="69">
        <f t="shared" si="0"/>
        <v>0</v>
      </c>
      <c r="L36" s="17"/>
    </row>
    <row r="37" spans="1:12" x14ac:dyDescent="0.35">
      <c r="A37" s="9"/>
      <c r="B37" s="9"/>
      <c r="C37" s="119" t="s">
        <v>72</v>
      </c>
      <c r="D37" s="9"/>
      <c r="E37" s="121"/>
      <c r="F37" s="9" t="s">
        <v>73</v>
      </c>
      <c r="G37" s="70">
        <f t="shared" si="1"/>
        <v>0</v>
      </c>
      <c r="H37" s="16"/>
      <c r="I37" s="70"/>
      <c r="J37" s="70"/>
      <c r="K37" s="69">
        <f t="shared" si="0"/>
        <v>0</v>
      </c>
      <c r="L37" s="17"/>
    </row>
    <row r="38" spans="1:12" x14ac:dyDescent="0.35">
      <c r="A38" s="9"/>
      <c r="B38" s="9"/>
      <c r="C38" s="119" t="s">
        <v>74</v>
      </c>
      <c r="D38" s="9"/>
      <c r="E38" s="9"/>
      <c r="F38" s="9" t="s">
        <v>75</v>
      </c>
      <c r="G38" s="70">
        <f t="shared" si="1"/>
        <v>0</v>
      </c>
      <c r="H38" s="16"/>
      <c r="I38" s="70"/>
      <c r="J38" s="70"/>
      <c r="K38" s="69">
        <f t="shared" si="0"/>
        <v>0</v>
      </c>
      <c r="L38" s="17"/>
    </row>
    <row r="39" spans="1:12" x14ac:dyDescent="0.35">
      <c r="A39" s="9"/>
      <c r="B39" s="9"/>
      <c r="C39" s="119" t="s">
        <v>76</v>
      </c>
      <c r="D39" s="9"/>
      <c r="E39" s="9"/>
      <c r="F39" s="9" t="s">
        <v>77</v>
      </c>
      <c r="G39" s="70">
        <f t="shared" si="1"/>
        <v>0</v>
      </c>
      <c r="H39" s="16"/>
      <c r="I39" s="70"/>
      <c r="J39" s="70"/>
      <c r="K39" s="69">
        <f t="shared" si="0"/>
        <v>0</v>
      </c>
      <c r="L39" s="17"/>
    </row>
    <row r="40" spans="1:12" x14ac:dyDescent="0.35">
      <c r="A40" s="9"/>
      <c r="B40" s="9"/>
      <c r="C40" s="119" t="s">
        <v>78</v>
      </c>
      <c r="D40" s="9"/>
      <c r="E40" s="9"/>
      <c r="F40" s="9" t="s">
        <v>79</v>
      </c>
      <c r="G40" s="70">
        <f t="shared" si="1"/>
        <v>0</v>
      </c>
      <c r="H40" s="16"/>
      <c r="I40" s="70"/>
      <c r="J40" s="70"/>
      <c r="K40" s="69">
        <f t="shared" si="0"/>
        <v>0</v>
      </c>
      <c r="L40" s="17"/>
    </row>
    <row r="41" spans="1:12" x14ac:dyDescent="0.35">
      <c r="A41" s="9"/>
      <c r="B41" s="9"/>
      <c r="C41" s="119" t="s">
        <v>80</v>
      </c>
      <c r="D41" s="9"/>
      <c r="E41" s="9"/>
      <c r="F41" s="9" t="s">
        <v>81</v>
      </c>
      <c r="G41" s="70"/>
      <c r="H41" s="16"/>
      <c r="I41" s="70"/>
      <c r="J41" s="70"/>
      <c r="K41" s="69">
        <f t="shared" si="0"/>
        <v>0</v>
      </c>
      <c r="L41" s="17"/>
    </row>
    <row r="42" spans="1:12" x14ac:dyDescent="0.35">
      <c r="A42" s="9"/>
      <c r="B42" s="9" t="s">
        <v>82</v>
      </c>
      <c r="C42" s="119"/>
      <c r="D42" s="9"/>
      <c r="E42" s="9" t="s">
        <v>83</v>
      </c>
      <c r="F42" s="9"/>
      <c r="G42" s="69">
        <f>SUM(G43:G63)</f>
        <v>9290914</v>
      </c>
      <c r="H42" s="9"/>
      <c r="I42" s="69">
        <f>SUM(I43:I63)</f>
        <v>983483</v>
      </c>
      <c r="J42" s="69">
        <f>SUM(J43:J63)</f>
        <v>8307431</v>
      </c>
      <c r="K42" s="69"/>
      <c r="L42" s="14"/>
    </row>
    <row r="43" spans="1:12" x14ac:dyDescent="0.35">
      <c r="A43" s="9"/>
      <c r="B43" s="9"/>
      <c r="C43" s="119" t="s">
        <v>84</v>
      </c>
      <c r="D43" s="9"/>
      <c r="E43" s="9"/>
      <c r="F43" s="9" t="s">
        <v>85</v>
      </c>
      <c r="G43" s="70">
        <f t="shared" ref="G43:G63" si="2">+I43+J43</f>
        <v>6182994</v>
      </c>
      <c r="H43" s="16" t="s">
        <v>226</v>
      </c>
      <c r="I43" s="70">
        <v>0</v>
      </c>
      <c r="J43" s="70">
        <f>134097+609062+421776+70825+596511+254999+69914+226082+143258+26178+226615+87865+1167573+868783+551659+288409+99352+341347+3-1314</f>
        <v>6182994</v>
      </c>
      <c r="K43" s="69">
        <f t="shared" si="0"/>
        <v>6182994</v>
      </c>
      <c r="L43" s="17"/>
    </row>
    <row r="44" spans="1:12" x14ac:dyDescent="0.35">
      <c r="A44" s="9"/>
      <c r="B44" s="9"/>
      <c r="C44" s="119" t="s">
        <v>86</v>
      </c>
      <c r="D44" s="9"/>
      <c r="E44" s="9"/>
      <c r="F44" s="9" t="s">
        <v>87</v>
      </c>
      <c r="G44" s="70">
        <f t="shared" si="2"/>
        <v>0</v>
      </c>
      <c r="H44" s="16"/>
      <c r="I44" s="70"/>
      <c r="J44" s="70"/>
      <c r="K44" s="69">
        <f t="shared" si="0"/>
        <v>0</v>
      </c>
      <c r="L44" s="17"/>
    </row>
    <row r="45" spans="1:12" x14ac:dyDescent="0.35">
      <c r="A45" s="9"/>
      <c r="B45" s="9"/>
      <c r="C45" s="119" t="s">
        <v>88</v>
      </c>
      <c r="D45" s="9"/>
      <c r="E45" s="9"/>
      <c r="F45" s="9" t="s">
        <v>89</v>
      </c>
      <c r="G45" s="70">
        <f t="shared" si="2"/>
        <v>0</v>
      </c>
      <c r="H45" s="16"/>
      <c r="I45" s="70"/>
      <c r="J45" s="70"/>
      <c r="K45" s="69">
        <f t="shared" si="0"/>
        <v>0</v>
      </c>
      <c r="L45" s="17"/>
    </row>
    <row r="46" spans="1:12" x14ac:dyDescent="0.35">
      <c r="A46" s="9"/>
      <c r="B46" s="9"/>
      <c r="C46" s="119" t="s">
        <v>90</v>
      </c>
      <c r="D46" s="9"/>
      <c r="E46" s="9"/>
      <c r="F46" s="9" t="s">
        <v>91</v>
      </c>
      <c r="G46" s="70">
        <f t="shared" si="2"/>
        <v>0</v>
      </c>
      <c r="H46" s="16"/>
      <c r="I46" s="70"/>
      <c r="J46" s="70"/>
      <c r="K46" s="69">
        <f t="shared" si="0"/>
        <v>0</v>
      </c>
      <c r="L46" s="17"/>
    </row>
    <row r="47" spans="1:12" x14ac:dyDescent="0.35">
      <c r="A47" s="9"/>
      <c r="B47" s="9"/>
      <c r="C47" s="119" t="s">
        <v>92</v>
      </c>
      <c r="D47" s="9"/>
      <c r="E47" s="9"/>
      <c r="F47" s="9" t="s">
        <v>93</v>
      </c>
      <c r="G47" s="70">
        <f t="shared" si="2"/>
        <v>602581</v>
      </c>
      <c r="H47" s="16" t="s">
        <v>225</v>
      </c>
      <c r="I47" s="70">
        <f>404111+147812+50658</f>
        <v>602581</v>
      </c>
      <c r="J47" s="70"/>
      <c r="K47" s="69">
        <f t="shared" si="0"/>
        <v>602581</v>
      </c>
      <c r="L47" s="17"/>
    </row>
    <row r="48" spans="1:12" x14ac:dyDescent="0.35">
      <c r="A48" s="9"/>
      <c r="B48" s="9"/>
      <c r="C48" s="119" t="s">
        <v>94</v>
      </c>
      <c r="D48" s="9"/>
      <c r="E48" s="9"/>
      <c r="F48" s="9" t="s">
        <v>95</v>
      </c>
      <c r="G48" s="70">
        <f t="shared" si="2"/>
        <v>0</v>
      </c>
      <c r="H48" s="16"/>
      <c r="I48" s="70">
        <v>0</v>
      </c>
      <c r="J48" s="70"/>
      <c r="K48" s="69">
        <f t="shared" si="0"/>
        <v>0</v>
      </c>
      <c r="L48" s="17"/>
    </row>
    <row r="49" spans="1:12" x14ac:dyDescent="0.35">
      <c r="A49" s="9"/>
      <c r="B49" s="9"/>
      <c r="C49" s="119" t="s">
        <v>96</v>
      </c>
      <c r="D49" s="9"/>
      <c r="E49" s="9"/>
      <c r="F49" s="9" t="s">
        <v>97</v>
      </c>
      <c r="G49" s="70">
        <f t="shared" si="2"/>
        <v>224586</v>
      </c>
      <c r="H49" s="16" t="s">
        <v>225</v>
      </c>
      <c r="I49" s="70">
        <f>61375+154184+9027</f>
        <v>224586</v>
      </c>
      <c r="J49" s="70"/>
      <c r="K49" s="69">
        <f t="shared" si="0"/>
        <v>224586</v>
      </c>
      <c r="L49" s="17"/>
    </row>
    <row r="50" spans="1:12" x14ac:dyDescent="0.35">
      <c r="A50" s="9"/>
      <c r="B50" s="9"/>
      <c r="C50" s="119" t="s">
        <v>98</v>
      </c>
      <c r="D50" s="9"/>
      <c r="E50" s="9"/>
      <c r="F50" s="9" t="s">
        <v>99</v>
      </c>
      <c r="G50" s="70">
        <f t="shared" si="2"/>
        <v>114034</v>
      </c>
      <c r="H50" s="16" t="s">
        <v>225</v>
      </c>
      <c r="I50" s="70">
        <f>31468+58564+24002</f>
        <v>114034</v>
      </c>
      <c r="J50" s="70"/>
      <c r="K50" s="69">
        <f t="shared" si="0"/>
        <v>114034</v>
      </c>
      <c r="L50" s="17"/>
    </row>
    <row r="51" spans="1:12" x14ac:dyDescent="0.35">
      <c r="A51" s="9"/>
      <c r="B51" s="9"/>
      <c r="C51" s="119" t="s">
        <v>100</v>
      </c>
      <c r="D51" s="9"/>
      <c r="E51" s="9"/>
      <c r="F51" s="9" t="s">
        <v>101</v>
      </c>
      <c r="G51" s="70">
        <f t="shared" si="2"/>
        <v>0</v>
      </c>
      <c r="H51" s="16"/>
      <c r="I51" s="70"/>
      <c r="J51" s="70"/>
      <c r="K51" s="69">
        <f t="shared" si="0"/>
        <v>0</v>
      </c>
      <c r="L51" s="17"/>
    </row>
    <row r="52" spans="1:12" x14ac:dyDescent="0.35">
      <c r="A52" s="9"/>
      <c r="B52" s="9"/>
      <c r="C52" s="119" t="s">
        <v>102</v>
      </c>
      <c r="D52" s="9"/>
      <c r="E52" s="9"/>
      <c r="F52" s="9" t="s">
        <v>103</v>
      </c>
      <c r="G52" s="70">
        <f t="shared" si="2"/>
        <v>0</v>
      </c>
      <c r="H52" s="16"/>
      <c r="I52" s="70"/>
      <c r="J52" s="70"/>
      <c r="K52" s="69">
        <f t="shared" si="0"/>
        <v>0</v>
      </c>
      <c r="L52" s="17"/>
    </row>
    <row r="53" spans="1:12" x14ac:dyDescent="0.35">
      <c r="A53" s="9"/>
      <c r="B53" s="9"/>
      <c r="C53" s="119" t="s">
        <v>104</v>
      </c>
      <c r="D53" s="9"/>
      <c r="E53" s="9"/>
      <c r="F53" s="9" t="s">
        <v>105</v>
      </c>
      <c r="G53" s="70">
        <f t="shared" si="2"/>
        <v>0</v>
      </c>
      <c r="H53" s="16"/>
      <c r="I53" s="70"/>
      <c r="J53" s="70"/>
      <c r="K53" s="69">
        <f t="shared" si="0"/>
        <v>0</v>
      </c>
      <c r="L53" s="17"/>
    </row>
    <row r="54" spans="1:12" x14ac:dyDescent="0.35">
      <c r="A54" s="9"/>
      <c r="B54" s="9"/>
      <c r="C54" s="119" t="s">
        <v>106</v>
      </c>
      <c r="D54" s="9"/>
      <c r="E54" s="9"/>
      <c r="F54" s="9" t="s">
        <v>107</v>
      </c>
      <c r="G54" s="70">
        <f t="shared" si="2"/>
        <v>42282</v>
      </c>
      <c r="H54" s="16" t="s">
        <v>225</v>
      </c>
      <c r="I54" s="70">
        <v>42282</v>
      </c>
      <c r="J54" s="70"/>
      <c r="K54" s="69">
        <f t="shared" si="0"/>
        <v>42282</v>
      </c>
      <c r="L54" s="17"/>
    </row>
    <row r="55" spans="1:12" x14ac:dyDescent="0.35">
      <c r="A55" s="9"/>
      <c r="B55" s="9"/>
      <c r="C55" s="119" t="s">
        <v>108</v>
      </c>
      <c r="D55" s="9"/>
      <c r="E55" s="9"/>
      <c r="F55" s="9" t="s">
        <v>109</v>
      </c>
      <c r="G55" s="70">
        <f t="shared" si="2"/>
        <v>0</v>
      </c>
      <c r="H55" s="16"/>
      <c r="I55" s="70"/>
      <c r="J55" s="70"/>
      <c r="K55" s="69">
        <f t="shared" si="0"/>
        <v>0</v>
      </c>
      <c r="L55" s="17"/>
    </row>
    <row r="56" spans="1:12" x14ac:dyDescent="0.35">
      <c r="A56" s="9"/>
      <c r="B56" s="9"/>
      <c r="C56" s="119" t="s">
        <v>110</v>
      </c>
      <c r="D56" s="9"/>
      <c r="E56" s="9"/>
      <c r="F56" s="9" t="s">
        <v>111</v>
      </c>
      <c r="G56" s="70">
        <f t="shared" si="2"/>
        <v>92516</v>
      </c>
      <c r="H56" s="16" t="s">
        <v>226</v>
      </c>
      <c r="I56" s="70">
        <v>0</v>
      </c>
      <c r="J56" s="70">
        <v>92516</v>
      </c>
      <c r="K56" s="69">
        <f t="shared" si="0"/>
        <v>92516</v>
      </c>
      <c r="L56" s="17"/>
    </row>
    <row r="57" spans="1:12" x14ac:dyDescent="0.35">
      <c r="A57" s="9"/>
      <c r="B57" s="9"/>
      <c r="C57" s="119" t="s">
        <v>112</v>
      </c>
      <c r="D57" s="9"/>
      <c r="E57" s="9"/>
      <c r="F57" s="9" t="s">
        <v>113</v>
      </c>
      <c r="G57" s="70">
        <f t="shared" si="2"/>
        <v>185876</v>
      </c>
      <c r="H57" s="16" t="s">
        <v>226</v>
      </c>
      <c r="I57" s="70">
        <v>0</v>
      </c>
      <c r="J57" s="70">
        <f>14111+36994+5699+62588+11068+55413+3</f>
        <v>185876</v>
      </c>
      <c r="K57" s="69">
        <f t="shared" si="0"/>
        <v>185876</v>
      </c>
      <c r="L57" s="17"/>
    </row>
    <row r="58" spans="1:12" x14ac:dyDescent="0.35">
      <c r="A58" s="9"/>
      <c r="B58" s="9"/>
      <c r="C58" s="119" t="s">
        <v>114</v>
      </c>
      <c r="D58" s="9"/>
      <c r="E58" s="9"/>
      <c r="F58" s="9" t="s">
        <v>115</v>
      </c>
      <c r="G58" s="70">
        <f t="shared" si="2"/>
        <v>0</v>
      </c>
      <c r="H58" s="16"/>
      <c r="I58" s="70"/>
      <c r="J58" s="70"/>
      <c r="K58" s="69">
        <f t="shared" si="0"/>
        <v>0</v>
      </c>
      <c r="L58" s="17"/>
    </row>
    <row r="59" spans="1:12" x14ac:dyDescent="0.35">
      <c r="A59" s="9"/>
      <c r="B59" s="9"/>
      <c r="C59" s="119" t="s">
        <v>116</v>
      </c>
      <c r="D59" s="9"/>
      <c r="E59" s="9"/>
      <c r="F59" s="9" t="s">
        <v>117</v>
      </c>
      <c r="G59" s="70">
        <f t="shared" si="2"/>
        <v>3679</v>
      </c>
      <c r="H59" s="16" t="s">
        <v>226</v>
      </c>
      <c r="I59" s="70">
        <v>0</v>
      </c>
      <c r="J59" s="70">
        <v>3679</v>
      </c>
      <c r="K59" s="69">
        <f t="shared" si="0"/>
        <v>3679</v>
      </c>
      <c r="L59" s="17"/>
    </row>
    <row r="60" spans="1:12" x14ac:dyDescent="0.35">
      <c r="A60" s="9"/>
      <c r="B60" s="9"/>
      <c r="C60" s="119" t="s">
        <v>118</v>
      </c>
      <c r="D60" s="9"/>
      <c r="E60" s="9"/>
      <c r="F60" s="9" t="s">
        <v>119</v>
      </c>
      <c r="G60" s="70">
        <f t="shared" si="2"/>
        <v>1196414</v>
      </c>
      <c r="H60" s="16" t="s">
        <v>226</v>
      </c>
      <c r="I60" s="70">
        <v>0</v>
      </c>
      <c r="J60" s="70">
        <v>1196414</v>
      </c>
      <c r="K60" s="69">
        <f t="shared" si="0"/>
        <v>1196414</v>
      </c>
      <c r="L60" s="17"/>
    </row>
    <row r="61" spans="1:12" x14ac:dyDescent="0.35">
      <c r="A61" s="9"/>
      <c r="B61" s="9"/>
      <c r="C61" s="119" t="s">
        <v>120</v>
      </c>
      <c r="D61" s="9"/>
      <c r="E61" s="9"/>
      <c r="F61" s="9" t="s">
        <v>121</v>
      </c>
      <c r="G61" s="70">
        <f t="shared" si="2"/>
        <v>87538</v>
      </c>
      <c r="H61" s="16" t="s">
        <v>225</v>
      </c>
      <c r="I61" s="70">
        <v>0</v>
      </c>
      <c r="J61" s="70">
        <v>87538</v>
      </c>
      <c r="K61" s="69">
        <f t="shared" si="0"/>
        <v>87538</v>
      </c>
      <c r="L61" s="17"/>
    </row>
    <row r="62" spans="1:12" x14ac:dyDescent="0.35">
      <c r="A62" s="9"/>
      <c r="B62" s="9"/>
      <c r="C62" s="119" t="s">
        <v>122</v>
      </c>
      <c r="D62" s="9"/>
      <c r="E62" s="9"/>
      <c r="F62" s="9" t="s">
        <v>123</v>
      </c>
      <c r="G62" s="70">
        <f t="shared" si="2"/>
        <v>468392</v>
      </c>
      <c r="H62" s="16" t="s">
        <v>226</v>
      </c>
      <c r="I62" s="70">
        <v>0</v>
      </c>
      <c r="J62" s="70">
        <v>468392</v>
      </c>
      <c r="K62" s="69">
        <f t="shared" si="0"/>
        <v>468392</v>
      </c>
      <c r="L62" s="17"/>
    </row>
    <row r="63" spans="1:12" x14ac:dyDescent="0.35">
      <c r="A63" s="9"/>
      <c r="B63" s="9"/>
      <c r="C63" s="119" t="s">
        <v>124</v>
      </c>
      <c r="D63" s="9"/>
      <c r="E63" s="9"/>
      <c r="F63" s="9" t="s">
        <v>125</v>
      </c>
      <c r="G63" s="70">
        <f t="shared" si="2"/>
        <v>90022</v>
      </c>
      <c r="H63" s="16" t="s">
        <v>226</v>
      </c>
      <c r="I63" s="70">
        <v>0</v>
      </c>
      <c r="J63" s="70">
        <v>90022</v>
      </c>
      <c r="K63" s="69">
        <f t="shared" si="0"/>
        <v>90022</v>
      </c>
      <c r="L63" s="17"/>
    </row>
    <row r="64" spans="1:12" hidden="1" x14ac:dyDescent="0.35">
      <c r="A64" s="9"/>
      <c r="B64" s="9" t="s">
        <v>126</v>
      </c>
      <c r="C64" s="119"/>
      <c r="D64" s="9"/>
      <c r="E64" s="9" t="s">
        <v>127</v>
      </c>
      <c r="F64" s="9"/>
      <c r="G64" s="69"/>
      <c r="H64" s="9"/>
      <c r="I64" s="69"/>
      <c r="J64" s="69"/>
      <c r="K64" s="69"/>
      <c r="L64" s="14"/>
    </row>
    <row r="65" spans="1:12" hidden="1" x14ac:dyDescent="0.35">
      <c r="A65" s="9"/>
      <c r="B65" s="9" t="s">
        <v>128</v>
      </c>
      <c r="C65" s="119"/>
      <c r="D65" s="9"/>
      <c r="E65" s="9" t="s">
        <v>127</v>
      </c>
      <c r="F65" s="9"/>
      <c r="G65" s="69"/>
      <c r="H65" s="9"/>
      <c r="I65" s="69"/>
      <c r="J65" s="69"/>
      <c r="K65" s="69"/>
      <c r="L65" s="14"/>
    </row>
    <row r="66" spans="1:12" x14ac:dyDescent="0.35">
      <c r="A66" s="9"/>
      <c r="B66" s="9" t="s">
        <v>129</v>
      </c>
      <c r="C66" s="119"/>
      <c r="D66" s="9"/>
      <c r="E66" s="9" t="s">
        <v>130</v>
      </c>
      <c r="F66" s="9"/>
      <c r="G66" s="69">
        <f>SUM(G67:G69)</f>
        <v>113178</v>
      </c>
      <c r="H66" s="9"/>
      <c r="I66" s="69">
        <f>SUM(I67:I69)</f>
        <v>113178</v>
      </c>
      <c r="J66" s="69">
        <f>SUM(J67:J69)</f>
        <v>0</v>
      </c>
      <c r="K66" s="69"/>
      <c r="L66" s="14"/>
    </row>
    <row r="67" spans="1:12" x14ac:dyDescent="0.35">
      <c r="A67" s="9"/>
      <c r="B67" s="9"/>
      <c r="C67" s="119" t="s">
        <v>131</v>
      </c>
      <c r="D67" s="9"/>
      <c r="E67" s="9"/>
      <c r="F67" s="9" t="s">
        <v>132</v>
      </c>
      <c r="G67" s="70">
        <f t="shared" ref="G67:G69" si="3">+I67+J67</f>
        <v>113178</v>
      </c>
      <c r="H67" s="16" t="s">
        <v>225</v>
      </c>
      <c r="I67" s="70">
        <f>13033+25592+74553</f>
        <v>113178</v>
      </c>
      <c r="J67" s="70">
        <v>0</v>
      </c>
      <c r="K67" s="69">
        <f t="shared" ref="K67:K69" si="4">I67+J67</f>
        <v>113178</v>
      </c>
      <c r="L67" s="17"/>
    </row>
    <row r="68" spans="1:12" x14ac:dyDescent="0.35">
      <c r="A68" s="9"/>
      <c r="B68" s="9"/>
      <c r="C68" s="119" t="s">
        <v>133</v>
      </c>
      <c r="D68" s="9"/>
      <c r="E68" s="9"/>
      <c r="F68" s="9" t="s">
        <v>134</v>
      </c>
      <c r="G68" s="70">
        <f t="shared" si="3"/>
        <v>0</v>
      </c>
      <c r="H68" s="16"/>
      <c r="I68" s="70"/>
      <c r="J68" s="70"/>
      <c r="K68" s="69">
        <f t="shared" si="4"/>
        <v>0</v>
      </c>
      <c r="L68" s="17"/>
    </row>
    <row r="69" spans="1:12" x14ac:dyDescent="0.35">
      <c r="A69" s="9"/>
      <c r="B69" s="9"/>
      <c r="C69" s="119" t="s">
        <v>135</v>
      </c>
      <c r="D69" s="9"/>
      <c r="E69" s="9"/>
      <c r="F69" s="9" t="s">
        <v>136</v>
      </c>
      <c r="G69" s="70">
        <f t="shared" si="3"/>
        <v>0</v>
      </c>
      <c r="H69" s="16"/>
      <c r="I69" s="70"/>
      <c r="J69" s="70"/>
      <c r="K69" s="69">
        <f t="shared" si="4"/>
        <v>0</v>
      </c>
      <c r="L69" s="17"/>
    </row>
    <row r="70" spans="1:12" x14ac:dyDescent="0.35">
      <c r="A70" s="9"/>
      <c r="B70" s="9" t="s">
        <v>137</v>
      </c>
      <c r="C70" s="119"/>
      <c r="D70" s="9"/>
      <c r="E70" s="9" t="s">
        <v>138</v>
      </c>
      <c r="F70" s="9"/>
      <c r="G70" s="69">
        <f>SUM(G71:G73)</f>
        <v>2004589</v>
      </c>
      <c r="H70" s="9"/>
      <c r="I70" s="69">
        <f>SUM(I71:I73)</f>
        <v>0</v>
      </c>
      <c r="J70" s="69">
        <f>SUM(J71:J73)</f>
        <v>2004589</v>
      </c>
      <c r="K70" s="69"/>
      <c r="L70" s="14"/>
    </row>
    <row r="71" spans="1:12" x14ac:dyDescent="0.35">
      <c r="A71" s="9"/>
      <c r="B71" s="9"/>
      <c r="C71" s="119" t="s">
        <v>139</v>
      </c>
      <c r="D71" s="9"/>
      <c r="E71" s="9"/>
      <c r="F71" s="9" t="s">
        <v>140</v>
      </c>
      <c r="G71" s="70">
        <f t="shared" ref="G71:G73" si="5">+I71+J71</f>
        <v>129380</v>
      </c>
      <c r="H71" s="16" t="s">
        <v>226</v>
      </c>
      <c r="I71" s="70">
        <v>0</v>
      </c>
      <c r="J71" s="70">
        <f>10928+28819+89633</f>
        <v>129380</v>
      </c>
      <c r="K71" s="69">
        <f t="shared" ref="K71:K73" si="6">I71+J71</f>
        <v>129380</v>
      </c>
      <c r="L71" s="17"/>
    </row>
    <row r="72" spans="1:12" x14ac:dyDescent="0.35">
      <c r="A72" s="9"/>
      <c r="B72" s="9"/>
      <c r="C72" s="119" t="s">
        <v>141</v>
      </c>
      <c r="D72" s="9"/>
      <c r="E72" s="9"/>
      <c r="F72" s="9" t="s">
        <v>142</v>
      </c>
      <c r="G72" s="70">
        <f t="shared" si="5"/>
        <v>1126681</v>
      </c>
      <c r="H72" s="16" t="s">
        <v>226</v>
      </c>
      <c r="I72" s="70">
        <v>0</v>
      </c>
      <c r="J72" s="70">
        <f>543280+5586+415594+149864+2357+10000</f>
        <v>1126681</v>
      </c>
      <c r="K72" s="69">
        <f t="shared" si="6"/>
        <v>1126681</v>
      </c>
      <c r="L72" s="17"/>
    </row>
    <row r="73" spans="1:12" x14ac:dyDescent="0.35">
      <c r="A73" s="9"/>
      <c r="B73" s="9"/>
      <c r="C73" s="119" t="s">
        <v>143</v>
      </c>
      <c r="D73" s="9"/>
      <c r="E73" s="9"/>
      <c r="F73" s="9" t="s">
        <v>144</v>
      </c>
      <c r="G73" s="70">
        <f t="shared" si="5"/>
        <v>748528</v>
      </c>
      <c r="H73" s="16" t="s">
        <v>226</v>
      </c>
      <c r="I73" s="70">
        <v>0</v>
      </c>
      <c r="J73" s="70">
        <f>46676+36665+458319+206864+4</f>
        <v>748528</v>
      </c>
      <c r="K73" s="69">
        <f t="shared" si="6"/>
        <v>748528</v>
      </c>
      <c r="L73" s="17"/>
    </row>
    <row r="74" spans="1:12" hidden="1" x14ac:dyDescent="0.35">
      <c r="A74" s="9"/>
      <c r="B74" s="9" t="s">
        <v>145</v>
      </c>
      <c r="C74" s="119"/>
      <c r="D74" s="9"/>
      <c r="E74" s="9" t="s">
        <v>127</v>
      </c>
      <c r="F74" s="9"/>
      <c r="G74" s="69"/>
      <c r="H74" s="9"/>
      <c r="I74" s="69"/>
      <c r="J74" s="69"/>
      <c r="K74" s="69"/>
      <c r="L74" s="14"/>
    </row>
    <row r="75" spans="1:12" hidden="1" x14ac:dyDescent="0.35">
      <c r="A75" s="9"/>
      <c r="B75" s="9" t="s">
        <v>146</v>
      </c>
      <c r="C75" s="119"/>
      <c r="D75" s="9"/>
      <c r="E75" s="9" t="s">
        <v>127</v>
      </c>
      <c r="F75" s="9"/>
      <c r="G75" s="69"/>
      <c r="H75" s="9"/>
      <c r="I75" s="69"/>
      <c r="J75" s="69"/>
      <c r="K75" s="69"/>
      <c r="L75" s="14"/>
    </row>
    <row r="76" spans="1:12" s="7" customFormat="1" x14ac:dyDescent="0.35">
      <c r="A76" s="4" t="s">
        <v>147</v>
      </c>
      <c r="B76" s="4"/>
      <c r="C76" s="122"/>
      <c r="D76" s="4"/>
      <c r="E76" s="4"/>
      <c r="F76" s="4"/>
      <c r="G76" s="138">
        <f>G8+G25+G42+G66+G70</f>
        <v>15861385</v>
      </c>
      <c r="H76" s="88"/>
      <c r="I76" s="138">
        <f>I8+I25+I42+I66+I70</f>
        <v>5127237</v>
      </c>
      <c r="J76" s="138">
        <f>J8+J25+J42+J66+J70</f>
        <v>10734148</v>
      </c>
      <c r="K76" s="69">
        <f t="shared" ref="K76" si="7">I76+J76</f>
        <v>15861385</v>
      </c>
      <c r="L76" s="25"/>
    </row>
    <row r="77" spans="1:12" x14ac:dyDescent="0.35">
      <c r="F77" s="139" t="s">
        <v>200</v>
      </c>
      <c r="G77" s="140">
        <f>'[18]CA2 Detail'!L173</f>
        <v>15861385</v>
      </c>
      <c r="H77" s="13"/>
      <c r="I77" s="89">
        <f>I76/G76</f>
        <v>0.32325279286770986</v>
      </c>
      <c r="J77" s="89">
        <f>J76/G76</f>
        <v>0.6767472071322902</v>
      </c>
      <c r="K77" s="27"/>
    </row>
    <row r="79" spans="1:12" x14ac:dyDescent="0.35">
      <c r="F79" s="142" t="s">
        <v>201</v>
      </c>
    </row>
    <row r="80" spans="1:12" hidden="1" x14ac:dyDescent="0.35">
      <c r="H80" t="s">
        <v>15</v>
      </c>
    </row>
    <row r="81" spans="3:11" hidden="1" x14ac:dyDescent="0.35">
      <c r="C81"/>
      <c r="H81" t="s">
        <v>24</v>
      </c>
    </row>
    <row r="82" spans="3:11" hidden="1" x14ac:dyDescent="0.35">
      <c r="C82"/>
      <c r="H82" t="s">
        <v>59</v>
      </c>
    </row>
    <row r="83" spans="3:11" x14ac:dyDescent="0.35">
      <c r="C83"/>
      <c r="H83" s="139" t="s">
        <v>202</v>
      </c>
      <c r="I83" s="69">
        <f>'[18]CA2 Detail'!W121-'[18]CA2 Detail'!J203</f>
        <v>59332977.751599997</v>
      </c>
      <c r="J83" s="161">
        <f>I76/I83</f>
        <v>8.6414624620146208E-2</v>
      </c>
      <c r="K83" s="142" t="s">
        <v>203</v>
      </c>
    </row>
    <row r="97" spans="3:3" x14ac:dyDescent="0.35">
      <c r="C97"/>
    </row>
    <row r="98" spans="3:3" x14ac:dyDescent="0.35">
      <c r="C98"/>
    </row>
    <row r="99" spans="3:3" x14ac:dyDescent="0.35">
      <c r="C99"/>
    </row>
    <row r="100" spans="3:3" x14ac:dyDescent="0.35">
      <c r="C100"/>
    </row>
    <row r="101" spans="3:3" x14ac:dyDescent="0.35">
      <c r="C101"/>
    </row>
    <row r="102" spans="3:3" x14ac:dyDescent="0.35">
      <c r="C102"/>
    </row>
    <row r="103" spans="3:3" x14ac:dyDescent="0.35">
      <c r="C103"/>
    </row>
    <row r="104" spans="3:3" x14ac:dyDescent="0.35">
      <c r="C104"/>
    </row>
    <row r="105" spans="3:3" x14ac:dyDescent="0.35">
      <c r="C105"/>
    </row>
    <row r="106" spans="3:3" x14ac:dyDescent="0.35">
      <c r="C106"/>
    </row>
    <row r="107" spans="3:3" x14ac:dyDescent="0.35">
      <c r="C107"/>
    </row>
    <row r="108" spans="3:3" x14ac:dyDescent="0.35">
      <c r="C108"/>
    </row>
    <row r="109" spans="3:3" x14ac:dyDescent="0.35">
      <c r="C109"/>
    </row>
    <row r="112" spans="3:3" ht="15" hidden="1" customHeight="1" x14ac:dyDescent="0.35"/>
    <row r="113" ht="15" hidden="1" customHeight="1" x14ac:dyDescent="0.35"/>
    <row r="114" ht="15" hidden="1" customHeight="1" x14ac:dyDescent="0.35"/>
    <row r="115" ht="15" hidden="1" customHeight="1" x14ac:dyDescent="0.35"/>
    <row r="116" ht="15" hidden="1" customHeight="1" x14ac:dyDescent="0.35"/>
    <row r="117" ht="15" hidden="1" customHeight="1" x14ac:dyDescent="0.35"/>
    <row r="118" ht="15" hidden="1" customHeight="1" x14ac:dyDescent="0.35"/>
    <row r="119" ht="15" hidden="1" customHeight="1" x14ac:dyDescent="0.35"/>
    <row r="120" ht="15" hidden="1" customHeight="1" x14ac:dyDescent="0.35"/>
    <row r="121" ht="15" hidden="1" customHeight="1" x14ac:dyDescent="0.35"/>
    <row r="122" ht="15" hidden="1" customHeight="1" x14ac:dyDescent="0.35"/>
    <row r="123" ht="15" hidden="1" customHeight="1" x14ac:dyDescent="0.35"/>
    <row r="124" ht="15" hidden="1" customHeight="1" x14ac:dyDescent="0.35"/>
    <row r="125" ht="15" hidden="1" customHeight="1" x14ac:dyDescent="0.35"/>
    <row r="126" ht="15" hidden="1" customHeight="1" x14ac:dyDescent="0.35"/>
    <row r="127" ht="15" hidden="1" customHeight="1" x14ac:dyDescent="0.35"/>
    <row r="128" ht="15" hidden="1" customHeight="1" x14ac:dyDescent="0.35"/>
    <row r="129" ht="15" hidden="1" customHeight="1" x14ac:dyDescent="0.35"/>
    <row r="130" ht="15" hidden="1" customHeight="1" x14ac:dyDescent="0.35"/>
    <row r="131" ht="15" hidden="1" customHeight="1" x14ac:dyDescent="0.35"/>
    <row r="132" ht="15" hidden="1" customHeight="1" x14ac:dyDescent="0.35"/>
    <row r="133" ht="15" hidden="1" customHeight="1" x14ac:dyDescent="0.35"/>
    <row r="134" ht="15" hidden="1" customHeight="1" x14ac:dyDescent="0.35"/>
    <row r="135" ht="15" hidden="1" customHeight="1" x14ac:dyDescent="0.35"/>
    <row r="136" ht="15" hidden="1" customHeight="1" x14ac:dyDescent="0.35"/>
    <row r="137" ht="15" hidden="1" customHeight="1" x14ac:dyDescent="0.35"/>
    <row r="138" ht="15" hidden="1" customHeight="1" x14ac:dyDescent="0.35"/>
    <row r="139" ht="15" hidden="1" customHeight="1" x14ac:dyDescent="0.35"/>
    <row r="140" ht="15" hidden="1" customHeight="1" x14ac:dyDescent="0.35"/>
  </sheetData>
  <conditionalFormatting sqref="G76">
    <cfRule type="cellIs" dxfId="135" priority="1" operator="notEqual">
      <formula>$G$77</formula>
    </cfRule>
    <cfRule type="cellIs" dxfId="134" priority="2" operator="equal">
      <formula>$G$77</formula>
    </cfRule>
  </conditionalFormatting>
  <conditionalFormatting sqref="K9:K24">
    <cfRule type="cellIs" dxfId="133" priority="13" operator="notEqual">
      <formula>G9</formula>
    </cfRule>
    <cfRule type="cellIs" dxfId="132" priority="14" operator="equal">
      <formula>G9</formula>
    </cfRule>
  </conditionalFormatting>
  <conditionalFormatting sqref="K26:K41">
    <cfRule type="cellIs" dxfId="131" priority="11" operator="notEqual">
      <formula>G26</formula>
    </cfRule>
    <cfRule type="cellIs" dxfId="130" priority="12" operator="equal">
      <formula>G26</formula>
    </cfRule>
  </conditionalFormatting>
  <conditionalFormatting sqref="K43:K63">
    <cfRule type="cellIs" dxfId="129" priority="9" operator="notEqual">
      <formula>G43</formula>
    </cfRule>
    <cfRule type="cellIs" dxfId="128" priority="10" operator="equal">
      <formula>G43</formula>
    </cfRule>
  </conditionalFormatting>
  <conditionalFormatting sqref="K67:K69">
    <cfRule type="cellIs" dxfId="127" priority="7" operator="notEqual">
      <formula>G67</formula>
    </cfRule>
    <cfRule type="cellIs" dxfId="126" priority="8" operator="equal">
      <formula>G67</formula>
    </cfRule>
  </conditionalFormatting>
  <conditionalFormatting sqref="K71:K73">
    <cfRule type="cellIs" dxfId="125" priority="5" operator="notEqual">
      <formula>G71</formula>
    </cfRule>
    <cfRule type="cellIs" dxfId="124" priority="6" operator="equal">
      <formula>G71</formula>
    </cfRule>
  </conditionalFormatting>
  <conditionalFormatting sqref="K76">
    <cfRule type="cellIs" dxfId="123" priority="3" operator="notEqual">
      <formula>G76</formula>
    </cfRule>
    <cfRule type="cellIs" dxfId="122" priority="4" operator="equal">
      <formula>G76</formula>
    </cfRule>
  </conditionalFormatting>
  <dataValidations count="1">
    <dataValidation type="list" allowBlank="1" showInputMessage="1" showErrorMessage="1" sqref="H9:H75" xr:uid="{1C079C54-002F-43B5-AE7D-E633A5D2E4B8}">
      <formula1>$H$80:$H$82</formula1>
    </dataValidation>
  </dataValidations>
  <pageMargins left="0.7" right="0.7" top="0.75" bottom="0.75" header="0.3" footer="0.3"/>
  <pageSetup scale="39" orientation="landscape" r:id="rId1"/>
  <legacy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rgb="FF00B0F0"/>
    <pageSetUpPr fitToPage="1"/>
  </sheetPr>
  <dimension ref="A1:L140"/>
  <sheetViews>
    <sheetView workbookViewId="0"/>
  </sheetViews>
  <sheetFormatPr defaultRowHeight="14.5" x14ac:dyDescent="0.35"/>
  <cols>
    <col min="1" max="2" width="2.81640625" customWidth="1"/>
    <col min="3" max="3" width="10.453125" style="123" bestFit="1" customWidth="1"/>
    <col min="4" max="5" width="2.81640625" customWidth="1"/>
    <col min="6" max="6" width="80.7265625" bestFit="1" customWidth="1"/>
    <col min="7" max="7" width="27.81640625" customWidth="1"/>
    <col min="8" max="8" width="15.26953125" bestFit="1" customWidth="1"/>
    <col min="9" max="9" width="27.26953125" customWidth="1"/>
    <col min="10" max="10" width="26.81640625" customWidth="1"/>
    <col min="11" max="11" width="25.81640625" customWidth="1"/>
    <col min="12" max="12" width="82.54296875" customWidth="1"/>
  </cols>
  <sheetData>
    <row r="1" spans="1:12" x14ac:dyDescent="0.35">
      <c r="A1" s="7"/>
      <c r="B1" s="7"/>
      <c r="C1" s="7"/>
      <c r="D1" s="7"/>
      <c r="E1" s="7"/>
      <c r="F1" s="7"/>
      <c r="G1" s="7"/>
      <c r="H1" s="7"/>
      <c r="I1" s="7" t="s">
        <v>0</v>
      </c>
      <c r="J1" s="7"/>
      <c r="K1" s="7"/>
      <c r="L1" s="7"/>
    </row>
    <row r="2" spans="1:12" x14ac:dyDescent="0.35">
      <c r="A2" s="7"/>
      <c r="B2" s="7"/>
      <c r="C2" s="7"/>
      <c r="D2" s="7"/>
      <c r="E2" s="7"/>
      <c r="F2" s="7"/>
      <c r="G2" s="7"/>
      <c r="H2" s="7"/>
      <c r="I2" s="132" t="s">
        <v>197</v>
      </c>
      <c r="J2" s="7"/>
      <c r="K2" s="7"/>
      <c r="L2" s="7"/>
    </row>
    <row r="3" spans="1:12" x14ac:dyDescent="0.35">
      <c r="A3" s="136" t="s">
        <v>198</v>
      </c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</row>
    <row r="4" spans="1:12" ht="19.5" customHeight="1" x14ac:dyDescent="0.35">
      <c r="A4" s="137" t="str">
        <f>'[19]Data Entry - CA2'!A2</f>
        <v>Polk State College</v>
      </c>
      <c r="C4"/>
    </row>
    <row r="5" spans="1:12" x14ac:dyDescent="0.35">
      <c r="C5"/>
    </row>
    <row r="6" spans="1:12" s="7" customFormat="1" x14ac:dyDescent="0.35">
      <c r="A6" s="3" t="s">
        <v>2</v>
      </c>
      <c r="B6" s="4"/>
      <c r="C6" s="4"/>
      <c r="D6" s="3" t="s">
        <v>3</v>
      </c>
      <c r="E6" s="4"/>
      <c r="F6" s="4"/>
      <c r="G6" s="118" t="s">
        <v>274</v>
      </c>
      <c r="H6" s="6" t="s">
        <v>4</v>
      </c>
      <c r="I6" s="6" t="s">
        <v>5</v>
      </c>
      <c r="J6" s="6" t="s">
        <v>6</v>
      </c>
      <c r="K6" s="6" t="s">
        <v>7</v>
      </c>
      <c r="L6" s="6" t="s">
        <v>199</v>
      </c>
    </row>
    <row r="7" spans="1:12" x14ac:dyDescent="0.35">
      <c r="A7" s="8" t="s">
        <v>9</v>
      </c>
      <c r="B7" s="9"/>
      <c r="C7" s="119"/>
      <c r="D7" s="11" t="s">
        <v>10</v>
      </c>
      <c r="E7" s="119"/>
      <c r="F7" s="119"/>
      <c r="G7" s="69"/>
      <c r="H7" s="9"/>
      <c r="I7" s="69"/>
      <c r="J7" s="69"/>
      <c r="K7" s="69"/>
      <c r="L7" s="11"/>
    </row>
    <row r="8" spans="1:12" x14ac:dyDescent="0.35">
      <c r="A8" s="8"/>
      <c r="B8" s="9" t="s">
        <v>11</v>
      </c>
      <c r="C8" s="119"/>
      <c r="D8" s="13"/>
      <c r="E8" s="9" t="s">
        <v>12</v>
      </c>
      <c r="F8" s="119"/>
      <c r="G8" s="69">
        <f>SUM(G9:G24)</f>
        <v>1683313.42</v>
      </c>
      <c r="H8" s="9"/>
      <c r="I8" s="69">
        <f>SUM(I9:I24)</f>
        <v>1166684.1000000001</v>
      </c>
      <c r="J8" s="69">
        <f>SUM(J9:J24)</f>
        <v>516629.31999999995</v>
      </c>
      <c r="K8" s="69"/>
      <c r="L8" s="14"/>
    </row>
    <row r="9" spans="1:12" x14ac:dyDescent="0.35">
      <c r="A9" s="8"/>
      <c r="B9" s="9"/>
      <c r="C9" s="119" t="s">
        <v>13</v>
      </c>
      <c r="D9" s="13"/>
      <c r="E9" s="119"/>
      <c r="F9" s="9" t="s">
        <v>14</v>
      </c>
      <c r="G9" s="70"/>
      <c r="H9" s="16"/>
      <c r="I9" s="70"/>
      <c r="J9" s="70"/>
      <c r="K9" s="69">
        <f t="shared" ref="K9:K63" si="0">I9+J9</f>
        <v>0</v>
      </c>
      <c r="L9" s="17"/>
    </row>
    <row r="10" spans="1:12" x14ac:dyDescent="0.35">
      <c r="A10" s="8"/>
      <c r="B10" s="9"/>
      <c r="C10" s="119" t="s">
        <v>16</v>
      </c>
      <c r="D10" s="13"/>
      <c r="E10" s="119"/>
      <c r="F10" s="9" t="s">
        <v>17</v>
      </c>
      <c r="G10" s="70">
        <v>75660.23</v>
      </c>
      <c r="H10" s="16" t="s">
        <v>15</v>
      </c>
      <c r="I10" s="70">
        <v>75660.23</v>
      </c>
      <c r="J10" s="70"/>
      <c r="K10" s="69">
        <f t="shared" si="0"/>
        <v>75660.23</v>
      </c>
      <c r="L10" s="17"/>
    </row>
    <row r="11" spans="1:12" x14ac:dyDescent="0.35">
      <c r="A11" s="8"/>
      <c r="B11" s="9"/>
      <c r="C11" s="119" t="s">
        <v>18</v>
      </c>
      <c r="D11" s="13"/>
      <c r="E11" s="119"/>
      <c r="F11" s="9" t="s">
        <v>19</v>
      </c>
      <c r="G11" s="70">
        <v>842281.16000000015</v>
      </c>
      <c r="H11" s="16" t="s">
        <v>15</v>
      </c>
      <c r="I11" s="70">
        <v>842281.16000000015</v>
      </c>
      <c r="J11" s="70">
        <v>0</v>
      </c>
      <c r="K11" s="69">
        <f t="shared" si="0"/>
        <v>842281.16000000015</v>
      </c>
      <c r="L11" s="17"/>
    </row>
    <row r="12" spans="1:12" x14ac:dyDescent="0.35">
      <c r="A12" s="8"/>
      <c r="B12" s="9"/>
      <c r="C12" s="119" t="s">
        <v>20</v>
      </c>
      <c r="D12" s="13"/>
      <c r="E12" s="119"/>
      <c r="F12" s="9" t="s">
        <v>21</v>
      </c>
      <c r="G12" s="70"/>
      <c r="H12" s="16"/>
      <c r="I12" s="70"/>
      <c r="J12" s="70"/>
      <c r="K12" s="69">
        <f t="shared" si="0"/>
        <v>0</v>
      </c>
      <c r="L12" s="17"/>
    </row>
    <row r="13" spans="1:12" x14ac:dyDescent="0.35">
      <c r="A13" s="8"/>
      <c r="B13" s="9"/>
      <c r="C13" s="119" t="s">
        <v>22</v>
      </c>
      <c r="D13" s="13"/>
      <c r="E13" s="119"/>
      <c r="F13" s="9" t="s">
        <v>23</v>
      </c>
      <c r="G13" s="70"/>
      <c r="H13" s="16"/>
      <c r="I13" s="70"/>
      <c r="J13" s="70"/>
      <c r="K13" s="69">
        <f t="shared" si="0"/>
        <v>0</v>
      </c>
      <c r="L13" s="17"/>
    </row>
    <row r="14" spans="1:12" x14ac:dyDescent="0.35">
      <c r="A14" s="8"/>
      <c r="B14" s="9"/>
      <c r="C14" s="119" t="s">
        <v>25</v>
      </c>
      <c r="D14" s="13"/>
      <c r="E14" s="119"/>
      <c r="F14" s="9" t="s">
        <v>26</v>
      </c>
      <c r="G14" s="70"/>
      <c r="H14" s="16"/>
      <c r="I14" s="70"/>
      <c r="J14" s="70"/>
      <c r="K14" s="69">
        <f t="shared" si="0"/>
        <v>0</v>
      </c>
      <c r="L14" s="17"/>
    </row>
    <row r="15" spans="1:12" x14ac:dyDescent="0.35">
      <c r="A15" s="8"/>
      <c r="B15" s="9"/>
      <c r="C15" s="119" t="s">
        <v>27</v>
      </c>
      <c r="D15" s="13"/>
      <c r="E15" s="119"/>
      <c r="F15" s="9" t="s">
        <v>28</v>
      </c>
      <c r="G15" s="70">
        <v>248742.71</v>
      </c>
      <c r="H15" s="16" t="s">
        <v>15</v>
      </c>
      <c r="I15" s="70">
        <v>248742.71</v>
      </c>
      <c r="J15" s="70"/>
      <c r="K15" s="69">
        <f t="shared" si="0"/>
        <v>248742.71</v>
      </c>
      <c r="L15" s="17"/>
    </row>
    <row r="16" spans="1:12" x14ac:dyDescent="0.35">
      <c r="A16" s="8"/>
      <c r="B16" s="9"/>
      <c r="C16" s="119" t="s">
        <v>29</v>
      </c>
      <c r="D16" s="13"/>
      <c r="E16" s="119"/>
      <c r="F16" s="9" t="s">
        <v>30</v>
      </c>
      <c r="G16" s="70"/>
      <c r="H16" s="16"/>
      <c r="I16" s="70"/>
      <c r="J16" s="70"/>
      <c r="K16" s="69">
        <f t="shared" si="0"/>
        <v>0</v>
      </c>
      <c r="L16" s="17"/>
    </row>
    <row r="17" spans="1:12" x14ac:dyDescent="0.35">
      <c r="A17" s="8"/>
      <c r="B17" s="9"/>
      <c r="C17" s="119" t="s">
        <v>31</v>
      </c>
      <c r="D17" s="13"/>
      <c r="E17" s="119"/>
      <c r="F17" s="9" t="s">
        <v>32</v>
      </c>
      <c r="G17" s="70">
        <v>516629.31999999995</v>
      </c>
      <c r="H17" s="16" t="s">
        <v>24</v>
      </c>
      <c r="I17" s="70"/>
      <c r="J17" s="70">
        <v>516629.31999999995</v>
      </c>
      <c r="K17" s="69">
        <f t="shared" si="0"/>
        <v>516629.31999999995</v>
      </c>
      <c r="L17" s="17"/>
    </row>
    <row r="18" spans="1:12" x14ac:dyDescent="0.35">
      <c r="A18" s="8"/>
      <c r="B18" s="9"/>
      <c r="C18" s="119" t="s">
        <v>33</v>
      </c>
      <c r="D18" s="13"/>
      <c r="E18" s="119"/>
      <c r="F18" s="9" t="s">
        <v>34</v>
      </c>
      <c r="G18" s="70"/>
      <c r="H18" s="16"/>
      <c r="I18" s="70"/>
      <c r="J18" s="70"/>
      <c r="K18" s="69">
        <f t="shared" si="0"/>
        <v>0</v>
      </c>
      <c r="L18" s="17"/>
    </row>
    <row r="19" spans="1:12" x14ac:dyDescent="0.35">
      <c r="A19" s="8"/>
      <c r="B19" s="9"/>
      <c r="C19" s="119" t="s">
        <v>35</v>
      </c>
      <c r="D19" s="13"/>
      <c r="E19" s="119"/>
      <c r="F19" s="9" t="s">
        <v>36</v>
      </c>
      <c r="G19" s="71"/>
      <c r="H19" s="16"/>
      <c r="I19" s="71"/>
      <c r="J19" s="71"/>
      <c r="K19" s="69">
        <f t="shared" si="0"/>
        <v>0</v>
      </c>
      <c r="L19" s="17"/>
    </row>
    <row r="20" spans="1:12" x14ac:dyDescent="0.35">
      <c r="A20" s="8"/>
      <c r="B20" s="9"/>
      <c r="C20" s="119" t="s">
        <v>37</v>
      </c>
      <c r="D20" s="13"/>
      <c r="E20" s="119"/>
      <c r="F20" s="9" t="s">
        <v>38</v>
      </c>
      <c r="G20" s="70"/>
      <c r="H20" s="16"/>
      <c r="I20" s="70"/>
      <c r="J20" s="70"/>
      <c r="K20" s="69">
        <f t="shared" si="0"/>
        <v>0</v>
      </c>
      <c r="L20" s="17"/>
    </row>
    <row r="21" spans="1:12" x14ac:dyDescent="0.35">
      <c r="A21" s="8"/>
      <c r="B21" s="9"/>
      <c r="C21" s="119" t="s">
        <v>39</v>
      </c>
      <c r="D21" s="13"/>
      <c r="E21" s="119"/>
      <c r="F21" s="9" t="s">
        <v>40</v>
      </c>
      <c r="G21" s="70"/>
      <c r="H21" s="16"/>
      <c r="I21" s="70"/>
      <c r="J21" s="70"/>
      <c r="K21" s="69">
        <f t="shared" si="0"/>
        <v>0</v>
      </c>
      <c r="L21" s="17"/>
    </row>
    <row r="22" spans="1:12" x14ac:dyDescent="0.35">
      <c r="A22" s="8"/>
      <c r="B22" s="9"/>
      <c r="C22" s="119" t="s">
        <v>41</v>
      </c>
      <c r="D22" s="13"/>
      <c r="E22" s="119"/>
      <c r="F22" s="9" t="s">
        <v>42</v>
      </c>
      <c r="G22" s="70"/>
      <c r="H22" s="16"/>
      <c r="I22" s="70"/>
      <c r="J22" s="70"/>
      <c r="K22" s="69">
        <f t="shared" si="0"/>
        <v>0</v>
      </c>
      <c r="L22" s="17"/>
    </row>
    <row r="23" spans="1:12" x14ac:dyDescent="0.35">
      <c r="A23" s="8"/>
      <c r="B23" s="9"/>
      <c r="C23" s="119" t="s">
        <v>43</v>
      </c>
      <c r="D23" s="13"/>
      <c r="E23" s="119"/>
      <c r="F23" s="9" t="s">
        <v>44</v>
      </c>
      <c r="G23" s="70"/>
      <c r="H23" s="16"/>
      <c r="I23" s="70"/>
      <c r="J23" s="70"/>
      <c r="K23" s="69">
        <f t="shared" si="0"/>
        <v>0</v>
      </c>
      <c r="L23" s="17"/>
    </row>
    <row r="24" spans="1:12" x14ac:dyDescent="0.35">
      <c r="A24" s="9"/>
      <c r="B24" s="9"/>
      <c r="C24" s="120" t="s">
        <v>45</v>
      </c>
      <c r="D24" s="13"/>
      <c r="E24" s="120"/>
      <c r="F24" s="9" t="s">
        <v>46</v>
      </c>
      <c r="G24" s="72"/>
      <c r="H24" s="16"/>
      <c r="I24" s="72"/>
      <c r="J24" s="72"/>
      <c r="K24" s="69">
        <f t="shared" si="0"/>
        <v>0</v>
      </c>
      <c r="L24" s="17"/>
    </row>
    <row r="25" spans="1:12" x14ac:dyDescent="0.35">
      <c r="A25" s="8"/>
      <c r="B25" s="9" t="s">
        <v>47</v>
      </c>
      <c r="C25" s="119"/>
      <c r="D25" s="13"/>
      <c r="E25" s="9" t="s">
        <v>48</v>
      </c>
      <c r="F25" s="119"/>
      <c r="G25" s="69">
        <f>SUM(G26:G41)</f>
        <v>2638549.85</v>
      </c>
      <c r="H25" s="9"/>
      <c r="I25" s="69">
        <f>SUM(I26:I41)</f>
        <v>1995576.28</v>
      </c>
      <c r="J25" s="69">
        <f>SUM(J26:J41)</f>
        <v>642973.57000000007</v>
      </c>
      <c r="K25" s="69"/>
      <c r="L25" s="14"/>
    </row>
    <row r="26" spans="1:12" x14ac:dyDescent="0.35">
      <c r="A26" s="8"/>
      <c r="B26" s="9"/>
      <c r="C26" s="119" t="s">
        <v>49</v>
      </c>
      <c r="D26" s="13"/>
      <c r="E26" s="119"/>
      <c r="F26" s="9" t="s">
        <v>50</v>
      </c>
      <c r="G26" s="70">
        <v>596497.45000000007</v>
      </c>
      <c r="H26" s="16" t="s">
        <v>15</v>
      </c>
      <c r="I26" s="70">
        <v>596497.45000000007</v>
      </c>
      <c r="J26" s="70"/>
      <c r="K26" s="69">
        <f t="shared" si="0"/>
        <v>596497.45000000007</v>
      </c>
      <c r="L26" s="17"/>
    </row>
    <row r="27" spans="1:12" x14ac:dyDescent="0.35">
      <c r="A27" s="8"/>
      <c r="B27" s="9"/>
      <c r="C27" s="119" t="s">
        <v>51</v>
      </c>
      <c r="D27" s="13"/>
      <c r="E27" s="119"/>
      <c r="F27" s="9" t="s">
        <v>52</v>
      </c>
      <c r="G27" s="70"/>
      <c r="H27" s="16"/>
      <c r="I27" s="70"/>
      <c r="J27" s="70"/>
      <c r="K27" s="69">
        <f t="shared" si="0"/>
        <v>0</v>
      </c>
      <c r="L27" s="17"/>
    </row>
    <row r="28" spans="1:12" x14ac:dyDescent="0.35">
      <c r="A28" s="8"/>
      <c r="B28" s="9"/>
      <c r="C28" s="119" t="s">
        <v>53</v>
      </c>
      <c r="D28" s="13"/>
      <c r="E28" s="119"/>
      <c r="F28" s="9" t="s">
        <v>54</v>
      </c>
      <c r="G28" s="70"/>
      <c r="H28" s="16"/>
      <c r="I28" s="70"/>
      <c r="J28" s="70"/>
      <c r="K28" s="69">
        <f t="shared" si="0"/>
        <v>0</v>
      </c>
      <c r="L28" s="17"/>
    </row>
    <row r="29" spans="1:12" x14ac:dyDescent="0.35">
      <c r="A29" s="8"/>
      <c r="B29" s="9"/>
      <c r="C29" s="119" t="s">
        <v>55</v>
      </c>
      <c r="D29" s="13"/>
      <c r="E29" s="119"/>
      <c r="F29" s="9" t="s">
        <v>56</v>
      </c>
      <c r="G29" s="70">
        <v>19671.41</v>
      </c>
      <c r="H29" s="16" t="s">
        <v>15</v>
      </c>
      <c r="I29" s="70">
        <v>19671.41</v>
      </c>
      <c r="J29" s="70"/>
      <c r="K29" s="69">
        <f t="shared" si="0"/>
        <v>19671.41</v>
      </c>
      <c r="L29" s="17"/>
    </row>
    <row r="30" spans="1:12" x14ac:dyDescent="0.35">
      <c r="A30" s="8"/>
      <c r="B30" s="9"/>
      <c r="C30" s="119" t="s">
        <v>57</v>
      </c>
      <c r="D30" s="13"/>
      <c r="E30" s="119"/>
      <c r="F30" s="9" t="s">
        <v>58</v>
      </c>
      <c r="G30" s="70">
        <v>1876234.71</v>
      </c>
      <c r="H30" s="16" t="s">
        <v>59</v>
      </c>
      <c r="I30" s="70">
        <f>1876234.71-496827.29</f>
        <v>1379407.42</v>
      </c>
      <c r="J30" s="70">
        <v>496827.29000000004</v>
      </c>
      <c r="K30" s="69">
        <f t="shared" si="0"/>
        <v>1876234.71</v>
      </c>
      <c r="L30" s="17"/>
    </row>
    <row r="31" spans="1:12" x14ac:dyDescent="0.35">
      <c r="A31" s="8"/>
      <c r="B31" s="9"/>
      <c r="C31" s="119" t="s">
        <v>60</v>
      </c>
      <c r="D31" s="13"/>
      <c r="E31" s="119"/>
      <c r="F31" s="9" t="s">
        <v>61</v>
      </c>
      <c r="G31" s="70"/>
      <c r="H31" s="16"/>
      <c r="I31" s="70"/>
      <c r="J31" s="70"/>
      <c r="K31" s="69">
        <f t="shared" si="0"/>
        <v>0</v>
      </c>
      <c r="L31" s="17"/>
    </row>
    <row r="32" spans="1:12" x14ac:dyDescent="0.35">
      <c r="A32" s="8"/>
      <c r="B32" s="9"/>
      <c r="C32" s="119" t="s">
        <v>62</v>
      </c>
      <c r="D32" s="13"/>
      <c r="E32" s="119"/>
      <c r="F32" s="9" t="s">
        <v>63</v>
      </c>
      <c r="G32" s="70"/>
      <c r="H32" s="16"/>
      <c r="I32" s="70"/>
      <c r="J32" s="70"/>
      <c r="K32" s="69">
        <f t="shared" si="0"/>
        <v>0</v>
      </c>
      <c r="L32" s="17"/>
    </row>
    <row r="33" spans="1:12" x14ac:dyDescent="0.35">
      <c r="A33" s="9"/>
      <c r="B33" s="9"/>
      <c r="C33" s="119" t="s">
        <v>64</v>
      </c>
      <c r="D33" s="9"/>
      <c r="E33" s="119"/>
      <c r="F33" s="9" t="s">
        <v>65</v>
      </c>
      <c r="G33" s="70"/>
      <c r="H33" s="16"/>
      <c r="I33" s="70"/>
      <c r="J33" s="70"/>
      <c r="K33" s="69">
        <f t="shared" si="0"/>
        <v>0</v>
      </c>
      <c r="L33" s="17"/>
    </row>
    <row r="34" spans="1:12" x14ac:dyDescent="0.35">
      <c r="A34" s="9"/>
      <c r="B34" s="9"/>
      <c r="C34" s="119" t="s">
        <v>66</v>
      </c>
      <c r="D34" s="9"/>
      <c r="E34" s="9"/>
      <c r="F34" s="9" t="s">
        <v>67</v>
      </c>
      <c r="G34" s="70"/>
      <c r="H34" s="16"/>
      <c r="I34" s="70"/>
      <c r="J34" s="70"/>
      <c r="K34" s="69">
        <f t="shared" si="0"/>
        <v>0</v>
      </c>
      <c r="L34" s="17"/>
    </row>
    <row r="35" spans="1:12" x14ac:dyDescent="0.35">
      <c r="A35" s="9"/>
      <c r="B35" s="9"/>
      <c r="C35" s="119" t="s">
        <v>68</v>
      </c>
      <c r="D35" s="9"/>
      <c r="E35" s="119"/>
      <c r="F35" s="9" t="s">
        <v>69</v>
      </c>
      <c r="G35" s="70"/>
      <c r="H35" s="16"/>
      <c r="I35" s="70"/>
      <c r="J35" s="70"/>
      <c r="K35" s="69">
        <f t="shared" si="0"/>
        <v>0</v>
      </c>
      <c r="L35" s="17"/>
    </row>
    <row r="36" spans="1:12" x14ac:dyDescent="0.35">
      <c r="A36" s="9"/>
      <c r="B36" s="9"/>
      <c r="C36" s="119" t="s">
        <v>70</v>
      </c>
      <c r="D36" s="9"/>
      <c r="E36" s="9"/>
      <c r="F36" s="9" t="s">
        <v>71</v>
      </c>
      <c r="G36" s="70"/>
      <c r="H36" s="16"/>
      <c r="I36" s="70"/>
      <c r="J36" s="70"/>
      <c r="K36" s="69">
        <f t="shared" si="0"/>
        <v>0</v>
      </c>
      <c r="L36" s="17"/>
    </row>
    <row r="37" spans="1:12" x14ac:dyDescent="0.35">
      <c r="A37" s="9"/>
      <c r="B37" s="9"/>
      <c r="C37" s="119" t="s">
        <v>72</v>
      </c>
      <c r="D37" s="9"/>
      <c r="E37" s="121"/>
      <c r="F37" s="9" t="s">
        <v>73</v>
      </c>
      <c r="G37" s="70"/>
      <c r="H37" s="16"/>
      <c r="I37" s="70"/>
      <c r="J37" s="70"/>
      <c r="K37" s="69">
        <f t="shared" si="0"/>
        <v>0</v>
      </c>
      <c r="L37" s="17"/>
    </row>
    <row r="38" spans="1:12" x14ac:dyDescent="0.35">
      <c r="A38" s="9"/>
      <c r="B38" s="9"/>
      <c r="C38" s="119" t="s">
        <v>74</v>
      </c>
      <c r="D38" s="9"/>
      <c r="E38" s="9"/>
      <c r="F38" s="9" t="s">
        <v>75</v>
      </c>
      <c r="G38" s="70"/>
      <c r="H38" s="16"/>
      <c r="I38" s="70"/>
      <c r="J38" s="70"/>
      <c r="K38" s="69">
        <f t="shared" si="0"/>
        <v>0</v>
      </c>
      <c r="L38" s="17"/>
    </row>
    <row r="39" spans="1:12" x14ac:dyDescent="0.35">
      <c r="A39" s="9"/>
      <c r="B39" s="9"/>
      <c r="C39" s="119" t="s">
        <v>76</v>
      </c>
      <c r="D39" s="9"/>
      <c r="E39" s="9"/>
      <c r="F39" s="9" t="s">
        <v>77</v>
      </c>
      <c r="G39" s="70"/>
      <c r="H39" s="16"/>
      <c r="I39" s="70"/>
      <c r="J39" s="70"/>
      <c r="K39" s="69">
        <f t="shared" si="0"/>
        <v>0</v>
      </c>
      <c r="L39" s="17"/>
    </row>
    <row r="40" spans="1:12" x14ac:dyDescent="0.35">
      <c r="A40" s="9"/>
      <c r="B40" s="9"/>
      <c r="C40" s="119" t="s">
        <v>78</v>
      </c>
      <c r="D40" s="9"/>
      <c r="E40" s="9"/>
      <c r="F40" s="9" t="s">
        <v>79</v>
      </c>
      <c r="G40" s="70">
        <v>146146.28</v>
      </c>
      <c r="H40" s="16" t="s">
        <v>24</v>
      </c>
      <c r="I40" s="70"/>
      <c r="J40" s="70">
        <v>146146.28</v>
      </c>
      <c r="K40" s="69">
        <f t="shared" si="0"/>
        <v>146146.28</v>
      </c>
      <c r="L40" s="17"/>
    </row>
    <row r="41" spans="1:12" x14ac:dyDescent="0.35">
      <c r="A41" s="9"/>
      <c r="B41" s="9"/>
      <c r="C41" s="119" t="s">
        <v>80</v>
      </c>
      <c r="D41" s="9"/>
      <c r="E41" s="9"/>
      <c r="F41" s="9" t="s">
        <v>81</v>
      </c>
      <c r="G41" s="70"/>
      <c r="H41" s="16"/>
      <c r="I41" s="70"/>
      <c r="J41" s="70"/>
      <c r="K41" s="69">
        <f t="shared" si="0"/>
        <v>0</v>
      </c>
      <c r="L41" s="17"/>
    </row>
    <row r="42" spans="1:12" x14ac:dyDescent="0.35">
      <c r="A42" s="9"/>
      <c r="B42" s="9" t="s">
        <v>82</v>
      </c>
      <c r="C42" s="119"/>
      <c r="D42" s="9"/>
      <c r="E42" s="9" t="s">
        <v>83</v>
      </c>
      <c r="F42" s="9"/>
      <c r="G42" s="69">
        <f>SUM(G43:G63)</f>
        <v>5045145.09</v>
      </c>
      <c r="H42" s="9"/>
      <c r="I42" s="69">
        <f>SUM(I43:I63)</f>
        <v>1320264.9999999998</v>
      </c>
      <c r="J42" s="69">
        <f>SUM(J43:J63)</f>
        <v>3724880.0900000003</v>
      </c>
      <c r="K42" s="69"/>
      <c r="L42" s="14"/>
    </row>
    <row r="43" spans="1:12" x14ac:dyDescent="0.35">
      <c r="A43" s="9"/>
      <c r="B43" s="9"/>
      <c r="C43" s="119" t="s">
        <v>84</v>
      </c>
      <c r="D43" s="9"/>
      <c r="E43" s="9"/>
      <c r="F43" s="9" t="s">
        <v>85</v>
      </c>
      <c r="G43" s="70">
        <v>282493.19</v>
      </c>
      <c r="H43" s="16" t="s">
        <v>24</v>
      </c>
      <c r="I43" s="70"/>
      <c r="J43" s="70">
        <v>282493.19</v>
      </c>
      <c r="K43" s="69">
        <f t="shared" si="0"/>
        <v>282493.19</v>
      </c>
      <c r="L43" s="17"/>
    </row>
    <row r="44" spans="1:12" x14ac:dyDescent="0.35">
      <c r="A44" s="9"/>
      <c r="B44" s="9"/>
      <c r="C44" s="119" t="s">
        <v>86</v>
      </c>
      <c r="D44" s="9"/>
      <c r="E44" s="9"/>
      <c r="F44" s="9" t="s">
        <v>87</v>
      </c>
      <c r="G44" s="70">
        <v>931898.87</v>
      </c>
      <c r="H44" s="16" t="s">
        <v>24</v>
      </c>
      <c r="I44" s="70"/>
      <c r="J44" s="70">
        <v>931898.87</v>
      </c>
      <c r="K44" s="69">
        <f t="shared" si="0"/>
        <v>931898.87</v>
      </c>
      <c r="L44" s="17"/>
    </row>
    <row r="45" spans="1:12" x14ac:dyDescent="0.35">
      <c r="A45" s="9"/>
      <c r="B45" s="9"/>
      <c r="C45" s="119" t="s">
        <v>88</v>
      </c>
      <c r="D45" s="9"/>
      <c r="E45" s="9"/>
      <c r="F45" s="9" t="s">
        <v>89</v>
      </c>
      <c r="G45" s="70"/>
      <c r="H45" s="16"/>
      <c r="I45" s="70"/>
      <c r="J45" s="70"/>
      <c r="K45" s="69">
        <f t="shared" si="0"/>
        <v>0</v>
      </c>
      <c r="L45" s="17"/>
    </row>
    <row r="46" spans="1:12" x14ac:dyDescent="0.35">
      <c r="A46" s="9"/>
      <c r="B46" s="9"/>
      <c r="C46" s="119" t="s">
        <v>90</v>
      </c>
      <c r="D46" s="9"/>
      <c r="E46" s="9"/>
      <c r="F46" s="9" t="s">
        <v>91</v>
      </c>
      <c r="G46" s="70"/>
      <c r="H46" s="16"/>
      <c r="I46" s="70"/>
      <c r="J46" s="70"/>
      <c r="K46" s="69">
        <f t="shared" si="0"/>
        <v>0</v>
      </c>
      <c r="L46" s="17"/>
    </row>
    <row r="47" spans="1:12" x14ac:dyDescent="0.35">
      <c r="A47" s="9"/>
      <c r="B47" s="9"/>
      <c r="C47" s="119" t="s">
        <v>92</v>
      </c>
      <c r="D47" s="9"/>
      <c r="E47" s="9"/>
      <c r="F47" s="9" t="s">
        <v>93</v>
      </c>
      <c r="G47" s="70">
        <v>1025339.8599999999</v>
      </c>
      <c r="H47" s="16" t="s">
        <v>15</v>
      </c>
      <c r="I47" s="70">
        <v>1025339.8599999999</v>
      </c>
      <c r="J47" s="70"/>
      <c r="K47" s="69">
        <f t="shared" si="0"/>
        <v>1025339.8599999999</v>
      </c>
      <c r="L47" s="17"/>
    </row>
    <row r="48" spans="1:12" x14ac:dyDescent="0.35">
      <c r="A48" s="9"/>
      <c r="B48" s="9"/>
      <c r="C48" s="119" t="s">
        <v>94</v>
      </c>
      <c r="D48" s="9"/>
      <c r="E48" s="9"/>
      <c r="F48" s="9" t="s">
        <v>95</v>
      </c>
      <c r="G48" s="70">
        <v>152413.01</v>
      </c>
      <c r="H48" s="16" t="s">
        <v>24</v>
      </c>
      <c r="I48" s="70"/>
      <c r="J48" s="70">
        <v>152413.01</v>
      </c>
      <c r="K48" s="69">
        <f t="shared" si="0"/>
        <v>152413.01</v>
      </c>
      <c r="L48" s="17"/>
    </row>
    <row r="49" spans="1:12" x14ac:dyDescent="0.35">
      <c r="A49" s="9"/>
      <c r="B49" s="9"/>
      <c r="C49" s="119" t="s">
        <v>96</v>
      </c>
      <c r="D49" s="9"/>
      <c r="E49" s="9"/>
      <c r="F49" s="9" t="s">
        <v>97</v>
      </c>
      <c r="G49" s="70">
        <v>226896.91</v>
      </c>
      <c r="H49" s="16" t="s">
        <v>15</v>
      </c>
      <c r="I49" s="70">
        <v>226896.91</v>
      </c>
      <c r="J49" s="70"/>
      <c r="K49" s="69">
        <f t="shared" si="0"/>
        <v>226896.91</v>
      </c>
      <c r="L49" s="17"/>
    </row>
    <row r="50" spans="1:12" x14ac:dyDescent="0.35">
      <c r="A50" s="9"/>
      <c r="B50" s="9"/>
      <c r="C50" s="119" t="s">
        <v>98</v>
      </c>
      <c r="D50" s="9"/>
      <c r="E50" s="9"/>
      <c r="F50" s="9" t="s">
        <v>99</v>
      </c>
      <c r="G50" s="70"/>
      <c r="H50" s="16"/>
      <c r="I50" s="70"/>
      <c r="J50" s="70"/>
      <c r="K50" s="69">
        <f t="shared" si="0"/>
        <v>0</v>
      </c>
      <c r="L50" s="17"/>
    </row>
    <row r="51" spans="1:12" x14ac:dyDescent="0.35">
      <c r="A51" s="9"/>
      <c r="B51" s="9"/>
      <c r="C51" s="119" t="s">
        <v>100</v>
      </c>
      <c r="D51" s="9"/>
      <c r="E51" s="9"/>
      <c r="F51" s="9" t="s">
        <v>101</v>
      </c>
      <c r="G51" s="70"/>
      <c r="H51" s="16"/>
      <c r="I51" s="70"/>
      <c r="J51" s="70"/>
      <c r="K51" s="69">
        <f t="shared" si="0"/>
        <v>0</v>
      </c>
      <c r="L51" s="17"/>
    </row>
    <row r="52" spans="1:12" x14ac:dyDescent="0.35">
      <c r="A52" s="9"/>
      <c r="B52" s="9"/>
      <c r="C52" s="119" t="s">
        <v>102</v>
      </c>
      <c r="D52" s="9"/>
      <c r="E52" s="9"/>
      <c r="F52" s="9" t="s">
        <v>103</v>
      </c>
      <c r="G52" s="70"/>
      <c r="H52" s="16"/>
      <c r="I52" s="70"/>
      <c r="J52" s="70"/>
      <c r="K52" s="69">
        <f t="shared" si="0"/>
        <v>0</v>
      </c>
      <c r="L52" s="17"/>
    </row>
    <row r="53" spans="1:12" x14ac:dyDescent="0.35">
      <c r="A53" s="9"/>
      <c r="B53" s="9"/>
      <c r="C53" s="119" t="s">
        <v>104</v>
      </c>
      <c r="D53" s="9"/>
      <c r="E53" s="9"/>
      <c r="F53" s="9" t="s">
        <v>105</v>
      </c>
      <c r="G53" s="70"/>
      <c r="H53" s="16"/>
      <c r="I53" s="70"/>
      <c r="J53" s="70"/>
      <c r="K53" s="69">
        <f t="shared" si="0"/>
        <v>0</v>
      </c>
      <c r="L53" s="17"/>
    </row>
    <row r="54" spans="1:12" x14ac:dyDescent="0.35">
      <c r="A54" s="9"/>
      <c r="B54" s="9"/>
      <c r="C54" s="119" t="s">
        <v>106</v>
      </c>
      <c r="D54" s="9"/>
      <c r="E54" s="9"/>
      <c r="F54" s="9" t="s">
        <v>107</v>
      </c>
      <c r="G54" s="70">
        <v>-10000</v>
      </c>
      <c r="H54" s="16" t="s">
        <v>24</v>
      </c>
      <c r="I54" s="70"/>
      <c r="J54" s="70">
        <v>-10000</v>
      </c>
      <c r="K54" s="69">
        <f t="shared" si="0"/>
        <v>-10000</v>
      </c>
      <c r="L54" s="17"/>
    </row>
    <row r="55" spans="1:12" x14ac:dyDescent="0.35">
      <c r="A55" s="9"/>
      <c r="B55" s="9"/>
      <c r="C55" s="119" t="s">
        <v>108</v>
      </c>
      <c r="D55" s="9"/>
      <c r="E55" s="9"/>
      <c r="F55" s="9" t="s">
        <v>109</v>
      </c>
      <c r="G55" s="70">
        <v>1843876.0999999999</v>
      </c>
      <c r="H55" s="16" t="s">
        <v>24</v>
      </c>
      <c r="I55" s="70"/>
      <c r="J55" s="70">
        <v>1843876.0999999999</v>
      </c>
      <c r="K55" s="69">
        <f t="shared" si="0"/>
        <v>1843876.0999999999</v>
      </c>
      <c r="L55" s="17"/>
    </row>
    <row r="56" spans="1:12" x14ac:dyDescent="0.35">
      <c r="A56" s="9"/>
      <c r="B56" s="9"/>
      <c r="C56" s="119" t="s">
        <v>110</v>
      </c>
      <c r="D56" s="9"/>
      <c r="E56" s="9"/>
      <c r="F56" s="9" t="s">
        <v>111</v>
      </c>
      <c r="G56" s="70"/>
      <c r="H56" s="16"/>
      <c r="I56" s="70"/>
      <c r="J56" s="70"/>
      <c r="K56" s="69">
        <f t="shared" si="0"/>
        <v>0</v>
      </c>
      <c r="L56" s="17"/>
    </row>
    <row r="57" spans="1:12" x14ac:dyDescent="0.35">
      <c r="A57" s="9"/>
      <c r="B57" s="9"/>
      <c r="C57" s="119" t="s">
        <v>112</v>
      </c>
      <c r="D57" s="9"/>
      <c r="E57" s="9"/>
      <c r="F57" s="9" t="s">
        <v>113</v>
      </c>
      <c r="G57" s="70"/>
      <c r="H57" s="16"/>
      <c r="I57" s="70"/>
      <c r="J57" s="70"/>
      <c r="K57" s="69">
        <f t="shared" si="0"/>
        <v>0</v>
      </c>
      <c r="L57" s="17"/>
    </row>
    <row r="58" spans="1:12" x14ac:dyDescent="0.35">
      <c r="A58" s="9"/>
      <c r="B58" s="9"/>
      <c r="C58" s="119" t="s">
        <v>114</v>
      </c>
      <c r="D58" s="9"/>
      <c r="E58" s="9"/>
      <c r="F58" s="9" t="s">
        <v>115</v>
      </c>
      <c r="G58" s="70"/>
      <c r="H58" s="16"/>
      <c r="I58" s="70"/>
      <c r="J58" s="70"/>
      <c r="K58" s="69">
        <f t="shared" si="0"/>
        <v>0</v>
      </c>
      <c r="L58" s="17"/>
    </row>
    <row r="59" spans="1:12" x14ac:dyDescent="0.35">
      <c r="A59" s="9"/>
      <c r="B59" s="9"/>
      <c r="C59" s="119" t="s">
        <v>116</v>
      </c>
      <c r="D59" s="9"/>
      <c r="E59" s="9"/>
      <c r="F59" s="9" t="s">
        <v>117</v>
      </c>
      <c r="G59" s="70"/>
      <c r="H59" s="16"/>
      <c r="I59" s="70"/>
      <c r="J59" s="70"/>
      <c r="K59" s="69">
        <f t="shared" si="0"/>
        <v>0</v>
      </c>
      <c r="L59" s="17"/>
    </row>
    <row r="60" spans="1:12" x14ac:dyDescent="0.35">
      <c r="A60" s="9"/>
      <c r="B60" s="9"/>
      <c r="C60" s="119" t="s">
        <v>118</v>
      </c>
      <c r="D60" s="9"/>
      <c r="E60" s="9"/>
      <c r="F60" s="9" t="s">
        <v>119</v>
      </c>
      <c r="G60" s="70"/>
      <c r="H60" s="16"/>
      <c r="I60" s="70"/>
      <c r="J60" s="70"/>
      <c r="K60" s="69">
        <f t="shared" si="0"/>
        <v>0</v>
      </c>
      <c r="L60" s="17"/>
    </row>
    <row r="61" spans="1:12" x14ac:dyDescent="0.35">
      <c r="A61" s="9"/>
      <c r="B61" s="9"/>
      <c r="C61" s="119" t="s">
        <v>120</v>
      </c>
      <c r="D61" s="9"/>
      <c r="E61" s="9"/>
      <c r="F61" s="9" t="s">
        <v>121</v>
      </c>
      <c r="G61" s="70">
        <v>68028.23</v>
      </c>
      <c r="H61" s="16" t="s">
        <v>15</v>
      </c>
      <c r="I61" s="70">
        <v>68028.23</v>
      </c>
      <c r="J61" s="70"/>
      <c r="K61" s="69">
        <f t="shared" si="0"/>
        <v>68028.23</v>
      </c>
      <c r="L61" s="17"/>
    </row>
    <row r="62" spans="1:12" x14ac:dyDescent="0.35">
      <c r="A62" s="9"/>
      <c r="B62" s="9"/>
      <c r="C62" s="119" t="s">
        <v>122</v>
      </c>
      <c r="D62" s="9"/>
      <c r="E62" s="9"/>
      <c r="F62" s="9" t="s">
        <v>123</v>
      </c>
      <c r="G62" s="70">
        <v>337675.2</v>
      </c>
      <c r="H62" s="16" t="s">
        <v>24</v>
      </c>
      <c r="I62" s="70"/>
      <c r="J62" s="70">
        <v>337675.2</v>
      </c>
      <c r="K62" s="69">
        <f t="shared" si="0"/>
        <v>337675.2</v>
      </c>
      <c r="L62" s="17"/>
    </row>
    <row r="63" spans="1:12" x14ac:dyDescent="0.35">
      <c r="A63" s="9"/>
      <c r="B63" s="9"/>
      <c r="C63" s="119" t="s">
        <v>124</v>
      </c>
      <c r="D63" s="9"/>
      <c r="E63" s="9"/>
      <c r="F63" s="9" t="s">
        <v>125</v>
      </c>
      <c r="G63" s="70">
        <v>186523.72</v>
      </c>
      <c r="H63" s="16" t="s">
        <v>24</v>
      </c>
      <c r="I63" s="70"/>
      <c r="J63" s="70">
        <v>186523.72</v>
      </c>
      <c r="K63" s="69">
        <f t="shared" si="0"/>
        <v>186523.72</v>
      </c>
      <c r="L63" s="17"/>
    </row>
    <row r="64" spans="1:12" hidden="1" x14ac:dyDescent="0.35">
      <c r="A64" s="9"/>
      <c r="B64" s="9" t="s">
        <v>126</v>
      </c>
      <c r="C64" s="119"/>
      <c r="D64" s="9"/>
      <c r="E64" s="9" t="s">
        <v>127</v>
      </c>
      <c r="F64" s="9"/>
      <c r="G64" s="69"/>
      <c r="H64" s="9"/>
      <c r="I64" s="69"/>
      <c r="J64" s="69"/>
      <c r="K64" s="69"/>
      <c r="L64" s="14"/>
    </row>
    <row r="65" spans="1:12" hidden="1" x14ac:dyDescent="0.35">
      <c r="A65" s="9"/>
      <c r="B65" s="9" t="s">
        <v>128</v>
      </c>
      <c r="C65" s="119"/>
      <c r="D65" s="9"/>
      <c r="E65" s="9" t="s">
        <v>127</v>
      </c>
      <c r="F65" s="9"/>
      <c r="G65" s="69"/>
      <c r="H65" s="9"/>
      <c r="I65" s="69"/>
      <c r="J65" s="69"/>
      <c r="K65" s="69"/>
      <c r="L65" s="14"/>
    </row>
    <row r="66" spans="1:12" x14ac:dyDescent="0.35">
      <c r="A66" s="9"/>
      <c r="B66" s="9" t="s">
        <v>129</v>
      </c>
      <c r="C66" s="119"/>
      <c r="D66" s="9"/>
      <c r="E66" s="9" t="s">
        <v>130</v>
      </c>
      <c r="F66" s="9"/>
      <c r="G66" s="69">
        <f>SUM(G67:G69)</f>
        <v>23068.630000000005</v>
      </c>
      <c r="H66" s="9"/>
      <c r="I66" s="69">
        <f>SUM(I67:I69)</f>
        <v>23068.630000000005</v>
      </c>
      <c r="J66" s="69">
        <f>SUM(J67:J69)</f>
        <v>0</v>
      </c>
      <c r="K66" s="69"/>
      <c r="L66" s="14"/>
    </row>
    <row r="67" spans="1:12" x14ac:dyDescent="0.35">
      <c r="A67" s="9"/>
      <c r="B67" s="9"/>
      <c r="C67" s="119" t="s">
        <v>131</v>
      </c>
      <c r="D67" s="9"/>
      <c r="E67" s="9"/>
      <c r="F67" s="9" t="s">
        <v>132</v>
      </c>
      <c r="G67" s="70">
        <v>23068.630000000005</v>
      </c>
      <c r="H67" s="16" t="s">
        <v>15</v>
      </c>
      <c r="I67" s="70">
        <v>23068.630000000005</v>
      </c>
      <c r="J67" s="70">
        <v>0</v>
      </c>
      <c r="K67" s="69">
        <f t="shared" ref="K67:K69" si="1">I67+J67</f>
        <v>23068.630000000005</v>
      </c>
      <c r="L67" s="17"/>
    </row>
    <row r="68" spans="1:12" x14ac:dyDescent="0.35">
      <c r="A68" s="9"/>
      <c r="B68" s="9"/>
      <c r="C68" s="119" t="s">
        <v>133</v>
      </c>
      <c r="D68" s="9"/>
      <c r="E68" s="9"/>
      <c r="F68" s="9" t="s">
        <v>134</v>
      </c>
      <c r="G68" s="70"/>
      <c r="H68" s="16"/>
      <c r="I68" s="70"/>
      <c r="J68" s="70"/>
      <c r="K68" s="69">
        <f t="shared" si="1"/>
        <v>0</v>
      </c>
      <c r="L68" s="17"/>
    </row>
    <row r="69" spans="1:12" x14ac:dyDescent="0.35">
      <c r="A69" s="9"/>
      <c r="B69" s="9"/>
      <c r="C69" s="119" t="s">
        <v>135</v>
      </c>
      <c r="D69" s="9"/>
      <c r="E69" s="9"/>
      <c r="F69" s="9" t="s">
        <v>136</v>
      </c>
      <c r="G69" s="70"/>
      <c r="H69" s="16"/>
      <c r="I69" s="70"/>
      <c r="J69" s="70"/>
      <c r="K69" s="69">
        <f t="shared" si="1"/>
        <v>0</v>
      </c>
      <c r="L69" s="17"/>
    </row>
    <row r="70" spans="1:12" x14ac:dyDescent="0.35">
      <c r="A70" s="9"/>
      <c r="B70" s="9" t="s">
        <v>137</v>
      </c>
      <c r="C70" s="119"/>
      <c r="D70" s="9"/>
      <c r="E70" s="9" t="s">
        <v>138</v>
      </c>
      <c r="F70" s="9"/>
      <c r="G70" s="69">
        <f>SUM(G71:G73)</f>
        <v>1549111.71</v>
      </c>
      <c r="H70" s="9"/>
      <c r="I70" s="69">
        <f>SUM(I71:I73)</f>
        <v>771422.33</v>
      </c>
      <c r="J70" s="69">
        <f>SUM(J71:J73)</f>
        <v>777689.37999999989</v>
      </c>
      <c r="K70" s="69"/>
      <c r="L70" s="14"/>
    </row>
    <row r="71" spans="1:12" x14ac:dyDescent="0.35">
      <c r="A71" s="9"/>
      <c r="B71" s="9"/>
      <c r="C71" s="119" t="s">
        <v>139</v>
      </c>
      <c r="D71" s="9"/>
      <c r="E71" s="9"/>
      <c r="F71" s="9" t="s">
        <v>140</v>
      </c>
      <c r="G71" s="70"/>
      <c r="H71" s="16"/>
      <c r="I71" s="70"/>
      <c r="J71" s="70"/>
      <c r="K71" s="69">
        <f t="shared" ref="K71:K73" si="2">I71+J71</f>
        <v>0</v>
      </c>
      <c r="L71" s="17"/>
    </row>
    <row r="72" spans="1:12" x14ac:dyDescent="0.35">
      <c r="A72" s="9"/>
      <c r="B72" s="9"/>
      <c r="C72" s="119" t="s">
        <v>141</v>
      </c>
      <c r="D72" s="9"/>
      <c r="E72" s="9"/>
      <c r="F72" s="9" t="s">
        <v>142</v>
      </c>
      <c r="G72" s="70">
        <v>983719.77</v>
      </c>
      <c r="H72" s="16" t="s">
        <v>59</v>
      </c>
      <c r="I72" s="70">
        <v>771422.33</v>
      </c>
      <c r="J72" s="70">
        <v>212297.44</v>
      </c>
      <c r="K72" s="69">
        <f t="shared" si="2"/>
        <v>983719.77</v>
      </c>
      <c r="L72" s="17"/>
    </row>
    <row r="73" spans="1:12" x14ac:dyDescent="0.35">
      <c r="A73" s="9"/>
      <c r="B73" s="9"/>
      <c r="C73" s="119" t="s">
        <v>143</v>
      </c>
      <c r="D73" s="9"/>
      <c r="E73" s="9"/>
      <c r="F73" s="9" t="s">
        <v>144</v>
      </c>
      <c r="G73" s="70">
        <v>565391.93999999994</v>
      </c>
      <c r="H73" s="16" t="s">
        <v>24</v>
      </c>
      <c r="I73" s="70"/>
      <c r="J73" s="70">
        <v>565391.93999999994</v>
      </c>
      <c r="K73" s="69">
        <f t="shared" si="2"/>
        <v>565391.93999999994</v>
      </c>
      <c r="L73" s="17"/>
    </row>
    <row r="74" spans="1:12" hidden="1" x14ac:dyDescent="0.35">
      <c r="A74" s="9"/>
      <c r="B74" s="9" t="s">
        <v>145</v>
      </c>
      <c r="C74" s="119"/>
      <c r="D74" s="9"/>
      <c r="E74" s="9" t="s">
        <v>127</v>
      </c>
      <c r="F74" s="9"/>
      <c r="G74" s="69"/>
      <c r="H74" s="9"/>
      <c r="I74" s="69"/>
      <c r="J74" s="69"/>
      <c r="K74" s="69"/>
      <c r="L74" s="14"/>
    </row>
    <row r="75" spans="1:12" hidden="1" x14ac:dyDescent="0.35">
      <c r="A75" s="9"/>
      <c r="B75" s="9" t="s">
        <v>146</v>
      </c>
      <c r="C75" s="119"/>
      <c r="D75" s="9"/>
      <c r="E75" s="9" t="s">
        <v>127</v>
      </c>
      <c r="F75" s="9"/>
      <c r="G75" s="69"/>
      <c r="H75" s="9"/>
      <c r="I75" s="69"/>
      <c r="J75" s="69"/>
      <c r="K75" s="69"/>
      <c r="L75" s="14"/>
    </row>
    <row r="76" spans="1:12" s="7" customFormat="1" x14ac:dyDescent="0.35">
      <c r="A76" s="4" t="s">
        <v>147</v>
      </c>
      <c r="B76" s="4"/>
      <c r="C76" s="122"/>
      <c r="D76" s="4"/>
      <c r="E76" s="4"/>
      <c r="F76" s="4"/>
      <c r="G76" s="138">
        <f>G8+G25+G42+G66+G70</f>
        <v>10939188.699999999</v>
      </c>
      <c r="H76" s="88"/>
      <c r="I76" s="138">
        <f>I8+I25+I42+I66+I70</f>
        <v>5277016.34</v>
      </c>
      <c r="J76" s="138">
        <f>J8+J25+J42+J66+J70</f>
        <v>5662172.3600000003</v>
      </c>
      <c r="K76" s="69">
        <f t="shared" ref="K76" si="3">I76+J76</f>
        <v>10939188.699999999</v>
      </c>
      <c r="L76" s="25"/>
    </row>
    <row r="77" spans="1:12" x14ac:dyDescent="0.35">
      <c r="F77" s="139" t="s">
        <v>200</v>
      </c>
      <c r="G77" s="140">
        <f>'[19]CA2 Detail'!L173</f>
        <v>10939188.699999999</v>
      </c>
      <c r="H77" s="13"/>
      <c r="I77" s="89">
        <f>I76/G76</f>
        <v>0.48239558569823376</v>
      </c>
      <c r="J77" s="89">
        <f>J76/G76</f>
        <v>0.51760441430176629</v>
      </c>
      <c r="K77" s="27"/>
    </row>
    <row r="79" spans="1:12" x14ac:dyDescent="0.35">
      <c r="F79" s="142" t="s">
        <v>201</v>
      </c>
    </row>
    <row r="80" spans="1:12" hidden="1" x14ac:dyDescent="0.35">
      <c r="H80" t="s">
        <v>15</v>
      </c>
    </row>
    <row r="81" spans="3:11" hidden="1" x14ac:dyDescent="0.35">
      <c r="C81"/>
      <c r="H81" t="s">
        <v>24</v>
      </c>
    </row>
    <row r="82" spans="3:11" hidden="1" x14ac:dyDescent="0.35">
      <c r="C82"/>
      <c r="H82" t="s">
        <v>59</v>
      </c>
    </row>
    <row r="83" spans="3:11" x14ac:dyDescent="0.35">
      <c r="C83"/>
      <c r="H83" s="139" t="s">
        <v>202</v>
      </c>
      <c r="I83" s="69">
        <f>'[19]CA2 Detail'!W121-'[19]CA2 Detail'!J203</f>
        <v>57253658.670000009</v>
      </c>
      <c r="J83" s="161">
        <f>I76/I83</f>
        <v>9.2169067664580023E-2</v>
      </c>
      <c r="K83" s="142" t="s">
        <v>203</v>
      </c>
    </row>
    <row r="97" spans="3:3" x14ac:dyDescent="0.35">
      <c r="C97"/>
    </row>
    <row r="98" spans="3:3" x14ac:dyDescent="0.35">
      <c r="C98"/>
    </row>
    <row r="99" spans="3:3" x14ac:dyDescent="0.35">
      <c r="C99"/>
    </row>
    <row r="100" spans="3:3" x14ac:dyDescent="0.35">
      <c r="C100"/>
    </row>
    <row r="101" spans="3:3" x14ac:dyDescent="0.35">
      <c r="C101"/>
    </row>
    <row r="102" spans="3:3" x14ac:dyDescent="0.35">
      <c r="C102"/>
    </row>
    <row r="103" spans="3:3" x14ac:dyDescent="0.35">
      <c r="C103"/>
    </row>
    <row r="104" spans="3:3" x14ac:dyDescent="0.35">
      <c r="C104"/>
    </row>
    <row r="105" spans="3:3" x14ac:dyDescent="0.35">
      <c r="C105"/>
    </row>
    <row r="106" spans="3:3" x14ac:dyDescent="0.35">
      <c r="C106"/>
    </row>
    <row r="107" spans="3:3" x14ac:dyDescent="0.35">
      <c r="C107"/>
    </row>
    <row r="108" spans="3:3" x14ac:dyDescent="0.35">
      <c r="C108"/>
    </row>
    <row r="109" spans="3:3" x14ac:dyDescent="0.35">
      <c r="C109"/>
    </row>
    <row r="112" spans="3:3" ht="15" hidden="1" customHeight="1" x14ac:dyDescent="0.35"/>
    <row r="113" ht="15" hidden="1" customHeight="1" x14ac:dyDescent="0.35"/>
    <row r="114" ht="15" hidden="1" customHeight="1" x14ac:dyDescent="0.35"/>
    <row r="115" ht="15" hidden="1" customHeight="1" x14ac:dyDescent="0.35"/>
    <row r="116" ht="15" hidden="1" customHeight="1" x14ac:dyDescent="0.35"/>
    <row r="117" ht="15" hidden="1" customHeight="1" x14ac:dyDescent="0.35"/>
    <row r="118" ht="15" hidden="1" customHeight="1" x14ac:dyDescent="0.35"/>
    <row r="119" ht="15" hidden="1" customHeight="1" x14ac:dyDescent="0.35"/>
    <row r="120" ht="15" hidden="1" customHeight="1" x14ac:dyDescent="0.35"/>
    <row r="121" ht="15" hidden="1" customHeight="1" x14ac:dyDescent="0.35"/>
    <row r="122" ht="15" hidden="1" customHeight="1" x14ac:dyDescent="0.35"/>
    <row r="123" ht="15" hidden="1" customHeight="1" x14ac:dyDescent="0.35"/>
    <row r="124" ht="15" hidden="1" customHeight="1" x14ac:dyDescent="0.35"/>
    <row r="125" ht="15" hidden="1" customHeight="1" x14ac:dyDescent="0.35"/>
    <row r="126" ht="15" hidden="1" customHeight="1" x14ac:dyDescent="0.35"/>
    <row r="127" ht="15" hidden="1" customHeight="1" x14ac:dyDescent="0.35"/>
    <row r="128" ht="15" hidden="1" customHeight="1" x14ac:dyDescent="0.35"/>
    <row r="129" ht="15" hidden="1" customHeight="1" x14ac:dyDescent="0.35"/>
    <row r="130" ht="15" hidden="1" customHeight="1" x14ac:dyDescent="0.35"/>
    <row r="131" ht="15" hidden="1" customHeight="1" x14ac:dyDescent="0.35"/>
    <row r="132" ht="15" hidden="1" customHeight="1" x14ac:dyDescent="0.35"/>
    <row r="133" ht="15" hidden="1" customHeight="1" x14ac:dyDescent="0.35"/>
    <row r="134" ht="15" hidden="1" customHeight="1" x14ac:dyDescent="0.35"/>
    <row r="135" ht="15" hidden="1" customHeight="1" x14ac:dyDescent="0.35"/>
    <row r="136" ht="15" hidden="1" customHeight="1" x14ac:dyDescent="0.35"/>
    <row r="137" ht="15" hidden="1" customHeight="1" x14ac:dyDescent="0.35"/>
    <row r="138" ht="15" hidden="1" customHeight="1" x14ac:dyDescent="0.35"/>
    <row r="139" ht="15" hidden="1" customHeight="1" x14ac:dyDescent="0.35"/>
    <row r="140" ht="15" hidden="1" customHeight="1" x14ac:dyDescent="0.35"/>
  </sheetData>
  <conditionalFormatting sqref="G76">
    <cfRule type="cellIs" dxfId="121" priority="1" operator="notEqual">
      <formula>$G$77</formula>
    </cfRule>
    <cfRule type="cellIs" dxfId="120" priority="2" operator="equal">
      <formula>$G$77</formula>
    </cfRule>
  </conditionalFormatting>
  <conditionalFormatting sqref="K9:K24">
    <cfRule type="cellIs" dxfId="119" priority="13" operator="notEqual">
      <formula>G9</formula>
    </cfRule>
    <cfRule type="cellIs" dxfId="118" priority="14" operator="equal">
      <formula>G9</formula>
    </cfRule>
  </conditionalFormatting>
  <conditionalFormatting sqref="K26:K41">
    <cfRule type="cellIs" dxfId="117" priority="11" operator="notEqual">
      <formula>G26</formula>
    </cfRule>
    <cfRule type="cellIs" dxfId="116" priority="12" operator="equal">
      <formula>G26</formula>
    </cfRule>
  </conditionalFormatting>
  <conditionalFormatting sqref="K43:K63">
    <cfRule type="cellIs" dxfId="115" priority="9" operator="notEqual">
      <formula>G43</formula>
    </cfRule>
    <cfRule type="cellIs" dxfId="114" priority="10" operator="equal">
      <formula>G43</formula>
    </cfRule>
  </conditionalFormatting>
  <conditionalFormatting sqref="K67:K69">
    <cfRule type="cellIs" dxfId="113" priority="7" operator="notEqual">
      <formula>G67</formula>
    </cfRule>
    <cfRule type="cellIs" dxfId="112" priority="8" operator="equal">
      <formula>G67</formula>
    </cfRule>
  </conditionalFormatting>
  <conditionalFormatting sqref="K71:K73">
    <cfRule type="cellIs" dxfId="111" priority="5" operator="notEqual">
      <formula>G71</formula>
    </cfRule>
    <cfRule type="cellIs" dxfId="110" priority="6" operator="equal">
      <formula>G71</formula>
    </cfRule>
  </conditionalFormatting>
  <conditionalFormatting sqref="K76">
    <cfRule type="cellIs" dxfId="109" priority="3" operator="notEqual">
      <formula>G76</formula>
    </cfRule>
    <cfRule type="cellIs" dxfId="108" priority="4" operator="equal">
      <formula>G76</formula>
    </cfRule>
  </conditionalFormatting>
  <dataValidations count="1">
    <dataValidation type="list" allowBlank="1" showInputMessage="1" showErrorMessage="1" sqref="H9:H75" xr:uid="{A2763E0E-0111-41CD-AB83-0790388FE5A3}">
      <formula1>$H$80:$H$82</formula1>
    </dataValidation>
  </dataValidations>
  <pageMargins left="0.7" right="0.7" top="0.75" bottom="0.75" header="0.3" footer="0.3"/>
  <pageSetup scale="39" orientation="landscape" r:id="rId1"/>
  <legacy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rgb="FF00B0F0"/>
    <pageSetUpPr fitToPage="1"/>
  </sheetPr>
  <dimension ref="A1:L140"/>
  <sheetViews>
    <sheetView workbookViewId="0"/>
  </sheetViews>
  <sheetFormatPr defaultRowHeight="14.5" x14ac:dyDescent="0.35"/>
  <cols>
    <col min="1" max="2" width="2.81640625" customWidth="1"/>
    <col min="3" max="3" width="10.453125" style="123" bestFit="1" customWidth="1"/>
    <col min="4" max="5" width="2.81640625" customWidth="1"/>
    <col min="6" max="6" width="80.7265625" bestFit="1" customWidth="1"/>
    <col min="7" max="7" width="27.81640625" customWidth="1"/>
    <col min="8" max="8" width="15.26953125" bestFit="1" customWidth="1"/>
    <col min="9" max="9" width="27.26953125" customWidth="1"/>
    <col min="10" max="10" width="26.81640625" customWidth="1"/>
    <col min="11" max="11" width="25.81640625" customWidth="1"/>
    <col min="12" max="12" width="82.54296875" customWidth="1"/>
  </cols>
  <sheetData>
    <row r="1" spans="1:12" x14ac:dyDescent="0.35">
      <c r="A1" s="7"/>
      <c r="B1" s="7"/>
      <c r="C1" s="7"/>
      <c r="D1" s="7"/>
      <c r="E1" s="7"/>
      <c r="F1" s="7"/>
      <c r="G1" s="7"/>
      <c r="H1" s="7"/>
      <c r="I1" s="7" t="s">
        <v>0</v>
      </c>
      <c r="J1" s="7"/>
      <c r="K1" s="7"/>
      <c r="L1" s="7"/>
    </row>
    <row r="2" spans="1:12" x14ac:dyDescent="0.35">
      <c r="A2" s="7"/>
      <c r="B2" s="7"/>
      <c r="C2" s="7"/>
      <c r="D2" s="7"/>
      <c r="E2" s="7"/>
      <c r="F2" s="7"/>
      <c r="G2" s="7"/>
      <c r="H2" s="7"/>
      <c r="I2" s="132" t="s">
        <v>197</v>
      </c>
      <c r="J2" s="7"/>
      <c r="K2" s="7"/>
      <c r="L2" s="7"/>
    </row>
    <row r="3" spans="1:12" x14ac:dyDescent="0.35">
      <c r="A3" s="136" t="s">
        <v>198</v>
      </c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</row>
    <row r="4" spans="1:12" ht="19.5" customHeight="1" x14ac:dyDescent="0.35">
      <c r="A4" s="137" t="str">
        <f>'[20]Data Entry - CA2'!A2</f>
        <v>St. Johns River State College</v>
      </c>
      <c r="C4"/>
    </row>
    <row r="5" spans="1:12" x14ac:dyDescent="0.35">
      <c r="C5"/>
    </row>
    <row r="6" spans="1:12" s="7" customFormat="1" x14ac:dyDescent="0.35">
      <c r="A6" s="3" t="s">
        <v>2</v>
      </c>
      <c r="B6" s="4"/>
      <c r="C6" s="4"/>
      <c r="D6" s="3" t="s">
        <v>3</v>
      </c>
      <c r="E6" s="4"/>
      <c r="F6" s="4"/>
      <c r="G6" s="118" t="s">
        <v>274</v>
      </c>
      <c r="H6" s="6" t="s">
        <v>4</v>
      </c>
      <c r="I6" s="6" t="s">
        <v>5</v>
      </c>
      <c r="J6" s="6" t="s">
        <v>6</v>
      </c>
      <c r="K6" s="6" t="s">
        <v>7</v>
      </c>
      <c r="L6" s="6" t="s">
        <v>199</v>
      </c>
    </row>
    <row r="7" spans="1:12" x14ac:dyDescent="0.35">
      <c r="A7" s="8" t="s">
        <v>9</v>
      </c>
      <c r="B7" s="9"/>
      <c r="C7" s="119"/>
      <c r="D7" s="11" t="s">
        <v>10</v>
      </c>
      <c r="E7" s="119"/>
      <c r="F7" s="119"/>
      <c r="G7" s="69"/>
      <c r="H7" s="9"/>
      <c r="I7" s="69"/>
      <c r="J7" s="69"/>
      <c r="K7" s="69"/>
      <c r="L7" s="11"/>
    </row>
    <row r="8" spans="1:12" x14ac:dyDescent="0.35">
      <c r="A8" s="8"/>
      <c r="B8" s="9" t="s">
        <v>11</v>
      </c>
      <c r="C8" s="119"/>
      <c r="D8" s="13"/>
      <c r="E8" s="9" t="s">
        <v>12</v>
      </c>
      <c r="F8" s="119"/>
      <c r="G8" s="69">
        <f>SUM(G9:G24)</f>
        <v>1980314.29</v>
      </c>
      <c r="H8" s="9"/>
      <c r="I8" s="69">
        <f>SUM(I9:I24)</f>
        <v>1163260.99</v>
      </c>
      <c r="J8" s="69">
        <f>SUM(J9:J24)</f>
        <v>817053.3</v>
      </c>
      <c r="K8" s="69"/>
      <c r="L8" s="14"/>
    </row>
    <row r="9" spans="1:12" x14ac:dyDescent="0.35">
      <c r="A9" s="8"/>
      <c r="B9" s="9"/>
      <c r="C9" s="119" t="s">
        <v>13</v>
      </c>
      <c r="D9" s="13"/>
      <c r="E9" s="119"/>
      <c r="F9" s="9" t="s">
        <v>14</v>
      </c>
      <c r="G9" s="70"/>
      <c r="H9" s="16"/>
      <c r="I9" s="70"/>
      <c r="J9" s="70"/>
      <c r="K9" s="69">
        <f t="shared" ref="K9:K63" si="0">I9+J9</f>
        <v>0</v>
      </c>
      <c r="L9" s="17"/>
    </row>
    <row r="10" spans="1:12" x14ac:dyDescent="0.35">
      <c r="A10" s="8"/>
      <c r="B10" s="9"/>
      <c r="C10" s="119" t="s">
        <v>16</v>
      </c>
      <c r="D10" s="13"/>
      <c r="E10" s="119"/>
      <c r="F10" s="9" t="s">
        <v>17</v>
      </c>
      <c r="G10" s="70">
        <v>35739.599999999999</v>
      </c>
      <c r="H10" s="16" t="s">
        <v>15</v>
      </c>
      <c r="I10" s="70">
        <v>35739.599999999999</v>
      </c>
      <c r="J10" s="70"/>
      <c r="K10" s="69">
        <f t="shared" si="0"/>
        <v>35739.599999999999</v>
      </c>
      <c r="L10" s="17"/>
    </row>
    <row r="11" spans="1:12" x14ac:dyDescent="0.35">
      <c r="A11" s="8"/>
      <c r="B11" s="9"/>
      <c r="C11" s="119" t="s">
        <v>18</v>
      </c>
      <c r="D11" s="13"/>
      <c r="E11" s="119"/>
      <c r="F11" s="9" t="s">
        <v>19</v>
      </c>
      <c r="G11" s="70">
        <v>737784.89</v>
      </c>
      <c r="H11" s="16" t="s">
        <v>15</v>
      </c>
      <c r="I11" s="70">
        <v>737784.89</v>
      </c>
      <c r="J11" s="70">
        <v>0</v>
      </c>
      <c r="K11" s="69">
        <f t="shared" si="0"/>
        <v>737784.89</v>
      </c>
      <c r="L11" s="17"/>
    </row>
    <row r="12" spans="1:12" x14ac:dyDescent="0.35">
      <c r="A12" s="8"/>
      <c r="B12" s="9"/>
      <c r="C12" s="119" t="s">
        <v>20</v>
      </c>
      <c r="D12" s="13"/>
      <c r="E12" s="119"/>
      <c r="F12" s="9" t="s">
        <v>21</v>
      </c>
      <c r="G12" s="70"/>
      <c r="H12" s="16"/>
      <c r="I12" s="70"/>
      <c r="J12" s="70"/>
      <c r="K12" s="69">
        <f t="shared" si="0"/>
        <v>0</v>
      </c>
      <c r="L12" s="17"/>
    </row>
    <row r="13" spans="1:12" x14ac:dyDescent="0.35">
      <c r="A13" s="8"/>
      <c r="B13" s="9"/>
      <c r="C13" s="119" t="s">
        <v>22</v>
      </c>
      <c r="D13" s="13"/>
      <c r="E13" s="119"/>
      <c r="F13" s="9" t="s">
        <v>23</v>
      </c>
      <c r="G13" s="70">
        <v>4700</v>
      </c>
      <c r="H13" s="16" t="s">
        <v>15</v>
      </c>
      <c r="I13" s="70">
        <v>4700</v>
      </c>
      <c r="J13" s="70"/>
      <c r="K13" s="69">
        <f t="shared" si="0"/>
        <v>4700</v>
      </c>
      <c r="L13" s="17"/>
    </row>
    <row r="14" spans="1:12" x14ac:dyDescent="0.35">
      <c r="A14" s="8"/>
      <c r="B14" s="9"/>
      <c r="C14" s="119" t="s">
        <v>25</v>
      </c>
      <c r="D14" s="13"/>
      <c r="E14" s="119"/>
      <c r="F14" s="9" t="s">
        <v>26</v>
      </c>
      <c r="G14" s="70">
        <v>292334.13</v>
      </c>
      <c r="H14" s="16" t="s">
        <v>24</v>
      </c>
      <c r="I14" s="70"/>
      <c r="J14" s="70">
        <v>292334.13</v>
      </c>
      <c r="K14" s="69">
        <f t="shared" si="0"/>
        <v>292334.13</v>
      </c>
      <c r="L14" s="17" t="s">
        <v>241</v>
      </c>
    </row>
    <row r="15" spans="1:12" x14ac:dyDescent="0.35">
      <c r="A15" s="8"/>
      <c r="B15" s="9"/>
      <c r="C15" s="119" t="s">
        <v>27</v>
      </c>
      <c r="D15" s="13"/>
      <c r="E15" s="119"/>
      <c r="F15" s="9" t="s">
        <v>28</v>
      </c>
      <c r="G15" s="70"/>
      <c r="H15" s="16"/>
      <c r="I15" s="70"/>
      <c r="J15" s="70"/>
      <c r="K15" s="69">
        <f t="shared" si="0"/>
        <v>0</v>
      </c>
      <c r="L15" s="17"/>
    </row>
    <row r="16" spans="1:12" x14ac:dyDescent="0.35">
      <c r="A16" s="8"/>
      <c r="B16" s="9"/>
      <c r="C16" s="119" t="s">
        <v>29</v>
      </c>
      <c r="D16" s="13"/>
      <c r="E16" s="119"/>
      <c r="F16" s="9" t="s">
        <v>30</v>
      </c>
      <c r="G16" s="70"/>
      <c r="H16" s="16"/>
      <c r="I16" s="70"/>
      <c r="J16" s="70"/>
      <c r="K16" s="69">
        <f t="shared" si="0"/>
        <v>0</v>
      </c>
      <c r="L16" s="17"/>
    </row>
    <row r="17" spans="1:12" x14ac:dyDescent="0.35">
      <c r="A17" s="8"/>
      <c r="B17" s="9"/>
      <c r="C17" s="119" t="s">
        <v>31</v>
      </c>
      <c r="D17" s="13"/>
      <c r="E17" s="119"/>
      <c r="F17" s="9" t="s">
        <v>32</v>
      </c>
      <c r="G17" s="70"/>
      <c r="H17" s="16"/>
      <c r="I17" s="70"/>
      <c r="J17" s="70"/>
      <c r="K17" s="69">
        <f t="shared" si="0"/>
        <v>0</v>
      </c>
      <c r="L17" s="17"/>
    </row>
    <row r="18" spans="1:12" x14ac:dyDescent="0.35">
      <c r="A18" s="8"/>
      <c r="B18" s="9"/>
      <c r="C18" s="119" t="s">
        <v>33</v>
      </c>
      <c r="D18" s="13"/>
      <c r="E18" s="119"/>
      <c r="F18" s="9" t="s">
        <v>34</v>
      </c>
      <c r="G18" s="70">
        <v>241528.4</v>
      </c>
      <c r="H18" s="16" t="s">
        <v>24</v>
      </c>
      <c r="I18" s="70"/>
      <c r="J18" s="70">
        <v>241528.4</v>
      </c>
      <c r="K18" s="69">
        <f t="shared" si="0"/>
        <v>241528.4</v>
      </c>
      <c r="L18" s="17" t="s">
        <v>242</v>
      </c>
    </row>
    <row r="19" spans="1:12" x14ac:dyDescent="0.35">
      <c r="A19" s="8"/>
      <c r="B19" s="9"/>
      <c r="C19" s="119" t="s">
        <v>35</v>
      </c>
      <c r="D19" s="13"/>
      <c r="E19" s="119"/>
      <c r="F19" s="9" t="s">
        <v>36</v>
      </c>
      <c r="G19" s="71">
        <v>283190.77</v>
      </c>
      <c r="H19" s="16" t="s">
        <v>24</v>
      </c>
      <c r="I19" s="71"/>
      <c r="J19" s="71">
        <v>283190.77</v>
      </c>
      <c r="K19" s="69">
        <f t="shared" si="0"/>
        <v>283190.77</v>
      </c>
      <c r="L19" s="17" t="s">
        <v>242</v>
      </c>
    </row>
    <row r="20" spans="1:12" x14ac:dyDescent="0.35">
      <c r="A20" s="8"/>
      <c r="B20" s="9"/>
      <c r="C20" s="119" t="s">
        <v>37</v>
      </c>
      <c r="D20" s="13"/>
      <c r="E20" s="119"/>
      <c r="F20" s="9" t="s">
        <v>38</v>
      </c>
      <c r="G20" s="70">
        <v>385036.5</v>
      </c>
      <c r="H20" s="16" t="s">
        <v>15</v>
      </c>
      <c r="I20" s="70">
        <v>385036.5</v>
      </c>
      <c r="J20" s="70"/>
      <c r="K20" s="69">
        <f t="shared" si="0"/>
        <v>385036.5</v>
      </c>
      <c r="L20" s="17"/>
    </row>
    <row r="21" spans="1:12" x14ac:dyDescent="0.35">
      <c r="A21" s="8"/>
      <c r="B21" s="9"/>
      <c r="C21" s="119" t="s">
        <v>39</v>
      </c>
      <c r="D21" s="13"/>
      <c r="E21" s="119"/>
      <c r="F21" s="9" t="s">
        <v>40</v>
      </c>
      <c r="G21" s="70"/>
      <c r="H21" s="16"/>
      <c r="I21" s="70"/>
      <c r="J21" s="70"/>
      <c r="K21" s="69">
        <f t="shared" si="0"/>
        <v>0</v>
      </c>
      <c r="L21" s="17"/>
    </row>
    <row r="22" spans="1:12" x14ac:dyDescent="0.35">
      <c r="A22" s="8"/>
      <c r="B22" s="9"/>
      <c r="C22" s="119" t="s">
        <v>41</v>
      </c>
      <c r="D22" s="13"/>
      <c r="E22" s="119"/>
      <c r="F22" s="9" t="s">
        <v>42</v>
      </c>
      <c r="G22" s="70"/>
      <c r="H22" s="16"/>
      <c r="I22" s="70"/>
      <c r="J22" s="70"/>
      <c r="K22" s="69">
        <f t="shared" si="0"/>
        <v>0</v>
      </c>
      <c r="L22" s="17"/>
    </row>
    <row r="23" spans="1:12" x14ac:dyDescent="0.35">
      <c r="A23" s="8"/>
      <c r="B23" s="9"/>
      <c r="C23" s="119" t="s">
        <v>43</v>
      </c>
      <c r="D23" s="13"/>
      <c r="E23" s="119"/>
      <c r="F23" s="9" t="s">
        <v>44</v>
      </c>
      <c r="G23" s="70"/>
      <c r="H23" s="16"/>
      <c r="I23" s="70"/>
      <c r="J23" s="70"/>
      <c r="K23" s="69">
        <f t="shared" si="0"/>
        <v>0</v>
      </c>
      <c r="L23" s="17"/>
    </row>
    <row r="24" spans="1:12" x14ac:dyDescent="0.35">
      <c r="A24" s="9"/>
      <c r="B24" s="9"/>
      <c r="C24" s="120" t="s">
        <v>45</v>
      </c>
      <c r="D24" s="13"/>
      <c r="E24" s="120"/>
      <c r="F24" s="9" t="s">
        <v>46</v>
      </c>
      <c r="G24" s="72"/>
      <c r="H24" s="16"/>
      <c r="I24" s="72"/>
      <c r="J24" s="72"/>
      <c r="K24" s="69">
        <f t="shared" si="0"/>
        <v>0</v>
      </c>
      <c r="L24" s="17"/>
    </row>
    <row r="25" spans="1:12" x14ac:dyDescent="0.35">
      <c r="A25" s="8"/>
      <c r="B25" s="9" t="s">
        <v>47</v>
      </c>
      <c r="C25" s="119"/>
      <c r="D25" s="13"/>
      <c r="E25" s="9" t="s">
        <v>48</v>
      </c>
      <c r="F25" s="119"/>
      <c r="G25" s="69">
        <f>SUM(G26:G41)</f>
        <v>2010717.5</v>
      </c>
      <c r="H25" s="9"/>
      <c r="I25" s="69">
        <f>SUM(I26:I41)</f>
        <v>1177215.8799999999</v>
      </c>
      <c r="J25" s="69">
        <f>SUM(J26:J41)</f>
        <v>833501.62</v>
      </c>
      <c r="K25" s="69"/>
      <c r="L25" s="14"/>
    </row>
    <row r="26" spans="1:12" x14ac:dyDescent="0.35">
      <c r="A26" s="8"/>
      <c r="B26" s="9"/>
      <c r="C26" s="119" t="s">
        <v>49</v>
      </c>
      <c r="D26" s="13"/>
      <c r="E26" s="119"/>
      <c r="F26" s="9" t="s">
        <v>50</v>
      </c>
      <c r="G26" s="70">
        <v>2010717.5</v>
      </c>
      <c r="H26" s="16" t="s">
        <v>59</v>
      </c>
      <c r="I26" s="70">
        <v>1177215.8799999999</v>
      </c>
      <c r="J26" s="70">
        <v>833501.62</v>
      </c>
      <c r="K26" s="69">
        <f t="shared" si="0"/>
        <v>2010717.5</v>
      </c>
      <c r="L26" s="17" t="s">
        <v>243</v>
      </c>
    </row>
    <row r="27" spans="1:12" x14ac:dyDescent="0.35">
      <c r="A27" s="8"/>
      <c r="B27" s="9"/>
      <c r="C27" s="119" t="s">
        <v>51</v>
      </c>
      <c r="D27" s="13"/>
      <c r="E27" s="119"/>
      <c r="F27" s="9" t="s">
        <v>52</v>
      </c>
      <c r="G27" s="70"/>
      <c r="H27" s="16"/>
      <c r="I27" s="70"/>
      <c r="J27" s="70"/>
      <c r="K27" s="69">
        <f>I27+J27</f>
        <v>0</v>
      </c>
      <c r="L27" s="17"/>
    </row>
    <row r="28" spans="1:12" x14ac:dyDescent="0.35">
      <c r="A28" s="8"/>
      <c r="B28" s="9"/>
      <c r="C28" s="119" t="s">
        <v>53</v>
      </c>
      <c r="D28" s="13"/>
      <c r="E28" s="119"/>
      <c r="F28" s="9" t="s">
        <v>54</v>
      </c>
      <c r="G28" s="70"/>
      <c r="H28" s="16"/>
      <c r="I28" s="70"/>
      <c r="J28" s="70"/>
      <c r="K28" s="69">
        <f t="shared" si="0"/>
        <v>0</v>
      </c>
      <c r="L28" s="17"/>
    </row>
    <row r="29" spans="1:12" x14ac:dyDescent="0.35">
      <c r="A29" s="8"/>
      <c r="B29" s="9"/>
      <c r="C29" s="119" t="s">
        <v>55</v>
      </c>
      <c r="D29" s="13"/>
      <c r="E29" s="119"/>
      <c r="F29" s="9" t="s">
        <v>56</v>
      </c>
      <c r="G29" s="70"/>
      <c r="H29" s="16"/>
      <c r="I29" s="70"/>
      <c r="J29" s="70"/>
      <c r="K29" s="69">
        <f t="shared" si="0"/>
        <v>0</v>
      </c>
      <c r="L29" s="17"/>
    </row>
    <row r="30" spans="1:12" x14ac:dyDescent="0.35">
      <c r="A30" s="8"/>
      <c r="B30" s="9"/>
      <c r="C30" s="119" t="s">
        <v>57</v>
      </c>
      <c r="D30" s="13"/>
      <c r="E30" s="119"/>
      <c r="F30" s="9" t="s">
        <v>58</v>
      </c>
      <c r="G30" s="70"/>
      <c r="H30" s="16"/>
      <c r="I30" s="70"/>
      <c r="J30" s="70"/>
      <c r="K30" s="69">
        <f t="shared" si="0"/>
        <v>0</v>
      </c>
      <c r="L30" s="17"/>
    </row>
    <row r="31" spans="1:12" x14ac:dyDescent="0.35">
      <c r="A31" s="8"/>
      <c r="B31" s="9"/>
      <c r="C31" s="119" t="s">
        <v>60</v>
      </c>
      <c r="D31" s="13"/>
      <c r="E31" s="119"/>
      <c r="F31" s="9" t="s">
        <v>61</v>
      </c>
      <c r="G31" s="70"/>
      <c r="H31" s="16"/>
      <c r="I31" s="70"/>
      <c r="J31" s="70"/>
      <c r="K31" s="69">
        <f t="shared" si="0"/>
        <v>0</v>
      </c>
      <c r="L31" s="17"/>
    </row>
    <row r="32" spans="1:12" x14ac:dyDescent="0.35">
      <c r="A32" s="8"/>
      <c r="B32" s="9"/>
      <c r="C32" s="119" t="s">
        <v>62</v>
      </c>
      <c r="D32" s="13"/>
      <c r="E32" s="119"/>
      <c r="F32" s="9" t="s">
        <v>63</v>
      </c>
      <c r="G32" s="70"/>
      <c r="H32" s="16"/>
      <c r="I32" s="70"/>
      <c r="J32" s="70"/>
      <c r="K32" s="69">
        <f t="shared" si="0"/>
        <v>0</v>
      </c>
      <c r="L32" s="17"/>
    </row>
    <row r="33" spans="1:12" x14ac:dyDescent="0.35">
      <c r="A33" s="9"/>
      <c r="B33" s="9"/>
      <c r="C33" s="119" t="s">
        <v>64</v>
      </c>
      <c r="D33" s="9"/>
      <c r="E33" s="119"/>
      <c r="F33" s="9" t="s">
        <v>65</v>
      </c>
      <c r="G33" s="70"/>
      <c r="H33" s="16"/>
      <c r="I33" s="70"/>
      <c r="J33" s="70"/>
      <c r="K33" s="69">
        <f t="shared" si="0"/>
        <v>0</v>
      </c>
      <c r="L33" s="17"/>
    </row>
    <row r="34" spans="1:12" x14ac:dyDescent="0.35">
      <c r="A34" s="9"/>
      <c r="B34" s="9"/>
      <c r="C34" s="119" t="s">
        <v>66</v>
      </c>
      <c r="D34" s="9"/>
      <c r="E34" s="9"/>
      <c r="F34" s="9" t="s">
        <v>67</v>
      </c>
      <c r="G34" s="70"/>
      <c r="H34" s="16"/>
      <c r="I34" s="70"/>
      <c r="J34" s="70"/>
      <c r="K34" s="69">
        <f t="shared" si="0"/>
        <v>0</v>
      </c>
      <c r="L34" s="17"/>
    </row>
    <row r="35" spans="1:12" x14ac:dyDescent="0.35">
      <c r="A35" s="9"/>
      <c r="B35" s="9"/>
      <c r="C35" s="119" t="s">
        <v>68</v>
      </c>
      <c r="D35" s="9"/>
      <c r="E35" s="119"/>
      <c r="F35" s="9" t="s">
        <v>69</v>
      </c>
      <c r="G35" s="70"/>
      <c r="H35" s="16"/>
      <c r="I35" s="70"/>
      <c r="J35" s="70"/>
      <c r="K35" s="69">
        <f t="shared" si="0"/>
        <v>0</v>
      </c>
      <c r="L35" s="17"/>
    </row>
    <row r="36" spans="1:12" x14ac:dyDescent="0.35">
      <c r="A36" s="9"/>
      <c r="B36" s="9"/>
      <c r="C36" s="119" t="s">
        <v>70</v>
      </c>
      <c r="D36" s="9"/>
      <c r="E36" s="9"/>
      <c r="F36" s="9" t="s">
        <v>71</v>
      </c>
      <c r="G36" s="70"/>
      <c r="H36" s="16"/>
      <c r="I36" s="70"/>
      <c r="J36" s="70"/>
      <c r="K36" s="69">
        <f t="shared" si="0"/>
        <v>0</v>
      </c>
      <c r="L36" s="17"/>
    </row>
    <row r="37" spans="1:12" x14ac:dyDescent="0.35">
      <c r="A37" s="9"/>
      <c r="B37" s="9"/>
      <c r="C37" s="119" t="s">
        <v>72</v>
      </c>
      <c r="D37" s="9"/>
      <c r="E37" s="121"/>
      <c r="F37" s="9" t="s">
        <v>73</v>
      </c>
      <c r="G37" s="70"/>
      <c r="H37" s="16"/>
      <c r="I37" s="70"/>
      <c r="J37" s="70"/>
      <c r="K37" s="69">
        <f t="shared" si="0"/>
        <v>0</v>
      </c>
      <c r="L37" s="17"/>
    </row>
    <row r="38" spans="1:12" x14ac:dyDescent="0.35">
      <c r="A38" s="9"/>
      <c r="B38" s="9"/>
      <c r="C38" s="119" t="s">
        <v>74</v>
      </c>
      <c r="D38" s="9"/>
      <c r="E38" s="9"/>
      <c r="F38" s="9" t="s">
        <v>75</v>
      </c>
      <c r="G38" s="70"/>
      <c r="H38" s="16"/>
      <c r="I38" s="70"/>
      <c r="J38" s="70"/>
      <c r="K38" s="69">
        <f t="shared" si="0"/>
        <v>0</v>
      </c>
      <c r="L38" s="17"/>
    </row>
    <row r="39" spans="1:12" x14ac:dyDescent="0.35">
      <c r="A39" s="9"/>
      <c r="B39" s="9"/>
      <c r="C39" s="119" t="s">
        <v>76</v>
      </c>
      <c r="D39" s="9"/>
      <c r="E39" s="9"/>
      <c r="F39" s="9" t="s">
        <v>77</v>
      </c>
      <c r="G39" s="70"/>
      <c r="H39" s="16"/>
      <c r="I39" s="70"/>
      <c r="J39" s="70"/>
      <c r="K39" s="69">
        <f t="shared" si="0"/>
        <v>0</v>
      </c>
      <c r="L39" s="17"/>
    </row>
    <row r="40" spans="1:12" x14ac:dyDescent="0.35">
      <c r="A40" s="9"/>
      <c r="B40" s="9"/>
      <c r="C40" s="119" t="s">
        <v>78</v>
      </c>
      <c r="D40" s="9"/>
      <c r="E40" s="9"/>
      <c r="F40" s="9" t="s">
        <v>79</v>
      </c>
      <c r="G40" s="70"/>
      <c r="H40" s="16"/>
      <c r="I40" s="70"/>
      <c r="J40" s="70"/>
      <c r="K40" s="69">
        <f t="shared" si="0"/>
        <v>0</v>
      </c>
      <c r="L40" s="17"/>
    </row>
    <row r="41" spans="1:12" x14ac:dyDescent="0.35">
      <c r="A41" s="9"/>
      <c r="B41" s="9"/>
      <c r="C41" s="119" t="s">
        <v>80</v>
      </c>
      <c r="D41" s="9"/>
      <c r="E41" s="9"/>
      <c r="F41" s="9" t="s">
        <v>81</v>
      </c>
      <c r="G41" s="70"/>
      <c r="H41" s="16"/>
      <c r="I41" s="70"/>
      <c r="J41" s="70"/>
      <c r="K41" s="69">
        <f t="shared" si="0"/>
        <v>0</v>
      </c>
      <c r="L41" s="17"/>
    </row>
    <row r="42" spans="1:12" x14ac:dyDescent="0.35">
      <c r="A42" s="9"/>
      <c r="B42" s="9" t="s">
        <v>82</v>
      </c>
      <c r="C42" s="119"/>
      <c r="D42" s="9"/>
      <c r="E42" s="9" t="s">
        <v>83</v>
      </c>
      <c r="F42" s="9"/>
      <c r="G42" s="69">
        <f>SUM(G43:G63)</f>
        <v>3338084.46</v>
      </c>
      <c r="H42" s="9"/>
      <c r="I42" s="69">
        <f>SUM(I43:I63)</f>
        <v>1014781.74</v>
      </c>
      <c r="J42" s="69">
        <f>SUM(J43:J63)</f>
        <v>2323302.7199999997</v>
      </c>
      <c r="K42" s="69"/>
      <c r="L42" s="14"/>
    </row>
    <row r="43" spans="1:12" x14ac:dyDescent="0.35">
      <c r="A43" s="9"/>
      <c r="B43" s="9"/>
      <c r="C43" s="119" t="s">
        <v>84</v>
      </c>
      <c r="D43" s="9"/>
      <c r="E43" s="9"/>
      <c r="F43" s="9" t="s">
        <v>85</v>
      </c>
      <c r="G43" s="70">
        <v>2768893.6</v>
      </c>
      <c r="H43" s="16" t="s">
        <v>59</v>
      </c>
      <c r="I43" s="70">
        <v>553778.72</v>
      </c>
      <c r="J43" s="70">
        <v>2215114.88</v>
      </c>
      <c r="K43" s="69">
        <f t="shared" si="0"/>
        <v>2768893.5999999996</v>
      </c>
      <c r="L43" s="17" t="s">
        <v>260</v>
      </c>
    </row>
    <row r="44" spans="1:12" x14ac:dyDescent="0.35">
      <c r="A44" s="9"/>
      <c r="B44" s="9"/>
      <c r="C44" s="119" t="s">
        <v>86</v>
      </c>
      <c r="D44" s="9"/>
      <c r="E44" s="9"/>
      <c r="F44" s="9" t="s">
        <v>87</v>
      </c>
      <c r="G44" s="70"/>
      <c r="H44" s="16"/>
      <c r="I44" s="70"/>
      <c r="J44" s="70"/>
      <c r="K44" s="69">
        <f t="shared" si="0"/>
        <v>0</v>
      </c>
      <c r="L44" s="17"/>
    </row>
    <row r="45" spans="1:12" x14ac:dyDescent="0.35">
      <c r="A45" s="9"/>
      <c r="B45" s="9"/>
      <c r="C45" s="119" t="s">
        <v>88</v>
      </c>
      <c r="D45" s="9"/>
      <c r="E45" s="9"/>
      <c r="F45" s="9" t="s">
        <v>89</v>
      </c>
      <c r="G45" s="70"/>
      <c r="H45" s="16"/>
      <c r="I45" s="70"/>
      <c r="J45" s="70"/>
      <c r="K45" s="69">
        <f t="shared" si="0"/>
        <v>0</v>
      </c>
      <c r="L45" s="17"/>
    </row>
    <row r="46" spans="1:12" x14ac:dyDescent="0.35">
      <c r="A46" s="9"/>
      <c r="B46" s="9"/>
      <c r="C46" s="119" t="s">
        <v>90</v>
      </c>
      <c r="D46" s="9"/>
      <c r="E46" s="9"/>
      <c r="F46" s="9" t="s">
        <v>91</v>
      </c>
      <c r="G46" s="70"/>
      <c r="H46" s="16"/>
      <c r="I46" s="70"/>
      <c r="J46" s="70"/>
      <c r="K46" s="69">
        <f t="shared" si="0"/>
        <v>0</v>
      </c>
      <c r="L46" s="17"/>
    </row>
    <row r="47" spans="1:12" x14ac:dyDescent="0.35">
      <c r="A47" s="9"/>
      <c r="B47" s="9"/>
      <c r="C47" s="119" t="s">
        <v>92</v>
      </c>
      <c r="D47" s="9"/>
      <c r="E47" s="9"/>
      <c r="F47" s="9" t="s">
        <v>93</v>
      </c>
      <c r="G47" s="70">
        <v>461003.02</v>
      </c>
      <c r="H47" s="16" t="s">
        <v>15</v>
      </c>
      <c r="I47" s="70">
        <v>461003.02</v>
      </c>
      <c r="J47" s="70"/>
      <c r="K47" s="69">
        <f t="shared" si="0"/>
        <v>461003.02</v>
      </c>
      <c r="L47" s="17"/>
    </row>
    <row r="48" spans="1:12" x14ac:dyDescent="0.35">
      <c r="A48" s="9"/>
      <c r="B48" s="9"/>
      <c r="C48" s="119" t="s">
        <v>94</v>
      </c>
      <c r="D48" s="9"/>
      <c r="E48" s="9"/>
      <c r="F48" s="9" t="s">
        <v>95</v>
      </c>
      <c r="G48" s="70"/>
      <c r="H48" s="16"/>
      <c r="I48" s="70"/>
      <c r="J48" s="70"/>
      <c r="K48" s="69">
        <f t="shared" si="0"/>
        <v>0</v>
      </c>
      <c r="L48" s="17"/>
    </row>
    <row r="49" spans="1:12" x14ac:dyDescent="0.35">
      <c r="A49" s="9"/>
      <c r="B49" s="9"/>
      <c r="C49" s="119" t="s">
        <v>96</v>
      </c>
      <c r="D49" s="9"/>
      <c r="E49" s="9"/>
      <c r="F49" s="9" t="s">
        <v>97</v>
      </c>
      <c r="G49" s="70"/>
      <c r="H49" s="16"/>
      <c r="I49" s="70"/>
      <c r="J49" s="70"/>
      <c r="K49" s="69">
        <f t="shared" si="0"/>
        <v>0</v>
      </c>
      <c r="L49" s="17"/>
    </row>
    <row r="50" spans="1:12" x14ac:dyDescent="0.35">
      <c r="A50" s="9"/>
      <c r="B50" s="9"/>
      <c r="C50" s="119" t="s">
        <v>98</v>
      </c>
      <c r="D50" s="9"/>
      <c r="E50" s="9"/>
      <c r="F50" s="9" t="s">
        <v>99</v>
      </c>
      <c r="G50" s="70">
        <v>108187.84</v>
      </c>
      <c r="H50" s="16" t="s">
        <v>24</v>
      </c>
      <c r="I50" s="70"/>
      <c r="J50" s="70">
        <v>108187.84</v>
      </c>
      <c r="K50" s="69">
        <f t="shared" si="0"/>
        <v>108187.84</v>
      </c>
      <c r="L50" s="17"/>
    </row>
    <row r="51" spans="1:12" x14ac:dyDescent="0.35">
      <c r="A51" s="9"/>
      <c r="B51" s="9"/>
      <c r="C51" s="119" t="s">
        <v>100</v>
      </c>
      <c r="D51" s="9"/>
      <c r="E51" s="9"/>
      <c r="F51" s="9" t="s">
        <v>101</v>
      </c>
      <c r="G51" s="70"/>
      <c r="H51" s="16"/>
      <c r="I51" s="70"/>
      <c r="J51" s="70"/>
      <c r="K51" s="69">
        <f t="shared" si="0"/>
        <v>0</v>
      </c>
      <c r="L51" s="17"/>
    </row>
    <row r="52" spans="1:12" x14ac:dyDescent="0.35">
      <c r="A52" s="9"/>
      <c r="B52" s="9"/>
      <c r="C52" s="119" t="s">
        <v>102</v>
      </c>
      <c r="D52" s="9"/>
      <c r="E52" s="9"/>
      <c r="F52" s="9" t="s">
        <v>103</v>
      </c>
      <c r="G52" s="70"/>
      <c r="H52" s="16"/>
      <c r="I52" s="70"/>
      <c r="J52" s="70"/>
      <c r="K52" s="69">
        <f t="shared" si="0"/>
        <v>0</v>
      </c>
      <c r="L52" s="17"/>
    </row>
    <row r="53" spans="1:12" x14ac:dyDescent="0.35">
      <c r="A53" s="9"/>
      <c r="B53" s="9"/>
      <c r="C53" s="119" t="s">
        <v>104</v>
      </c>
      <c r="D53" s="9"/>
      <c r="E53" s="9"/>
      <c r="F53" s="9" t="s">
        <v>105</v>
      </c>
      <c r="G53" s="70"/>
      <c r="H53" s="16"/>
      <c r="I53" s="70"/>
      <c r="J53" s="70"/>
      <c r="K53" s="69">
        <f t="shared" si="0"/>
        <v>0</v>
      </c>
      <c r="L53" s="17"/>
    </row>
    <row r="54" spans="1:12" x14ac:dyDescent="0.35">
      <c r="A54" s="9"/>
      <c r="B54" s="9"/>
      <c r="C54" s="119" t="s">
        <v>106</v>
      </c>
      <c r="D54" s="9"/>
      <c r="E54" s="9"/>
      <c r="F54" s="9" t="s">
        <v>107</v>
      </c>
      <c r="G54" s="70"/>
      <c r="H54" s="16"/>
      <c r="I54" s="70"/>
      <c r="J54" s="70"/>
      <c r="K54" s="69">
        <f t="shared" si="0"/>
        <v>0</v>
      </c>
      <c r="L54" s="17"/>
    </row>
    <row r="55" spans="1:12" x14ac:dyDescent="0.35">
      <c r="A55" s="9"/>
      <c r="B55" s="9"/>
      <c r="C55" s="119" t="s">
        <v>108</v>
      </c>
      <c r="D55" s="9"/>
      <c r="E55" s="9"/>
      <c r="F55" s="9" t="s">
        <v>109</v>
      </c>
      <c r="G55" s="70"/>
      <c r="H55" s="16"/>
      <c r="I55" s="70"/>
      <c r="J55" s="70"/>
      <c r="K55" s="69">
        <f t="shared" si="0"/>
        <v>0</v>
      </c>
      <c r="L55" s="17"/>
    </row>
    <row r="56" spans="1:12" x14ac:dyDescent="0.35">
      <c r="A56" s="9"/>
      <c r="B56" s="9"/>
      <c r="C56" s="119" t="s">
        <v>110</v>
      </c>
      <c r="D56" s="9"/>
      <c r="E56" s="9"/>
      <c r="F56" s="9" t="s">
        <v>111</v>
      </c>
      <c r="G56" s="70"/>
      <c r="H56" s="16"/>
      <c r="I56" s="70"/>
      <c r="J56" s="70"/>
      <c r="K56" s="69">
        <f t="shared" si="0"/>
        <v>0</v>
      </c>
      <c r="L56" s="17"/>
    </row>
    <row r="57" spans="1:12" x14ac:dyDescent="0.35">
      <c r="A57" s="9"/>
      <c r="B57" s="9"/>
      <c r="C57" s="119" t="s">
        <v>112</v>
      </c>
      <c r="D57" s="9"/>
      <c r="E57" s="9"/>
      <c r="F57" s="9" t="s">
        <v>113</v>
      </c>
      <c r="G57" s="70"/>
      <c r="H57" s="16"/>
      <c r="I57" s="70"/>
      <c r="J57" s="70"/>
      <c r="K57" s="69">
        <f t="shared" si="0"/>
        <v>0</v>
      </c>
      <c r="L57" s="17"/>
    </row>
    <row r="58" spans="1:12" x14ac:dyDescent="0.35">
      <c r="A58" s="9"/>
      <c r="B58" s="9"/>
      <c r="C58" s="119" t="s">
        <v>114</v>
      </c>
      <c r="D58" s="9"/>
      <c r="E58" s="9"/>
      <c r="F58" s="9" t="s">
        <v>115</v>
      </c>
      <c r="G58" s="70"/>
      <c r="H58" s="16"/>
      <c r="I58" s="70"/>
      <c r="J58" s="70"/>
      <c r="K58" s="69">
        <f t="shared" si="0"/>
        <v>0</v>
      </c>
      <c r="L58" s="17"/>
    </row>
    <row r="59" spans="1:12" x14ac:dyDescent="0.35">
      <c r="A59" s="9"/>
      <c r="B59" s="9"/>
      <c r="C59" s="119" t="s">
        <v>116</v>
      </c>
      <c r="D59" s="9"/>
      <c r="E59" s="9"/>
      <c r="F59" s="9" t="s">
        <v>117</v>
      </c>
      <c r="G59" s="70"/>
      <c r="H59" s="16"/>
      <c r="I59" s="70"/>
      <c r="J59" s="70"/>
      <c r="K59" s="69">
        <f t="shared" si="0"/>
        <v>0</v>
      </c>
      <c r="L59" s="17"/>
    </row>
    <row r="60" spans="1:12" x14ac:dyDescent="0.35">
      <c r="A60" s="9"/>
      <c r="B60" s="9"/>
      <c r="C60" s="119" t="s">
        <v>118</v>
      </c>
      <c r="D60" s="9"/>
      <c r="E60" s="9"/>
      <c r="F60" s="9" t="s">
        <v>119</v>
      </c>
      <c r="G60" s="70"/>
      <c r="H60" s="16"/>
      <c r="I60" s="70"/>
      <c r="J60" s="70"/>
      <c r="K60" s="69">
        <f t="shared" si="0"/>
        <v>0</v>
      </c>
      <c r="L60" s="17"/>
    </row>
    <row r="61" spans="1:12" x14ac:dyDescent="0.35">
      <c r="A61" s="9"/>
      <c r="B61" s="9"/>
      <c r="C61" s="119" t="s">
        <v>120</v>
      </c>
      <c r="D61" s="9"/>
      <c r="E61" s="9"/>
      <c r="F61" s="9" t="s">
        <v>121</v>
      </c>
      <c r="G61" s="70"/>
      <c r="H61" s="16"/>
      <c r="I61" s="70"/>
      <c r="J61" s="70"/>
      <c r="K61" s="69">
        <f t="shared" si="0"/>
        <v>0</v>
      </c>
      <c r="L61" s="17"/>
    </row>
    <row r="62" spans="1:12" x14ac:dyDescent="0.35">
      <c r="A62" s="9"/>
      <c r="B62" s="9"/>
      <c r="C62" s="119" t="s">
        <v>122</v>
      </c>
      <c r="D62" s="9"/>
      <c r="E62" s="9"/>
      <c r="F62" s="9" t="s">
        <v>123</v>
      </c>
      <c r="G62" s="70"/>
      <c r="H62" s="16"/>
      <c r="I62" s="70"/>
      <c r="J62" s="70"/>
      <c r="K62" s="69">
        <f t="shared" si="0"/>
        <v>0</v>
      </c>
      <c r="L62" s="17"/>
    </row>
    <row r="63" spans="1:12" x14ac:dyDescent="0.35">
      <c r="A63" s="9"/>
      <c r="B63" s="9"/>
      <c r="C63" s="119" t="s">
        <v>124</v>
      </c>
      <c r="D63" s="9"/>
      <c r="E63" s="9"/>
      <c r="F63" s="9" t="s">
        <v>125</v>
      </c>
      <c r="G63" s="70"/>
      <c r="H63" s="16"/>
      <c r="I63" s="70"/>
      <c r="J63" s="70"/>
      <c r="K63" s="69">
        <f t="shared" si="0"/>
        <v>0</v>
      </c>
      <c r="L63" s="17"/>
    </row>
    <row r="64" spans="1:12" hidden="1" x14ac:dyDescent="0.35">
      <c r="A64" s="9"/>
      <c r="B64" s="9" t="s">
        <v>126</v>
      </c>
      <c r="C64" s="119"/>
      <c r="D64" s="9"/>
      <c r="E64" s="9" t="s">
        <v>127</v>
      </c>
      <c r="F64" s="9"/>
      <c r="G64" s="69"/>
      <c r="H64" s="9"/>
      <c r="I64" s="69"/>
      <c r="J64" s="69"/>
      <c r="K64" s="69"/>
      <c r="L64" s="14"/>
    </row>
    <row r="65" spans="1:12" hidden="1" x14ac:dyDescent="0.35">
      <c r="A65" s="9"/>
      <c r="B65" s="9" t="s">
        <v>128</v>
      </c>
      <c r="C65" s="119"/>
      <c r="D65" s="9"/>
      <c r="E65" s="9" t="s">
        <v>127</v>
      </c>
      <c r="F65" s="9"/>
      <c r="G65" s="69"/>
      <c r="H65" s="9"/>
      <c r="I65" s="69"/>
      <c r="J65" s="69"/>
      <c r="K65" s="69"/>
      <c r="L65" s="14"/>
    </row>
    <row r="66" spans="1:12" x14ac:dyDescent="0.35">
      <c r="A66" s="9"/>
      <c r="B66" s="9" t="s">
        <v>129</v>
      </c>
      <c r="C66" s="119"/>
      <c r="D66" s="9"/>
      <c r="E66" s="9" t="s">
        <v>130</v>
      </c>
      <c r="F66" s="9"/>
      <c r="G66" s="69">
        <f>SUM(G67:G69)</f>
        <v>0</v>
      </c>
      <c r="H66" s="9"/>
      <c r="I66" s="69">
        <f>SUM(I67:I69)</f>
        <v>0</v>
      </c>
      <c r="J66" s="69">
        <f>SUM(J67:J69)</f>
        <v>0</v>
      </c>
      <c r="K66" s="69"/>
      <c r="L66" s="14"/>
    </row>
    <row r="67" spans="1:12" x14ac:dyDescent="0.35">
      <c r="A67" s="9"/>
      <c r="B67" s="9"/>
      <c r="C67" s="119" t="s">
        <v>131</v>
      </c>
      <c r="D67" s="9"/>
      <c r="E67" s="9"/>
      <c r="F67" s="9" t="s">
        <v>132</v>
      </c>
      <c r="G67" s="70"/>
      <c r="H67" s="16"/>
      <c r="I67" s="70"/>
      <c r="J67" s="70">
        <v>0</v>
      </c>
      <c r="K67" s="69">
        <f t="shared" ref="K67:K69" si="1">I67+J67</f>
        <v>0</v>
      </c>
      <c r="L67" s="17"/>
    </row>
    <row r="68" spans="1:12" x14ac:dyDescent="0.35">
      <c r="A68" s="9"/>
      <c r="B68" s="9"/>
      <c r="C68" s="119" t="s">
        <v>133</v>
      </c>
      <c r="D68" s="9"/>
      <c r="E68" s="9"/>
      <c r="F68" s="9" t="s">
        <v>134</v>
      </c>
      <c r="G68" s="70"/>
      <c r="H68" s="16"/>
      <c r="I68" s="70"/>
      <c r="J68" s="70"/>
      <c r="K68" s="69">
        <f t="shared" si="1"/>
        <v>0</v>
      </c>
      <c r="L68" s="17"/>
    </row>
    <row r="69" spans="1:12" x14ac:dyDescent="0.35">
      <c r="A69" s="9"/>
      <c r="B69" s="9"/>
      <c r="C69" s="119" t="s">
        <v>135</v>
      </c>
      <c r="D69" s="9"/>
      <c r="E69" s="9"/>
      <c r="F69" s="9" t="s">
        <v>136</v>
      </c>
      <c r="G69" s="70"/>
      <c r="H69" s="16"/>
      <c r="I69" s="70"/>
      <c r="J69" s="70"/>
      <c r="K69" s="69">
        <f t="shared" si="1"/>
        <v>0</v>
      </c>
      <c r="L69" s="17"/>
    </row>
    <row r="70" spans="1:12" x14ac:dyDescent="0.35">
      <c r="A70" s="9"/>
      <c r="B70" s="9" t="s">
        <v>137</v>
      </c>
      <c r="C70" s="119"/>
      <c r="D70" s="9"/>
      <c r="E70" s="9" t="s">
        <v>138</v>
      </c>
      <c r="F70" s="9"/>
      <c r="G70" s="69">
        <f>SUM(G71:G73)</f>
        <v>1049365.28</v>
      </c>
      <c r="H70" s="9"/>
      <c r="I70" s="69">
        <f>SUM(I71:I73)</f>
        <v>376788.64</v>
      </c>
      <c r="J70" s="69">
        <f>SUM(J71:J73)</f>
        <v>672576.6399999999</v>
      </c>
      <c r="K70" s="69"/>
      <c r="L70" s="14"/>
    </row>
    <row r="71" spans="1:12" x14ac:dyDescent="0.35">
      <c r="A71" s="9"/>
      <c r="B71" s="9"/>
      <c r="C71" s="119" t="s">
        <v>139</v>
      </c>
      <c r="D71" s="9"/>
      <c r="E71" s="9"/>
      <c r="F71" s="9" t="s">
        <v>140</v>
      </c>
      <c r="G71" s="70">
        <v>8491.81</v>
      </c>
      <c r="H71" s="16" t="s">
        <v>59</v>
      </c>
      <c r="I71" s="70">
        <v>4245.8999999999996</v>
      </c>
      <c r="J71" s="70">
        <v>4245.91</v>
      </c>
      <c r="K71" s="69">
        <f t="shared" ref="K71:K73" si="2">I71+J71</f>
        <v>8491.81</v>
      </c>
      <c r="L71" s="17" t="s">
        <v>231</v>
      </c>
    </row>
    <row r="72" spans="1:12" x14ac:dyDescent="0.35">
      <c r="A72" s="9"/>
      <c r="B72" s="9"/>
      <c r="C72" s="119" t="s">
        <v>141</v>
      </c>
      <c r="D72" s="9"/>
      <c r="E72" s="9"/>
      <c r="F72" s="9" t="s">
        <v>142</v>
      </c>
      <c r="G72" s="70">
        <v>745085.48</v>
      </c>
      <c r="H72" s="16" t="s">
        <v>59</v>
      </c>
      <c r="I72" s="70">
        <v>372542.74</v>
      </c>
      <c r="J72" s="70">
        <v>372542.74</v>
      </c>
      <c r="K72" s="69">
        <f t="shared" si="2"/>
        <v>745085.48</v>
      </c>
      <c r="L72" s="17" t="s">
        <v>231</v>
      </c>
    </row>
    <row r="73" spans="1:12" x14ac:dyDescent="0.35">
      <c r="A73" s="9"/>
      <c r="B73" s="9"/>
      <c r="C73" s="119" t="s">
        <v>143</v>
      </c>
      <c r="D73" s="9"/>
      <c r="E73" s="9"/>
      <c r="F73" s="9" t="s">
        <v>144</v>
      </c>
      <c r="G73" s="70">
        <v>295787.99</v>
      </c>
      <c r="H73" s="16" t="s">
        <v>24</v>
      </c>
      <c r="I73" s="70"/>
      <c r="J73" s="70">
        <v>295787.99</v>
      </c>
      <c r="K73" s="69">
        <f t="shared" si="2"/>
        <v>295787.99</v>
      </c>
      <c r="L73" s="17"/>
    </row>
    <row r="74" spans="1:12" hidden="1" x14ac:dyDescent="0.35">
      <c r="A74" s="9"/>
      <c r="B74" s="9" t="s">
        <v>145</v>
      </c>
      <c r="C74" s="119"/>
      <c r="D74" s="9"/>
      <c r="E74" s="9" t="s">
        <v>127</v>
      </c>
      <c r="F74" s="9"/>
      <c r="G74" s="69"/>
      <c r="H74" s="9"/>
      <c r="I74" s="69"/>
      <c r="J74" s="69"/>
      <c r="K74" s="69"/>
      <c r="L74" s="14"/>
    </row>
    <row r="75" spans="1:12" hidden="1" x14ac:dyDescent="0.35">
      <c r="A75" s="9"/>
      <c r="B75" s="9" t="s">
        <v>146</v>
      </c>
      <c r="C75" s="119"/>
      <c r="D75" s="9"/>
      <c r="E75" s="9" t="s">
        <v>127</v>
      </c>
      <c r="F75" s="9"/>
      <c r="G75" s="69"/>
      <c r="H75" s="9"/>
      <c r="I75" s="69"/>
      <c r="J75" s="69"/>
      <c r="K75" s="69"/>
      <c r="L75" s="14"/>
    </row>
    <row r="76" spans="1:12" s="7" customFormat="1" x14ac:dyDescent="0.35">
      <c r="A76" s="4" t="s">
        <v>147</v>
      </c>
      <c r="B76" s="4"/>
      <c r="C76" s="122"/>
      <c r="D76" s="4"/>
      <c r="E76" s="4"/>
      <c r="F76" s="4"/>
      <c r="G76" s="138">
        <f>G8+G25+G42+G66+G70</f>
        <v>8378481.5300000003</v>
      </c>
      <c r="H76" s="88"/>
      <c r="I76" s="138">
        <f>I8+I25+I42+I66+I70</f>
        <v>3732047.2500000005</v>
      </c>
      <c r="J76" s="138">
        <f>J8+J25+J42+J66+J70</f>
        <v>4646434.2799999993</v>
      </c>
      <c r="K76" s="69">
        <f t="shared" ref="K76" si="3">I76+J76</f>
        <v>8378481.5299999993</v>
      </c>
      <c r="L76" s="25"/>
    </row>
    <row r="77" spans="1:12" x14ac:dyDescent="0.35">
      <c r="F77" s="139" t="s">
        <v>200</v>
      </c>
      <c r="G77" s="140">
        <f>'[20]CA2 Detail'!L173</f>
        <v>8378481.5299999993</v>
      </c>
      <c r="H77" s="13"/>
      <c r="I77" s="89">
        <f>I76/G76</f>
        <v>0.44543241357482594</v>
      </c>
      <c r="J77" s="89">
        <f>J76/G76</f>
        <v>0.55456758642517401</v>
      </c>
      <c r="K77" s="27"/>
    </row>
    <row r="79" spans="1:12" x14ac:dyDescent="0.35">
      <c r="F79" s="142" t="s">
        <v>201</v>
      </c>
    </row>
    <row r="80" spans="1:12" hidden="1" x14ac:dyDescent="0.35">
      <c r="H80" t="s">
        <v>15</v>
      </c>
    </row>
    <row r="81" spans="3:11" hidden="1" x14ac:dyDescent="0.35">
      <c r="C81"/>
      <c r="H81" t="s">
        <v>24</v>
      </c>
    </row>
    <row r="82" spans="3:11" hidden="1" x14ac:dyDescent="0.35">
      <c r="C82"/>
      <c r="H82" t="s">
        <v>59</v>
      </c>
    </row>
    <row r="83" spans="3:11" x14ac:dyDescent="0.35">
      <c r="C83"/>
      <c r="H83" s="139" t="s">
        <v>202</v>
      </c>
      <c r="I83" s="69">
        <f>'[20]CA2 Detail'!W121-'[20]CA2 Detail'!J203</f>
        <v>38525784.739999995</v>
      </c>
      <c r="J83" s="161">
        <f>I76/I83</f>
        <v>9.687141417589723E-2</v>
      </c>
      <c r="K83" s="142" t="s">
        <v>203</v>
      </c>
    </row>
    <row r="97" spans="3:3" x14ac:dyDescent="0.35">
      <c r="C97"/>
    </row>
    <row r="98" spans="3:3" x14ac:dyDescent="0.35">
      <c r="C98"/>
    </row>
    <row r="99" spans="3:3" x14ac:dyDescent="0.35">
      <c r="C99"/>
    </row>
    <row r="100" spans="3:3" x14ac:dyDescent="0.35">
      <c r="C100"/>
    </row>
    <row r="101" spans="3:3" x14ac:dyDescent="0.35">
      <c r="C101"/>
    </row>
    <row r="102" spans="3:3" x14ac:dyDescent="0.35">
      <c r="C102"/>
    </row>
    <row r="103" spans="3:3" x14ac:dyDescent="0.35">
      <c r="C103"/>
    </row>
    <row r="104" spans="3:3" x14ac:dyDescent="0.35">
      <c r="C104"/>
    </row>
    <row r="105" spans="3:3" x14ac:dyDescent="0.35">
      <c r="C105"/>
    </row>
    <row r="106" spans="3:3" x14ac:dyDescent="0.35">
      <c r="C106"/>
    </row>
    <row r="107" spans="3:3" x14ac:dyDescent="0.35">
      <c r="C107"/>
    </row>
    <row r="108" spans="3:3" x14ac:dyDescent="0.35">
      <c r="C108"/>
    </row>
    <row r="109" spans="3:3" x14ac:dyDescent="0.35">
      <c r="C109"/>
    </row>
    <row r="112" spans="3:3" ht="15" hidden="1" customHeight="1" x14ac:dyDescent="0.35"/>
    <row r="113" ht="15" hidden="1" customHeight="1" x14ac:dyDescent="0.35"/>
    <row r="114" ht="15" hidden="1" customHeight="1" x14ac:dyDescent="0.35"/>
    <row r="115" ht="15" hidden="1" customHeight="1" x14ac:dyDescent="0.35"/>
    <row r="116" ht="15" hidden="1" customHeight="1" x14ac:dyDescent="0.35"/>
    <row r="117" ht="15" hidden="1" customHeight="1" x14ac:dyDescent="0.35"/>
    <row r="118" ht="15" hidden="1" customHeight="1" x14ac:dyDescent="0.35"/>
    <row r="119" ht="15" hidden="1" customHeight="1" x14ac:dyDescent="0.35"/>
    <row r="120" ht="15" hidden="1" customHeight="1" x14ac:dyDescent="0.35"/>
    <row r="121" ht="15" hidden="1" customHeight="1" x14ac:dyDescent="0.35"/>
    <row r="122" ht="15" hidden="1" customHeight="1" x14ac:dyDescent="0.35"/>
    <row r="123" ht="15" hidden="1" customHeight="1" x14ac:dyDescent="0.35"/>
    <row r="124" ht="15" hidden="1" customHeight="1" x14ac:dyDescent="0.35"/>
    <row r="125" ht="15" hidden="1" customHeight="1" x14ac:dyDescent="0.35"/>
    <row r="126" ht="15" hidden="1" customHeight="1" x14ac:dyDescent="0.35"/>
    <row r="127" ht="15" hidden="1" customHeight="1" x14ac:dyDescent="0.35"/>
    <row r="128" ht="15" hidden="1" customHeight="1" x14ac:dyDescent="0.35"/>
    <row r="129" ht="15" hidden="1" customHeight="1" x14ac:dyDescent="0.35"/>
    <row r="130" ht="15" hidden="1" customHeight="1" x14ac:dyDescent="0.35"/>
    <row r="131" ht="15" hidden="1" customHeight="1" x14ac:dyDescent="0.35"/>
    <row r="132" ht="15" hidden="1" customHeight="1" x14ac:dyDescent="0.35"/>
    <row r="133" ht="15" hidden="1" customHeight="1" x14ac:dyDescent="0.35"/>
    <row r="134" ht="15" hidden="1" customHeight="1" x14ac:dyDescent="0.35"/>
    <row r="135" ht="15" hidden="1" customHeight="1" x14ac:dyDescent="0.35"/>
    <row r="136" ht="15" hidden="1" customHeight="1" x14ac:dyDescent="0.35"/>
    <row r="137" ht="15" hidden="1" customHeight="1" x14ac:dyDescent="0.35"/>
    <row r="138" ht="15" hidden="1" customHeight="1" x14ac:dyDescent="0.35"/>
    <row r="139" ht="15" hidden="1" customHeight="1" x14ac:dyDescent="0.35"/>
    <row r="140" ht="15" hidden="1" customHeight="1" x14ac:dyDescent="0.35"/>
  </sheetData>
  <conditionalFormatting sqref="G76">
    <cfRule type="cellIs" dxfId="107" priority="1" operator="notEqual">
      <formula>$G$77</formula>
    </cfRule>
    <cfRule type="cellIs" dxfId="106" priority="2" operator="equal">
      <formula>$G$77</formula>
    </cfRule>
  </conditionalFormatting>
  <conditionalFormatting sqref="K9:K24">
    <cfRule type="cellIs" dxfId="105" priority="13" operator="notEqual">
      <formula>G9</formula>
    </cfRule>
    <cfRule type="cellIs" dxfId="104" priority="14" operator="equal">
      <formula>G9</formula>
    </cfRule>
  </conditionalFormatting>
  <conditionalFormatting sqref="K26:K41">
    <cfRule type="cellIs" dxfId="103" priority="11" operator="notEqual">
      <formula>G26</formula>
    </cfRule>
    <cfRule type="cellIs" dxfId="102" priority="12" operator="equal">
      <formula>G26</formula>
    </cfRule>
  </conditionalFormatting>
  <conditionalFormatting sqref="K43:K63">
    <cfRule type="cellIs" dxfId="101" priority="9" operator="notEqual">
      <formula>G43</formula>
    </cfRule>
    <cfRule type="cellIs" dxfId="100" priority="10" operator="equal">
      <formula>G43</formula>
    </cfRule>
  </conditionalFormatting>
  <conditionalFormatting sqref="K67:K69">
    <cfRule type="cellIs" dxfId="99" priority="7" operator="notEqual">
      <formula>G67</formula>
    </cfRule>
    <cfRule type="cellIs" dxfId="98" priority="8" operator="equal">
      <formula>G67</formula>
    </cfRule>
  </conditionalFormatting>
  <conditionalFormatting sqref="K71:K73">
    <cfRule type="cellIs" dxfId="97" priority="5" operator="notEqual">
      <formula>G71</formula>
    </cfRule>
    <cfRule type="cellIs" dxfId="96" priority="6" operator="equal">
      <formula>G71</formula>
    </cfRule>
  </conditionalFormatting>
  <conditionalFormatting sqref="K76">
    <cfRule type="cellIs" dxfId="95" priority="3" operator="notEqual">
      <formula>G76</formula>
    </cfRule>
    <cfRule type="cellIs" dxfId="94" priority="4" operator="equal">
      <formula>G76</formula>
    </cfRule>
  </conditionalFormatting>
  <dataValidations disablePrompts="1" count="1">
    <dataValidation type="list" allowBlank="1" showInputMessage="1" showErrorMessage="1" sqref="H9:H75" xr:uid="{C56CB07E-B690-4C55-AEE9-523316E96EBC}">
      <formula1>$H$80:$H$82</formula1>
    </dataValidation>
  </dataValidations>
  <pageMargins left="0.7" right="0.7" top="0.75" bottom="0.75" header="0.3" footer="0.3"/>
  <pageSetup scale="39" orientation="landscape" r:id="rId1"/>
  <legacy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tabColor rgb="FF00B0F0"/>
    <pageSetUpPr fitToPage="1"/>
  </sheetPr>
  <dimension ref="A1:L140"/>
  <sheetViews>
    <sheetView workbookViewId="0"/>
  </sheetViews>
  <sheetFormatPr defaultColWidth="9.1796875" defaultRowHeight="14.5" x14ac:dyDescent="0.35"/>
  <cols>
    <col min="1" max="2" width="2.81640625" style="144" customWidth="1"/>
    <col min="3" max="3" width="10.453125" style="165" bestFit="1" customWidth="1"/>
    <col min="4" max="5" width="2.81640625" style="144" customWidth="1"/>
    <col min="6" max="6" width="80.7265625" style="144" bestFit="1" customWidth="1"/>
    <col min="7" max="7" width="27.81640625" style="144" customWidth="1"/>
    <col min="8" max="8" width="15.26953125" style="144" bestFit="1" customWidth="1"/>
    <col min="9" max="9" width="27.26953125" style="144" customWidth="1"/>
    <col min="10" max="10" width="26.81640625" style="144" customWidth="1"/>
    <col min="11" max="11" width="25.81640625" style="144" customWidth="1"/>
    <col min="12" max="12" width="82.54296875" style="144" customWidth="1"/>
    <col min="13" max="16384" width="9.1796875" style="144"/>
  </cols>
  <sheetData>
    <row r="1" spans="1:12" x14ac:dyDescent="0.35">
      <c r="A1" s="198"/>
      <c r="B1" s="198"/>
      <c r="C1" s="198"/>
      <c r="D1" s="198"/>
      <c r="E1" s="198"/>
      <c r="F1" s="198"/>
      <c r="G1" s="198"/>
      <c r="H1" s="198"/>
      <c r="I1" s="198" t="s">
        <v>0</v>
      </c>
      <c r="J1" s="198"/>
      <c r="K1" s="198"/>
      <c r="L1" s="198"/>
    </row>
    <row r="2" spans="1:12" x14ac:dyDescent="0.35">
      <c r="A2" s="198"/>
      <c r="B2" s="198"/>
      <c r="C2" s="198"/>
      <c r="D2" s="198"/>
      <c r="E2" s="198"/>
      <c r="F2" s="198"/>
      <c r="G2" s="198"/>
      <c r="H2" s="198"/>
      <c r="I2" s="199" t="s">
        <v>197</v>
      </c>
      <c r="J2" s="198"/>
      <c r="K2" s="198"/>
      <c r="L2" s="198"/>
    </row>
    <row r="3" spans="1:12" x14ac:dyDescent="0.35">
      <c r="A3" s="200" t="s">
        <v>198</v>
      </c>
      <c r="B3" s="199"/>
      <c r="C3" s="199"/>
      <c r="D3" s="199"/>
      <c r="E3" s="199"/>
      <c r="F3" s="199"/>
      <c r="G3" s="199"/>
      <c r="H3" s="199"/>
      <c r="I3" s="199"/>
      <c r="J3" s="199"/>
      <c r="K3" s="199"/>
      <c r="L3" s="199"/>
    </row>
    <row r="4" spans="1:12" ht="19.5" customHeight="1" x14ac:dyDescent="0.35">
      <c r="A4" s="201" t="s">
        <v>167</v>
      </c>
      <c r="B4" s="202"/>
      <c r="C4" s="202"/>
      <c r="D4" s="202"/>
      <c r="E4" s="202"/>
      <c r="F4" s="202"/>
      <c r="G4" s="202"/>
      <c r="H4" s="202"/>
      <c r="I4" s="202"/>
      <c r="J4" s="202"/>
      <c r="K4" s="202"/>
      <c r="L4" s="202"/>
    </row>
    <row r="5" spans="1:12" x14ac:dyDescent="0.35">
      <c r="A5" s="202"/>
      <c r="B5" s="202"/>
      <c r="C5" s="202"/>
      <c r="D5" s="202"/>
      <c r="E5" s="202"/>
      <c r="F5" s="202"/>
      <c r="G5" s="202"/>
      <c r="H5" s="202"/>
      <c r="I5" s="202"/>
      <c r="J5" s="202"/>
      <c r="K5" s="202"/>
      <c r="L5" s="202"/>
    </row>
    <row r="6" spans="1:12" s="7" customFormat="1" x14ac:dyDescent="0.35">
      <c r="A6" s="194" t="s">
        <v>2</v>
      </c>
      <c r="B6" s="195"/>
      <c r="C6" s="195"/>
      <c r="D6" s="194" t="s">
        <v>3</v>
      </c>
      <c r="E6" s="195"/>
      <c r="F6" s="195"/>
      <c r="G6" s="118" t="s">
        <v>274</v>
      </c>
      <c r="H6" s="196" t="s">
        <v>4</v>
      </c>
      <c r="I6" s="196" t="s">
        <v>5</v>
      </c>
      <c r="J6" s="196" t="s">
        <v>6</v>
      </c>
      <c r="K6" s="196" t="s">
        <v>7</v>
      </c>
      <c r="L6" s="196" t="s">
        <v>199</v>
      </c>
    </row>
    <row r="7" spans="1:12" x14ac:dyDescent="0.35">
      <c r="A7" s="203" t="s">
        <v>9</v>
      </c>
      <c r="B7" s="204"/>
      <c r="C7" s="153"/>
      <c r="D7" s="205" t="s">
        <v>10</v>
      </c>
      <c r="E7" s="153"/>
      <c r="F7" s="153"/>
      <c r="G7" s="155"/>
      <c r="H7" s="204"/>
      <c r="I7" s="155"/>
      <c r="J7" s="155"/>
      <c r="K7" s="155"/>
      <c r="L7" s="205"/>
    </row>
    <row r="8" spans="1:12" x14ac:dyDescent="0.35">
      <c r="A8" s="203"/>
      <c r="B8" s="204" t="s">
        <v>11</v>
      </c>
      <c r="C8" s="153"/>
      <c r="D8" s="206"/>
      <c r="E8" s="204" t="s">
        <v>12</v>
      </c>
      <c r="F8" s="153"/>
      <c r="G8" s="155">
        <v>4256823.47</v>
      </c>
      <c r="H8" s="204"/>
      <c r="I8" s="155">
        <v>2709060.66</v>
      </c>
      <c r="J8" s="155">
        <v>1547762.8099999998</v>
      </c>
      <c r="K8" s="155"/>
      <c r="L8" s="207"/>
    </row>
    <row r="9" spans="1:12" x14ac:dyDescent="0.35">
      <c r="A9" s="203"/>
      <c r="B9" s="204"/>
      <c r="C9" s="153" t="s">
        <v>13</v>
      </c>
      <c r="D9" s="206"/>
      <c r="E9" s="153"/>
      <c r="F9" s="204" t="s">
        <v>14</v>
      </c>
      <c r="G9" s="86"/>
      <c r="H9" s="208"/>
      <c r="I9" s="86"/>
      <c r="J9" s="86"/>
      <c r="K9" s="155">
        <v>0</v>
      </c>
      <c r="L9" s="209"/>
    </row>
    <row r="10" spans="1:12" x14ac:dyDescent="0.35">
      <c r="A10" s="203"/>
      <c r="B10" s="204"/>
      <c r="C10" s="153" t="s">
        <v>16</v>
      </c>
      <c r="D10" s="206"/>
      <c r="E10" s="153"/>
      <c r="F10" s="204" t="s">
        <v>17</v>
      </c>
      <c r="G10" s="86">
        <v>24761.439999999999</v>
      </c>
      <c r="H10" s="208" t="s">
        <v>15</v>
      </c>
      <c r="I10" s="86">
        <v>24761.439999999999</v>
      </c>
      <c r="J10" s="86"/>
      <c r="K10" s="155">
        <v>24761.439999999999</v>
      </c>
      <c r="L10" s="209"/>
    </row>
    <row r="11" spans="1:12" x14ac:dyDescent="0.35">
      <c r="A11" s="203"/>
      <c r="B11" s="204"/>
      <c r="C11" s="153" t="s">
        <v>18</v>
      </c>
      <c r="D11" s="206"/>
      <c r="E11" s="153"/>
      <c r="F11" s="204" t="s">
        <v>19</v>
      </c>
      <c r="G11" s="86">
        <v>1132448.8500000001</v>
      </c>
      <c r="H11" s="208" t="s">
        <v>59</v>
      </c>
      <c r="I11" s="86">
        <v>825297.76</v>
      </c>
      <c r="J11" s="86">
        <v>307151.09000000003</v>
      </c>
      <c r="K11" s="155">
        <v>1132448.8500000001</v>
      </c>
      <c r="L11" s="209" t="s">
        <v>284</v>
      </c>
    </row>
    <row r="12" spans="1:12" x14ac:dyDescent="0.35">
      <c r="A12" s="203"/>
      <c r="B12" s="204"/>
      <c r="C12" s="153" t="s">
        <v>20</v>
      </c>
      <c r="D12" s="206"/>
      <c r="E12" s="153"/>
      <c r="F12" s="204" t="s">
        <v>21</v>
      </c>
      <c r="G12" s="86"/>
      <c r="H12" s="208"/>
      <c r="I12" s="86"/>
      <c r="J12" s="86"/>
      <c r="K12" s="155">
        <v>0</v>
      </c>
      <c r="L12" s="209"/>
    </row>
    <row r="13" spans="1:12" x14ac:dyDescent="0.35">
      <c r="A13" s="203"/>
      <c r="B13" s="204"/>
      <c r="C13" s="153" t="s">
        <v>22</v>
      </c>
      <c r="D13" s="206"/>
      <c r="E13" s="153"/>
      <c r="F13" s="204" t="s">
        <v>23</v>
      </c>
      <c r="G13" s="86">
        <v>1139119.26</v>
      </c>
      <c r="H13" s="208" t="s">
        <v>59</v>
      </c>
      <c r="I13" s="86">
        <v>1013682.8200000001</v>
      </c>
      <c r="J13" s="86">
        <v>125436.44</v>
      </c>
      <c r="K13" s="155">
        <v>1139119.26</v>
      </c>
      <c r="L13" s="209" t="s">
        <v>253</v>
      </c>
    </row>
    <row r="14" spans="1:12" x14ac:dyDescent="0.35">
      <c r="A14" s="203"/>
      <c r="B14" s="204"/>
      <c r="C14" s="153" t="s">
        <v>25</v>
      </c>
      <c r="D14" s="206"/>
      <c r="E14" s="153"/>
      <c r="F14" s="204" t="s">
        <v>26</v>
      </c>
      <c r="G14" s="86">
        <v>212087.13</v>
      </c>
      <c r="H14" s="208" t="s">
        <v>15</v>
      </c>
      <c r="I14" s="86">
        <v>212087.13</v>
      </c>
      <c r="J14" s="86"/>
      <c r="K14" s="155">
        <v>212087.13</v>
      </c>
      <c r="L14" s="209"/>
    </row>
    <row r="15" spans="1:12" x14ac:dyDescent="0.35">
      <c r="A15" s="203"/>
      <c r="B15" s="204"/>
      <c r="C15" s="153" t="s">
        <v>27</v>
      </c>
      <c r="D15" s="206"/>
      <c r="E15" s="153"/>
      <c r="F15" s="204" t="s">
        <v>28</v>
      </c>
      <c r="G15" s="86"/>
      <c r="H15" s="208"/>
      <c r="I15" s="86"/>
      <c r="J15" s="86"/>
      <c r="K15" s="155">
        <v>0</v>
      </c>
      <c r="L15" s="209"/>
    </row>
    <row r="16" spans="1:12" x14ac:dyDescent="0.35">
      <c r="A16" s="203"/>
      <c r="B16" s="204"/>
      <c r="C16" s="153" t="s">
        <v>29</v>
      </c>
      <c r="D16" s="206"/>
      <c r="E16" s="153"/>
      <c r="F16" s="204" t="s">
        <v>30</v>
      </c>
      <c r="G16" s="86"/>
      <c r="H16" s="208"/>
      <c r="I16" s="86"/>
      <c r="J16" s="86"/>
      <c r="K16" s="155">
        <v>0</v>
      </c>
      <c r="L16" s="209"/>
    </row>
    <row r="17" spans="1:12" x14ac:dyDescent="0.35">
      <c r="A17" s="203"/>
      <c r="B17" s="204"/>
      <c r="C17" s="153" t="s">
        <v>31</v>
      </c>
      <c r="D17" s="206"/>
      <c r="E17" s="153"/>
      <c r="F17" s="204" t="s">
        <v>32</v>
      </c>
      <c r="G17" s="86"/>
      <c r="H17" s="208"/>
      <c r="I17" s="86"/>
      <c r="J17" s="86"/>
      <c r="K17" s="155">
        <v>0</v>
      </c>
      <c r="L17" s="209"/>
    </row>
    <row r="18" spans="1:12" x14ac:dyDescent="0.35">
      <c r="A18" s="203"/>
      <c r="B18" s="204"/>
      <c r="C18" s="153" t="s">
        <v>33</v>
      </c>
      <c r="D18" s="206"/>
      <c r="E18" s="153"/>
      <c r="F18" s="204" t="s">
        <v>34</v>
      </c>
      <c r="G18" s="86">
        <v>1115175.2799999998</v>
      </c>
      <c r="H18" s="208" t="s">
        <v>24</v>
      </c>
      <c r="I18" s="86"/>
      <c r="J18" s="86">
        <v>1115175.2799999998</v>
      </c>
      <c r="K18" s="155">
        <v>1115175.2799999998</v>
      </c>
      <c r="L18" s="209"/>
    </row>
    <row r="19" spans="1:12" x14ac:dyDescent="0.35">
      <c r="A19" s="203"/>
      <c r="B19" s="204"/>
      <c r="C19" s="153" t="s">
        <v>35</v>
      </c>
      <c r="D19" s="206"/>
      <c r="E19" s="153"/>
      <c r="F19" s="204" t="s">
        <v>36</v>
      </c>
      <c r="G19" s="91"/>
      <c r="H19" s="208"/>
      <c r="I19" s="91"/>
      <c r="J19" s="91"/>
      <c r="K19" s="155">
        <v>0</v>
      </c>
      <c r="L19" s="209"/>
    </row>
    <row r="20" spans="1:12" x14ac:dyDescent="0.35">
      <c r="A20" s="203"/>
      <c r="B20" s="204"/>
      <c r="C20" s="153" t="s">
        <v>37</v>
      </c>
      <c r="D20" s="206"/>
      <c r="E20" s="153"/>
      <c r="F20" s="204" t="s">
        <v>38</v>
      </c>
      <c r="G20" s="86">
        <v>609688.47</v>
      </c>
      <c r="H20" s="208" t="s">
        <v>15</v>
      </c>
      <c r="I20" s="86">
        <v>609688.47</v>
      </c>
      <c r="J20" s="86"/>
      <c r="K20" s="155">
        <v>609688.47</v>
      </c>
      <c r="L20" s="209"/>
    </row>
    <row r="21" spans="1:12" x14ac:dyDescent="0.35">
      <c r="A21" s="203"/>
      <c r="B21" s="204"/>
      <c r="C21" s="153" t="s">
        <v>39</v>
      </c>
      <c r="D21" s="206"/>
      <c r="E21" s="153"/>
      <c r="F21" s="204" t="s">
        <v>40</v>
      </c>
      <c r="G21" s="86"/>
      <c r="H21" s="208"/>
      <c r="I21" s="86"/>
      <c r="J21" s="86"/>
      <c r="K21" s="155">
        <v>0</v>
      </c>
      <c r="L21" s="209"/>
    </row>
    <row r="22" spans="1:12" x14ac:dyDescent="0.35">
      <c r="A22" s="203"/>
      <c r="B22" s="204"/>
      <c r="C22" s="153" t="s">
        <v>41</v>
      </c>
      <c r="D22" s="206"/>
      <c r="E22" s="153"/>
      <c r="F22" s="204" t="s">
        <v>42</v>
      </c>
      <c r="G22" s="86"/>
      <c r="H22" s="208"/>
      <c r="I22" s="86"/>
      <c r="J22" s="86"/>
      <c r="K22" s="155">
        <v>0</v>
      </c>
      <c r="L22" s="209"/>
    </row>
    <row r="23" spans="1:12" x14ac:dyDescent="0.35">
      <c r="A23" s="203"/>
      <c r="B23" s="204"/>
      <c r="C23" s="153" t="s">
        <v>43</v>
      </c>
      <c r="D23" s="206"/>
      <c r="E23" s="153"/>
      <c r="F23" s="204" t="s">
        <v>44</v>
      </c>
      <c r="G23" s="86"/>
      <c r="H23" s="208"/>
      <c r="I23" s="86"/>
      <c r="J23" s="86"/>
      <c r="K23" s="155">
        <v>0</v>
      </c>
      <c r="L23" s="209"/>
    </row>
    <row r="24" spans="1:12" x14ac:dyDescent="0.35">
      <c r="A24" s="204"/>
      <c r="B24" s="204"/>
      <c r="C24" s="160" t="s">
        <v>45</v>
      </c>
      <c r="D24" s="206"/>
      <c r="E24" s="160"/>
      <c r="F24" s="204" t="s">
        <v>46</v>
      </c>
      <c r="G24" s="92">
        <v>23543.040000000001</v>
      </c>
      <c r="H24" s="208" t="s">
        <v>15</v>
      </c>
      <c r="I24" s="92">
        <v>23543.040000000001</v>
      </c>
      <c r="J24" s="92"/>
      <c r="K24" s="155">
        <v>23543.040000000001</v>
      </c>
      <c r="L24" s="209"/>
    </row>
    <row r="25" spans="1:12" x14ac:dyDescent="0.35">
      <c r="A25" s="203"/>
      <c r="B25" s="204" t="s">
        <v>47</v>
      </c>
      <c r="C25" s="153"/>
      <c r="D25" s="206"/>
      <c r="E25" s="204" t="s">
        <v>48</v>
      </c>
      <c r="F25" s="153"/>
      <c r="G25" s="155">
        <v>5193444.169999999</v>
      </c>
      <c r="H25" s="204"/>
      <c r="I25" s="155">
        <v>3342839.27</v>
      </c>
      <c r="J25" s="155">
        <v>1850604.9</v>
      </c>
      <c r="K25" s="155"/>
      <c r="L25" s="207"/>
    </row>
    <row r="26" spans="1:12" x14ac:dyDescent="0.35">
      <c r="A26" s="203"/>
      <c r="B26" s="204"/>
      <c r="C26" s="153" t="s">
        <v>49</v>
      </c>
      <c r="D26" s="206"/>
      <c r="E26" s="153"/>
      <c r="F26" s="204" t="s">
        <v>50</v>
      </c>
      <c r="G26" s="86"/>
      <c r="H26" s="208"/>
      <c r="I26" s="86"/>
      <c r="J26" s="86"/>
      <c r="K26" s="155">
        <v>0</v>
      </c>
      <c r="L26" s="209"/>
    </row>
    <row r="27" spans="1:12" x14ac:dyDescent="0.35">
      <c r="A27" s="203"/>
      <c r="B27" s="204"/>
      <c r="C27" s="153" t="s">
        <v>51</v>
      </c>
      <c r="D27" s="206"/>
      <c r="E27" s="153"/>
      <c r="F27" s="204" t="s">
        <v>52</v>
      </c>
      <c r="G27" s="86"/>
      <c r="H27" s="208"/>
      <c r="I27" s="86"/>
      <c r="J27" s="86"/>
      <c r="K27" s="155">
        <v>0</v>
      </c>
      <c r="L27" s="209"/>
    </row>
    <row r="28" spans="1:12" x14ac:dyDescent="0.35">
      <c r="A28" s="203"/>
      <c r="B28" s="204"/>
      <c r="C28" s="153" t="s">
        <v>53</v>
      </c>
      <c r="D28" s="206"/>
      <c r="E28" s="153"/>
      <c r="F28" s="204" t="s">
        <v>54</v>
      </c>
      <c r="G28" s="86">
        <v>1116898.42</v>
      </c>
      <c r="H28" s="208" t="s">
        <v>15</v>
      </c>
      <c r="I28" s="86">
        <v>1116898.42</v>
      </c>
      <c r="J28" s="86"/>
      <c r="K28" s="155">
        <v>1116898.42</v>
      </c>
      <c r="L28" s="209"/>
    </row>
    <row r="29" spans="1:12" x14ac:dyDescent="0.35">
      <c r="A29" s="203"/>
      <c r="B29" s="204"/>
      <c r="C29" s="153" t="s">
        <v>55</v>
      </c>
      <c r="D29" s="206"/>
      <c r="E29" s="153"/>
      <c r="F29" s="204" t="s">
        <v>56</v>
      </c>
      <c r="G29" s="86">
        <v>851096.06</v>
      </c>
      <c r="H29" s="208" t="s">
        <v>15</v>
      </c>
      <c r="I29" s="86">
        <v>851096.06</v>
      </c>
      <c r="J29" s="86"/>
      <c r="K29" s="155">
        <v>851096.06</v>
      </c>
      <c r="L29" s="209" t="s">
        <v>285</v>
      </c>
    </row>
    <row r="30" spans="1:12" x14ac:dyDescent="0.35">
      <c r="A30" s="203"/>
      <c r="B30" s="204"/>
      <c r="C30" s="153" t="s">
        <v>57</v>
      </c>
      <c r="D30" s="206"/>
      <c r="E30" s="153"/>
      <c r="F30" s="204" t="s">
        <v>58</v>
      </c>
      <c r="G30" s="86"/>
      <c r="H30" s="208"/>
      <c r="I30" s="86"/>
      <c r="J30" s="86"/>
      <c r="K30" s="155">
        <v>0</v>
      </c>
      <c r="L30" s="209"/>
    </row>
    <row r="31" spans="1:12" x14ac:dyDescent="0.35">
      <c r="A31" s="203"/>
      <c r="B31" s="204"/>
      <c r="C31" s="153" t="s">
        <v>60</v>
      </c>
      <c r="D31" s="206"/>
      <c r="E31" s="153"/>
      <c r="F31" s="204" t="s">
        <v>61</v>
      </c>
      <c r="G31" s="86">
        <v>190266.53</v>
      </c>
      <c r="H31" s="208" t="s">
        <v>15</v>
      </c>
      <c r="I31" s="86">
        <v>190266.53</v>
      </c>
      <c r="J31" s="86"/>
      <c r="K31" s="155">
        <v>190266.53</v>
      </c>
      <c r="L31" s="209"/>
    </row>
    <row r="32" spans="1:12" x14ac:dyDescent="0.35">
      <c r="A32" s="203"/>
      <c r="B32" s="204"/>
      <c r="C32" s="153" t="s">
        <v>62</v>
      </c>
      <c r="D32" s="206"/>
      <c r="E32" s="153"/>
      <c r="F32" s="204" t="s">
        <v>63</v>
      </c>
      <c r="G32" s="86"/>
      <c r="H32" s="208"/>
      <c r="I32" s="86"/>
      <c r="J32" s="86"/>
      <c r="K32" s="155">
        <v>0</v>
      </c>
      <c r="L32" s="209"/>
    </row>
    <row r="33" spans="1:12" x14ac:dyDescent="0.35">
      <c r="A33" s="204"/>
      <c r="B33" s="204"/>
      <c r="C33" s="153" t="s">
        <v>64</v>
      </c>
      <c r="D33" s="204"/>
      <c r="E33" s="153"/>
      <c r="F33" s="204" t="s">
        <v>65</v>
      </c>
      <c r="G33" s="86">
        <v>348500.34</v>
      </c>
      <c r="H33" s="208" t="s">
        <v>59</v>
      </c>
      <c r="I33" s="86">
        <v>992.14</v>
      </c>
      <c r="J33" s="86">
        <v>347508.2</v>
      </c>
      <c r="K33" s="155">
        <v>348500.34</v>
      </c>
      <c r="L33" s="209" t="s">
        <v>215</v>
      </c>
    </row>
    <row r="34" spans="1:12" x14ac:dyDescent="0.35">
      <c r="A34" s="204"/>
      <c r="B34" s="204"/>
      <c r="C34" s="153" t="s">
        <v>66</v>
      </c>
      <c r="D34" s="204"/>
      <c r="E34" s="204"/>
      <c r="F34" s="204" t="s">
        <v>67</v>
      </c>
      <c r="G34" s="86"/>
      <c r="H34" s="208"/>
      <c r="I34" s="86"/>
      <c r="J34" s="86"/>
      <c r="K34" s="155">
        <v>0</v>
      </c>
      <c r="L34" s="209"/>
    </row>
    <row r="35" spans="1:12" x14ac:dyDescent="0.35">
      <c r="A35" s="204"/>
      <c r="B35" s="204"/>
      <c r="C35" s="153" t="s">
        <v>68</v>
      </c>
      <c r="D35" s="204"/>
      <c r="E35" s="153"/>
      <c r="F35" s="204" t="s">
        <v>69</v>
      </c>
      <c r="G35" s="86">
        <v>1283132.6399999999</v>
      </c>
      <c r="H35" s="208" t="s">
        <v>59</v>
      </c>
      <c r="I35" s="86">
        <v>827705.5199999999</v>
      </c>
      <c r="J35" s="86">
        <v>455427.12</v>
      </c>
      <c r="K35" s="155">
        <v>1283132.6399999999</v>
      </c>
      <c r="L35" s="209" t="s">
        <v>216</v>
      </c>
    </row>
    <row r="36" spans="1:12" x14ac:dyDescent="0.35">
      <c r="A36" s="204"/>
      <c r="B36" s="204"/>
      <c r="C36" s="153" t="s">
        <v>70</v>
      </c>
      <c r="D36" s="204"/>
      <c r="E36" s="204"/>
      <c r="F36" s="204" t="s">
        <v>71</v>
      </c>
      <c r="G36" s="86"/>
      <c r="H36" s="208"/>
      <c r="I36" s="86"/>
      <c r="J36" s="86"/>
      <c r="K36" s="155">
        <v>0</v>
      </c>
      <c r="L36" s="209"/>
    </row>
    <row r="37" spans="1:12" x14ac:dyDescent="0.35">
      <c r="A37" s="204"/>
      <c r="B37" s="204"/>
      <c r="C37" s="153" t="s">
        <v>72</v>
      </c>
      <c r="D37" s="204"/>
      <c r="E37" s="161"/>
      <c r="F37" s="204" t="s">
        <v>73</v>
      </c>
      <c r="G37" s="86"/>
      <c r="H37" s="208"/>
      <c r="I37" s="86"/>
      <c r="J37" s="86"/>
      <c r="K37" s="155">
        <v>0</v>
      </c>
      <c r="L37" s="209"/>
    </row>
    <row r="38" spans="1:12" x14ac:dyDescent="0.35">
      <c r="A38" s="204"/>
      <c r="B38" s="204"/>
      <c r="C38" s="153" t="s">
        <v>74</v>
      </c>
      <c r="D38" s="204"/>
      <c r="E38" s="204"/>
      <c r="F38" s="204" t="s">
        <v>75</v>
      </c>
      <c r="G38" s="86"/>
      <c r="H38" s="208"/>
      <c r="I38" s="86"/>
      <c r="J38" s="86"/>
      <c r="K38" s="155">
        <v>0</v>
      </c>
      <c r="L38" s="209"/>
    </row>
    <row r="39" spans="1:12" x14ac:dyDescent="0.35">
      <c r="A39" s="204"/>
      <c r="B39" s="204"/>
      <c r="C39" s="153" t="s">
        <v>76</v>
      </c>
      <c r="D39" s="204"/>
      <c r="E39" s="204"/>
      <c r="F39" s="204" t="s">
        <v>77</v>
      </c>
      <c r="G39" s="86"/>
      <c r="H39" s="208"/>
      <c r="I39" s="86"/>
      <c r="J39" s="86"/>
      <c r="K39" s="155">
        <v>0</v>
      </c>
      <c r="L39" s="209"/>
    </row>
    <row r="40" spans="1:12" x14ac:dyDescent="0.35">
      <c r="A40" s="204"/>
      <c r="B40" s="204"/>
      <c r="C40" s="153" t="s">
        <v>78</v>
      </c>
      <c r="D40" s="204"/>
      <c r="E40" s="204"/>
      <c r="F40" s="204" t="s">
        <v>79</v>
      </c>
      <c r="G40" s="86">
        <v>1403550.18</v>
      </c>
      <c r="H40" s="208" t="s">
        <v>59</v>
      </c>
      <c r="I40" s="86">
        <v>355880.6</v>
      </c>
      <c r="J40" s="86">
        <v>1047669.58</v>
      </c>
      <c r="K40" s="155">
        <v>1403550.18</v>
      </c>
      <c r="L40" s="209" t="s">
        <v>217</v>
      </c>
    </row>
    <row r="41" spans="1:12" x14ac:dyDescent="0.35">
      <c r="A41" s="204"/>
      <c r="B41" s="204"/>
      <c r="C41" s="153" t="s">
        <v>80</v>
      </c>
      <c r="D41" s="204"/>
      <c r="E41" s="204"/>
      <c r="F41" s="204" t="s">
        <v>81</v>
      </c>
      <c r="G41" s="86"/>
      <c r="H41" s="208"/>
      <c r="I41" s="86"/>
      <c r="J41" s="86"/>
      <c r="K41" s="155">
        <v>0</v>
      </c>
      <c r="L41" s="209"/>
    </row>
    <row r="42" spans="1:12" x14ac:dyDescent="0.35">
      <c r="A42" s="204"/>
      <c r="B42" s="204" t="s">
        <v>82</v>
      </c>
      <c r="C42" s="153"/>
      <c r="D42" s="204"/>
      <c r="E42" s="204" t="s">
        <v>83</v>
      </c>
      <c r="F42" s="204"/>
      <c r="G42" s="155">
        <v>10721640.630000001</v>
      </c>
      <c r="H42" s="204"/>
      <c r="I42" s="155">
        <v>8470639.1400000006</v>
      </c>
      <c r="J42" s="155">
        <v>2251001.4900000002</v>
      </c>
      <c r="K42" s="155"/>
      <c r="L42" s="207"/>
    </row>
    <row r="43" spans="1:12" x14ac:dyDescent="0.35">
      <c r="A43" s="204"/>
      <c r="B43" s="204"/>
      <c r="C43" s="153" t="s">
        <v>84</v>
      </c>
      <c r="D43" s="204"/>
      <c r="E43" s="204"/>
      <c r="F43" s="204" t="s">
        <v>85</v>
      </c>
      <c r="G43" s="86">
        <v>215889.99</v>
      </c>
      <c r="H43" s="208" t="s">
        <v>15</v>
      </c>
      <c r="I43" s="86">
        <v>215889.99</v>
      </c>
      <c r="J43" s="86"/>
      <c r="K43" s="155">
        <v>215889.99</v>
      </c>
      <c r="L43" s="209"/>
    </row>
    <row r="44" spans="1:12" x14ac:dyDescent="0.35">
      <c r="A44" s="204"/>
      <c r="B44" s="204"/>
      <c r="C44" s="153" t="s">
        <v>86</v>
      </c>
      <c r="D44" s="204"/>
      <c r="E44" s="204"/>
      <c r="F44" s="204" t="s">
        <v>87</v>
      </c>
      <c r="G44" s="86">
        <v>3321787.8</v>
      </c>
      <c r="H44" s="208" t="s">
        <v>15</v>
      </c>
      <c r="I44" s="86">
        <v>3321787.8</v>
      </c>
      <c r="J44" s="86"/>
      <c r="K44" s="155">
        <v>3321787.8</v>
      </c>
      <c r="L44" s="209"/>
    </row>
    <row r="45" spans="1:12" x14ac:dyDescent="0.35">
      <c r="A45" s="204"/>
      <c r="B45" s="204"/>
      <c r="C45" s="153" t="s">
        <v>88</v>
      </c>
      <c r="D45" s="204"/>
      <c r="E45" s="204"/>
      <c r="F45" s="204" t="s">
        <v>89</v>
      </c>
      <c r="G45" s="86">
        <v>97779.28</v>
      </c>
      <c r="H45" s="208" t="s">
        <v>15</v>
      </c>
      <c r="I45" s="86">
        <v>97779.28</v>
      </c>
      <c r="J45" s="86"/>
      <c r="K45" s="155">
        <v>97779.28</v>
      </c>
      <c r="L45" s="209"/>
    </row>
    <row r="46" spans="1:12" x14ac:dyDescent="0.35">
      <c r="A46" s="204"/>
      <c r="B46" s="204"/>
      <c r="C46" s="153" t="s">
        <v>90</v>
      </c>
      <c r="D46" s="204"/>
      <c r="E46" s="204"/>
      <c r="F46" s="204" t="s">
        <v>91</v>
      </c>
      <c r="G46" s="86">
        <v>925097.1</v>
      </c>
      <c r="H46" s="208" t="s">
        <v>15</v>
      </c>
      <c r="I46" s="86">
        <v>925097.1</v>
      </c>
      <c r="J46" s="86"/>
      <c r="K46" s="155">
        <v>925097.1</v>
      </c>
      <c r="L46" s="209"/>
    </row>
    <row r="47" spans="1:12" x14ac:dyDescent="0.35">
      <c r="A47" s="204"/>
      <c r="B47" s="204"/>
      <c r="C47" s="153" t="s">
        <v>92</v>
      </c>
      <c r="D47" s="204"/>
      <c r="E47" s="204"/>
      <c r="F47" s="204" t="s">
        <v>93</v>
      </c>
      <c r="G47" s="86">
        <v>2217688.0600000005</v>
      </c>
      <c r="H47" s="208" t="s">
        <v>59</v>
      </c>
      <c r="I47" s="86">
        <v>2207484.0400000005</v>
      </c>
      <c r="J47" s="86">
        <v>10204.02</v>
      </c>
      <c r="K47" s="155">
        <v>2217688.0600000005</v>
      </c>
      <c r="L47" s="209" t="s">
        <v>286</v>
      </c>
    </row>
    <row r="48" spans="1:12" x14ac:dyDescent="0.35">
      <c r="A48" s="204"/>
      <c r="B48" s="204"/>
      <c r="C48" s="153" t="s">
        <v>94</v>
      </c>
      <c r="D48" s="204"/>
      <c r="E48" s="204"/>
      <c r="F48" s="204" t="s">
        <v>95</v>
      </c>
      <c r="G48" s="86"/>
      <c r="H48" s="208"/>
      <c r="I48" s="86"/>
      <c r="J48" s="86"/>
      <c r="K48" s="155">
        <v>0</v>
      </c>
      <c r="L48" s="209"/>
    </row>
    <row r="49" spans="1:12" x14ac:dyDescent="0.35">
      <c r="A49" s="204"/>
      <c r="B49" s="204"/>
      <c r="C49" s="153" t="s">
        <v>96</v>
      </c>
      <c r="D49" s="204"/>
      <c r="E49" s="204"/>
      <c r="F49" s="204" t="s">
        <v>97</v>
      </c>
      <c r="G49" s="86">
        <v>265412.33</v>
      </c>
      <c r="H49" s="208" t="s">
        <v>15</v>
      </c>
      <c r="I49" s="86">
        <v>265412.33</v>
      </c>
      <c r="J49" s="86"/>
      <c r="K49" s="155">
        <v>265412.33</v>
      </c>
      <c r="L49" s="209"/>
    </row>
    <row r="50" spans="1:12" x14ac:dyDescent="0.35">
      <c r="A50" s="204"/>
      <c r="B50" s="204"/>
      <c r="C50" s="153" t="s">
        <v>98</v>
      </c>
      <c r="D50" s="204"/>
      <c r="E50" s="204"/>
      <c r="F50" s="204" t="s">
        <v>99</v>
      </c>
      <c r="G50" s="86">
        <v>401308.98</v>
      </c>
      <c r="H50" s="208" t="s">
        <v>15</v>
      </c>
      <c r="I50" s="86">
        <v>401308.98</v>
      </c>
      <c r="J50" s="86"/>
      <c r="K50" s="155">
        <v>401308.98</v>
      </c>
      <c r="L50" s="209"/>
    </row>
    <row r="51" spans="1:12" x14ac:dyDescent="0.35">
      <c r="A51" s="204"/>
      <c r="B51" s="204"/>
      <c r="C51" s="153" t="s">
        <v>100</v>
      </c>
      <c r="D51" s="204"/>
      <c r="E51" s="204"/>
      <c r="F51" s="204" t="s">
        <v>101</v>
      </c>
      <c r="G51" s="86"/>
      <c r="H51" s="208"/>
      <c r="I51" s="86"/>
      <c r="J51" s="86"/>
      <c r="K51" s="155">
        <v>0</v>
      </c>
      <c r="L51" s="209"/>
    </row>
    <row r="52" spans="1:12" x14ac:dyDescent="0.35">
      <c r="A52" s="204"/>
      <c r="B52" s="204"/>
      <c r="C52" s="153" t="s">
        <v>102</v>
      </c>
      <c r="D52" s="204"/>
      <c r="E52" s="204"/>
      <c r="F52" s="204" t="s">
        <v>103</v>
      </c>
      <c r="G52" s="86">
        <v>65100.54</v>
      </c>
      <c r="H52" s="208" t="s">
        <v>15</v>
      </c>
      <c r="I52" s="86">
        <v>65100.54</v>
      </c>
      <c r="J52" s="86"/>
      <c r="K52" s="155">
        <v>65100.54</v>
      </c>
      <c r="L52" s="209"/>
    </row>
    <row r="53" spans="1:12" x14ac:dyDescent="0.35">
      <c r="A53" s="204"/>
      <c r="B53" s="204"/>
      <c r="C53" s="153" t="s">
        <v>104</v>
      </c>
      <c r="D53" s="204"/>
      <c r="E53" s="204"/>
      <c r="F53" s="204" t="s">
        <v>105</v>
      </c>
      <c r="G53" s="86">
        <v>150543.79</v>
      </c>
      <c r="H53" s="208" t="s">
        <v>15</v>
      </c>
      <c r="I53" s="86">
        <v>150543.79</v>
      </c>
      <c r="J53" s="86"/>
      <c r="K53" s="155">
        <v>150543.79</v>
      </c>
      <c r="L53" s="209"/>
    </row>
    <row r="54" spans="1:12" x14ac:dyDescent="0.35">
      <c r="A54" s="204"/>
      <c r="B54" s="204"/>
      <c r="C54" s="153" t="s">
        <v>106</v>
      </c>
      <c r="D54" s="204"/>
      <c r="E54" s="204"/>
      <c r="F54" s="204" t="s">
        <v>107</v>
      </c>
      <c r="G54" s="86">
        <v>209201.72</v>
      </c>
      <c r="H54" s="208" t="s">
        <v>15</v>
      </c>
      <c r="I54" s="86">
        <v>209201.72</v>
      </c>
      <c r="J54" s="86"/>
      <c r="K54" s="155">
        <v>209201.72</v>
      </c>
      <c r="L54" s="209"/>
    </row>
    <row r="55" spans="1:12" x14ac:dyDescent="0.35">
      <c r="A55" s="204"/>
      <c r="B55" s="204"/>
      <c r="C55" s="153" t="s">
        <v>108</v>
      </c>
      <c r="D55" s="204"/>
      <c r="E55" s="204"/>
      <c r="F55" s="204" t="s">
        <v>109</v>
      </c>
      <c r="G55" s="86">
        <v>190187.4</v>
      </c>
      <c r="H55" s="208" t="s">
        <v>15</v>
      </c>
      <c r="I55" s="86">
        <v>190187.4</v>
      </c>
      <c r="J55" s="86"/>
      <c r="K55" s="155">
        <v>190187.4</v>
      </c>
      <c r="L55" s="209"/>
    </row>
    <row r="56" spans="1:12" x14ac:dyDescent="0.35">
      <c r="A56" s="204"/>
      <c r="B56" s="204"/>
      <c r="C56" s="153" t="s">
        <v>110</v>
      </c>
      <c r="D56" s="204"/>
      <c r="E56" s="204"/>
      <c r="F56" s="204" t="s">
        <v>111</v>
      </c>
      <c r="G56" s="86">
        <v>112050.15000000001</v>
      </c>
      <c r="H56" s="208" t="s">
        <v>59</v>
      </c>
      <c r="I56" s="86">
        <v>49320.149999999994</v>
      </c>
      <c r="J56" s="86">
        <v>62730</v>
      </c>
      <c r="K56" s="155">
        <v>112050.15</v>
      </c>
      <c r="L56" s="209" t="s">
        <v>287</v>
      </c>
    </row>
    <row r="57" spans="1:12" x14ac:dyDescent="0.35">
      <c r="A57" s="204"/>
      <c r="B57" s="204"/>
      <c r="C57" s="153" t="s">
        <v>112</v>
      </c>
      <c r="D57" s="204"/>
      <c r="E57" s="204"/>
      <c r="F57" s="204" t="s">
        <v>113</v>
      </c>
      <c r="G57" s="86">
        <v>122178.39</v>
      </c>
      <c r="H57" s="208" t="s">
        <v>15</v>
      </c>
      <c r="I57" s="86">
        <v>122178.39</v>
      </c>
      <c r="J57" s="86"/>
      <c r="K57" s="155">
        <v>122178.39</v>
      </c>
      <c r="L57" s="209"/>
    </row>
    <row r="58" spans="1:12" x14ac:dyDescent="0.35">
      <c r="A58" s="204"/>
      <c r="B58" s="204"/>
      <c r="C58" s="153" t="s">
        <v>114</v>
      </c>
      <c r="D58" s="204"/>
      <c r="E58" s="204"/>
      <c r="F58" s="204" t="s">
        <v>115</v>
      </c>
      <c r="G58" s="86"/>
      <c r="H58" s="208"/>
      <c r="I58" s="86"/>
      <c r="J58" s="86"/>
      <c r="K58" s="155">
        <v>0</v>
      </c>
      <c r="L58" s="209"/>
    </row>
    <row r="59" spans="1:12" x14ac:dyDescent="0.35">
      <c r="A59" s="204"/>
      <c r="B59" s="204"/>
      <c r="C59" s="153" t="s">
        <v>116</v>
      </c>
      <c r="D59" s="204"/>
      <c r="E59" s="204"/>
      <c r="F59" s="204" t="s">
        <v>117</v>
      </c>
      <c r="G59" s="86"/>
      <c r="H59" s="208"/>
      <c r="I59" s="86"/>
      <c r="J59" s="86"/>
      <c r="K59" s="155">
        <v>0</v>
      </c>
      <c r="L59" s="209"/>
    </row>
    <row r="60" spans="1:12" x14ac:dyDescent="0.35">
      <c r="A60" s="204"/>
      <c r="B60" s="204"/>
      <c r="C60" s="153" t="s">
        <v>118</v>
      </c>
      <c r="D60" s="204"/>
      <c r="E60" s="204"/>
      <c r="F60" s="204" t="s">
        <v>119</v>
      </c>
      <c r="G60" s="86"/>
      <c r="H60" s="208"/>
      <c r="I60" s="86"/>
      <c r="J60" s="86"/>
      <c r="K60" s="155">
        <v>0</v>
      </c>
      <c r="L60" s="209"/>
    </row>
    <row r="61" spans="1:12" x14ac:dyDescent="0.35">
      <c r="A61" s="204"/>
      <c r="B61" s="204"/>
      <c r="C61" s="153" t="s">
        <v>120</v>
      </c>
      <c r="D61" s="204"/>
      <c r="E61" s="204"/>
      <c r="F61" s="204" t="s">
        <v>121</v>
      </c>
      <c r="G61" s="86">
        <v>94304.81</v>
      </c>
      <c r="H61" s="208" t="s">
        <v>15</v>
      </c>
      <c r="I61" s="86">
        <v>94304.81</v>
      </c>
      <c r="J61" s="86"/>
      <c r="K61" s="155">
        <v>94304.81</v>
      </c>
      <c r="L61" s="209"/>
    </row>
    <row r="62" spans="1:12" x14ac:dyDescent="0.35">
      <c r="A62" s="204"/>
      <c r="B62" s="204"/>
      <c r="C62" s="153" t="s">
        <v>122</v>
      </c>
      <c r="D62" s="204"/>
      <c r="E62" s="204"/>
      <c r="F62" s="204" t="s">
        <v>123</v>
      </c>
      <c r="G62" s="86">
        <v>2169489.4300000002</v>
      </c>
      <c r="H62" s="208" t="s">
        <v>24</v>
      </c>
      <c r="I62" s="86"/>
      <c r="J62" s="86">
        <v>2169489.4300000002</v>
      </c>
      <c r="K62" s="155">
        <v>2169489.4300000002</v>
      </c>
      <c r="L62" s="209" t="s">
        <v>218</v>
      </c>
    </row>
    <row r="63" spans="1:12" x14ac:dyDescent="0.35">
      <c r="A63" s="204"/>
      <c r="B63" s="204"/>
      <c r="C63" s="153" t="s">
        <v>124</v>
      </c>
      <c r="D63" s="204"/>
      <c r="E63" s="204"/>
      <c r="F63" s="204" t="s">
        <v>125</v>
      </c>
      <c r="G63" s="86">
        <v>163620.85999999999</v>
      </c>
      <c r="H63" s="208" t="s">
        <v>59</v>
      </c>
      <c r="I63" s="86">
        <v>155042.81999999998</v>
      </c>
      <c r="J63" s="86">
        <v>8578.0400000000009</v>
      </c>
      <c r="K63" s="155">
        <v>163620.85999999999</v>
      </c>
      <c r="L63" s="209" t="s">
        <v>287</v>
      </c>
    </row>
    <row r="64" spans="1:12" hidden="1" x14ac:dyDescent="0.35">
      <c r="A64" s="204"/>
      <c r="B64" s="204" t="s">
        <v>126</v>
      </c>
      <c r="C64" s="153"/>
      <c r="D64" s="204"/>
      <c r="E64" s="204" t="s">
        <v>127</v>
      </c>
      <c r="F64" s="204"/>
      <c r="G64" s="155"/>
      <c r="H64" s="204"/>
      <c r="I64" s="155"/>
      <c r="J64" s="155"/>
      <c r="K64" s="155"/>
      <c r="L64" s="207"/>
    </row>
    <row r="65" spans="1:12" hidden="1" x14ac:dyDescent="0.35">
      <c r="A65" s="204"/>
      <c r="B65" s="204" t="s">
        <v>128</v>
      </c>
      <c r="C65" s="153"/>
      <c r="D65" s="204"/>
      <c r="E65" s="204" t="s">
        <v>127</v>
      </c>
      <c r="F65" s="204"/>
      <c r="G65" s="155"/>
      <c r="H65" s="204"/>
      <c r="I65" s="155"/>
      <c r="J65" s="155"/>
      <c r="K65" s="155"/>
      <c r="L65" s="207"/>
    </row>
    <row r="66" spans="1:12" x14ac:dyDescent="0.35">
      <c r="A66" s="204"/>
      <c r="B66" s="204" t="s">
        <v>129</v>
      </c>
      <c r="C66" s="153"/>
      <c r="D66" s="204"/>
      <c r="E66" s="204" t="s">
        <v>130</v>
      </c>
      <c r="F66" s="204"/>
      <c r="G66" s="155">
        <v>104240.45000000001</v>
      </c>
      <c r="H66" s="204"/>
      <c r="I66" s="155">
        <v>104240.45000000001</v>
      </c>
      <c r="J66" s="155">
        <v>0</v>
      </c>
      <c r="K66" s="155"/>
      <c r="L66" s="207"/>
    </row>
    <row r="67" spans="1:12" x14ac:dyDescent="0.35">
      <c r="A67" s="204"/>
      <c r="B67" s="204"/>
      <c r="C67" s="153" t="s">
        <v>131</v>
      </c>
      <c r="D67" s="204"/>
      <c r="E67" s="204"/>
      <c r="F67" s="204" t="s">
        <v>132</v>
      </c>
      <c r="G67" s="86">
        <v>104240.45000000001</v>
      </c>
      <c r="H67" s="208" t="s">
        <v>15</v>
      </c>
      <c r="I67" s="86">
        <v>104240.45000000001</v>
      </c>
      <c r="J67" s="86">
        <v>0</v>
      </c>
      <c r="K67" s="155">
        <v>104240.45000000001</v>
      </c>
      <c r="L67" s="209"/>
    </row>
    <row r="68" spans="1:12" x14ac:dyDescent="0.35">
      <c r="A68" s="204"/>
      <c r="B68" s="204"/>
      <c r="C68" s="153" t="s">
        <v>133</v>
      </c>
      <c r="D68" s="204"/>
      <c r="E68" s="204"/>
      <c r="F68" s="204" t="s">
        <v>134</v>
      </c>
      <c r="G68" s="86"/>
      <c r="H68" s="208"/>
      <c r="I68" s="86"/>
      <c r="J68" s="86"/>
      <c r="K68" s="155">
        <v>0</v>
      </c>
      <c r="L68" s="209"/>
    </row>
    <row r="69" spans="1:12" x14ac:dyDescent="0.35">
      <c r="A69" s="204"/>
      <c r="B69" s="204"/>
      <c r="C69" s="153" t="s">
        <v>135</v>
      </c>
      <c r="D69" s="204"/>
      <c r="E69" s="204"/>
      <c r="F69" s="204" t="s">
        <v>136</v>
      </c>
      <c r="G69" s="86"/>
      <c r="H69" s="208"/>
      <c r="I69" s="86"/>
      <c r="J69" s="86"/>
      <c r="K69" s="155">
        <v>0</v>
      </c>
      <c r="L69" s="209"/>
    </row>
    <row r="70" spans="1:12" x14ac:dyDescent="0.35">
      <c r="A70" s="204"/>
      <c r="B70" s="204" t="s">
        <v>137</v>
      </c>
      <c r="C70" s="153"/>
      <c r="D70" s="204"/>
      <c r="E70" s="204" t="s">
        <v>138</v>
      </c>
      <c r="F70" s="204"/>
      <c r="G70" s="155">
        <v>1919515.23</v>
      </c>
      <c r="H70" s="204"/>
      <c r="I70" s="155">
        <v>1563016.35</v>
      </c>
      <c r="J70" s="155">
        <v>356498.88</v>
      </c>
      <c r="K70" s="155"/>
      <c r="L70" s="207"/>
    </row>
    <row r="71" spans="1:12" x14ac:dyDescent="0.35">
      <c r="A71" s="204"/>
      <c r="B71" s="204"/>
      <c r="C71" s="153" t="s">
        <v>139</v>
      </c>
      <c r="D71" s="204"/>
      <c r="E71" s="204"/>
      <c r="F71" s="204" t="s">
        <v>140</v>
      </c>
      <c r="G71" s="86"/>
      <c r="H71" s="208"/>
      <c r="I71" s="86"/>
      <c r="J71" s="86"/>
      <c r="K71" s="155">
        <v>0</v>
      </c>
      <c r="L71" s="209"/>
    </row>
    <row r="72" spans="1:12" x14ac:dyDescent="0.35">
      <c r="A72" s="204"/>
      <c r="B72" s="204"/>
      <c r="C72" s="153" t="s">
        <v>141</v>
      </c>
      <c r="D72" s="204"/>
      <c r="E72" s="204"/>
      <c r="F72" s="204" t="s">
        <v>142</v>
      </c>
      <c r="G72" s="86">
        <v>1919515.23</v>
      </c>
      <c r="H72" s="208" t="s">
        <v>59</v>
      </c>
      <c r="I72" s="86">
        <v>1563016.35</v>
      </c>
      <c r="J72" s="86">
        <v>356498.88</v>
      </c>
      <c r="K72" s="155">
        <v>1919515.23</v>
      </c>
      <c r="L72" s="209" t="s">
        <v>287</v>
      </c>
    </row>
    <row r="73" spans="1:12" x14ac:dyDescent="0.35">
      <c r="A73" s="204"/>
      <c r="B73" s="204"/>
      <c r="C73" s="153" t="s">
        <v>143</v>
      </c>
      <c r="D73" s="204"/>
      <c r="E73" s="204"/>
      <c r="F73" s="204" t="s">
        <v>144</v>
      </c>
      <c r="G73" s="86"/>
      <c r="H73" s="208"/>
      <c r="I73" s="86"/>
      <c r="J73" s="86"/>
      <c r="K73" s="155">
        <v>0</v>
      </c>
      <c r="L73" s="209"/>
    </row>
    <row r="74" spans="1:12" hidden="1" x14ac:dyDescent="0.35">
      <c r="A74" s="204"/>
      <c r="B74" s="204" t="s">
        <v>145</v>
      </c>
      <c r="C74" s="153"/>
      <c r="D74" s="204"/>
      <c r="E74" s="204" t="s">
        <v>127</v>
      </c>
      <c r="F74" s="204"/>
      <c r="G74" s="155"/>
      <c r="H74" s="204"/>
      <c r="I74" s="155"/>
      <c r="J74" s="155"/>
      <c r="K74" s="155"/>
      <c r="L74" s="207"/>
    </row>
    <row r="75" spans="1:12" hidden="1" x14ac:dyDescent="0.35">
      <c r="A75" s="204"/>
      <c r="B75" s="204" t="s">
        <v>146</v>
      </c>
      <c r="C75" s="153"/>
      <c r="D75" s="204"/>
      <c r="E75" s="204" t="s">
        <v>127</v>
      </c>
      <c r="F75" s="204"/>
      <c r="G75" s="155"/>
      <c r="H75" s="204"/>
      <c r="I75" s="155"/>
      <c r="J75" s="155"/>
      <c r="K75" s="155"/>
      <c r="L75" s="207"/>
    </row>
    <row r="76" spans="1:12" s="7" customFormat="1" x14ac:dyDescent="0.35">
      <c r="A76" s="195" t="s">
        <v>147</v>
      </c>
      <c r="B76" s="195"/>
      <c r="C76" s="122"/>
      <c r="D76" s="195"/>
      <c r="E76" s="195"/>
      <c r="F76" s="195"/>
      <c r="G76" s="138">
        <v>22195663.949999999</v>
      </c>
      <c r="H76" s="88"/>
      <c r="I76" s="138">
        <v>16189795.869999999</v>
      </c>
      <c r="J76" s="138">
        <v>6005868.0800000001</v>
      </c>
      <c r="K76" s="155">
        <v>22195663.949999999</v>
      </c>
      <c r="L76" s="197"/>
    </row>
    <row r="77" spans="1:12" x14ac:dyDescent="0.35">
      <c r="A77" s="202"/>
      <c r="B77" s="202"/>
      <c r="C77" s="202"/>
      <c r="D77" s="202"/>
      <c r="E77" s="202"/>
      <c r="F77" s="210" t="s">
        <v>200</v>
      </c>
      <c r="G77" s="140">
        <v>22195663.950000003</v>
      </c>
      <c r="H77" s="206"/>
      <c r="I77" s="163">
        <v>0.72941255131951122</v>
      </c>
      <c r="J77" s="163">
        <v>0.27058744868048878</v>
      </c>
      <c r="K77" s="211"/>
      <c r="L77" s="202"/>
    </row>
    <row r="79" spans="1:12" x14ac:dyDescent="0.35">
      <c r="A79" s="202"/>
      <c r="B79" s="202"/>
      <c r="C79" s="202"/>
      <c r="D79" s="202"/>
      <c r="E79" s="202"/>
      <c r="F79" s="202" t="s">
        <v>201</v>
      </c>
      <c r="G79" s="202"/>
      <c r="H79" s="202"/>
      <c r="I79" s="202"/>
      <c r="J79" s="202"/>
      <c r="K79" s="202"/>
      <c r="L79" s="202"/>
    </row>
    <row r="80" spans="1:12" hidden="1" x14ac:dyDescent="0.35">
      <c r="A80" s="202"/>
      <c r="B80" s="202"/>
      <c r="C80" s="202"/>
      <c r="D80" s="202"/>
      <c r="E80" s="202"/>
      <c r="F80" s="202"/>
      <c r="G80" s="202"/>
      <c r="H80" s="202" t="s">
        <v>15</v>
      </c>
      <c r="I80" s="202"/>
      <c r="J80" s="202"/>
      <c r="K80" s="202"/>
      <c r="L80" s="202"/>
    </row>
    <row r="81" spans="3:11" x14ac:dyDescent="0.35">
      <c r="C81" s="202"/>
      <c r="D81" s="202"/>
      <c r="E81" s="202"/>
      <c r="F81" s="202"/>
      <c r="G81" s="202"/>
      <c r="H81" s="202" t="s">
        <v>24</v>
      </c>
      <c r="I81" s="202"/>
      <c r="J81" s="202"/>
      <c r="K81" s="202"/>
    </row>
    <row r="82" spans="3:11" x14ac:dyDescent="0.35">
      <c r="C82" s="202"/>
      <c r="D82" s="202"/>
      <c r="E82" s="202"/>
      <c r="F82" s="202"/>
      <c r="G82" s="202"/>
      <c r="H82" s="202" t="s">
        <v>59</v>
      </c>
      <c r="I82" s="202"/>
      <c r="J82" s="202"/>
      <c r="K82" s="202"/>
    </row>
    <row r="83" spans="3:11" x14ac:dyDescent="0.35">
      <c r="C83" s="202"/>
      <c r="D83" s="202"/>
      <c r="E83" s="202"/>
      <c r="F83" s="202"/>
      <c r="G83" s="202"/>
      <c r="H83" s="210" t="s">
        <v>202</v>
      </c>
      <c r="I83" s="155">
        <v>134541275.16872254</v>
      </c>
      <c r="J83" s="161">
        <v>0.12033330180420142</v>
      </c>
      <c r="K83" s="202" t="s">
        <v>203</v>
      </c>
    </row>
    <row r="97" s="144" customFormat="1" x14ac:dyDescent="0.35"/>
    <row r="98" s="144" customFormat="1" x14ac:dyDescent="0.35"/>
    <row r="99" s="144" customFormat="1" x14ac:dyDescent="0.35"/>
    <row r="100" s="144" customFormat="1" x14ac:dyDescent="0.35"/>
    <row r="101" s="144" customFormat="1" x14ac:dyDescent="0.35"/>
    <row r="102" s="144" customFormat="1" x14ac:dyDescent="0.35"/>
    <row r="103" s="144" customFormat="1" x14ac:dyDescent="0.35"/>
    <row r="104" s="144" customFormat="1" x14ac:dyDescent="0.35"/>
    <row r="105" s="144" customFormat="1" x14ac:dyDescent="0.35"/>
    <row r="106" s="144" customFormat="1" x14ac:dyDescent="0.35"/>
    <row r="107" s="144" customFormat="1" x14ac:dyDescent="0.35"/>
    <row r="108" s="144" customFormat="1" x14ac:dyDescent="0.35"/>
    <row r="109" s="144" customFormat="1" x14ac:dyDescent="0.35"/>
    <row r="110" s="144" customFormat="1" x14ac:dyDescent="0.35"/>
    <row r="112" s="144" customFormat="1" ht="15" hidden="1" customHeight="1" x14ac:dyDescent="0.35"/>
    <row r="113" s="144" customFormat="1" ht="15" hidden="1" customHeight="1" x14ac:dyDescent="0.35"/>
    <row r="114" s="144" customFormat="1" ht="15" hidden="1" customHeight="1" x14ac:dyDescent="0.35"/>
    <row r="115" s="144" customFormat="1" ht="15" hidden="1" customHeight="1" x14ac:dyDescent="0.35"/>
    <row r="116" s="144" customFormat="1" ht="15" hidden="1" customHeight="1" x14ac:dyDescent="0.35"/>
    <row r="117" s="144" customFormat="1" ht="15" hidden="1" customHeight="1" x14ac:dyDescent="0.35"/>
    <row r="118" s="144" customFormat="1" ht="15" hidden="1" customHeight="1" x14ac:dyDescent="0.35"/>
    <row r="119" s="144" customFormat="1" ht="15" hidden="1" customHeight="1" x14ac:dyDescent="0.35"/>
    <row r="120" s="144" customFormat="1" ht="15" hidden="1" customHeight="1" x14ac:dyDescent="0.35"/>
    <row r="121" s="144" customFormat="1" ht="15" hidden="1" customHeight="1" x14ac:dyDescent="0.35"/>
    <row r="122" s="144" customFormat="1" ht="15" hidden="1" customHeight="1" x14ac:dyDescent="0.35"/>
    <row r="123" s="144" customFormat="1" ht="15" hidden="1" customHeight="1" x14ac:dyDescent="0.35"/>
    <row r="124" s="144" customFormat="1" ht="15" hidden="1" customHeight="1" x14ac:dyDescent="0.35"/>
    <row r="125" s="144" customFormat="1" ht="15" hidden="1" customHeight="1" x14ac:dyDescent="0.35"/>
    <row r="126" s="144" customFormat="1" ht="15" hidden="1" customHeight="1" x14ac:dyDescent="0.35"/>
    <row r="127" s="144" customFormat="1" ht="15" hidden="1" customHeight="1" x14ac:dyDescent="0.35"/>
    <row r="128" s="144" customFormat="1" ht="15" hidden="1" customHeight="1" x14ac:dyDescent="0.35"/>
    <row r="129" s="144" customFormat="1" ht="15" hidden="1" customHeight="1" x14ac:dyDescent="0.35"/>
    <row r="130" s="144" customFormat="1" ht="15" hidden="1" customHeight="1" x14ac:dyDescent="0.35"/>
    <row r="131" s="144" customFormat="1" ht="15" hidden="1" customHeight="1" x14ac:dyDescent="0.35"/>
    <row r="132" s="144" customFormat="1" ht="15" hidden="1" customHeight="1" x14ac:dyDescent="0.35"/>
    <row r="133" s="144" customFormat="1" ht="15" hidden="1" customHeight="1" x14ac:dyDescent="0.35"/>
    <row r="134" s="144" customFormat="1" ht="15" hidden="1" customHeight="1" x14ac:dyDescent="0.35"/>
    <row r="135" s="144" customFormat="1" ht="15" hidden="1" customHeight="1" x14ac:dyDescent="0.35"/>
    <row r="136" s="144" customFormat="1" ht="15" hidden="1" customHeight="1" x14ac:dyDescent="0.35"/>
    <row r="137" s="144" customFormat="1" ht="15" hidden="1" customHeight="1" x14ac:dyDescent="0.35"/>
    <row r="138" s="144" customFormat="1" ht="15" hidden="1" customHeight="1" x14ac:dyDescent="0.35"/>
    <row r="139" s="144" customFormat="1" ht="15" hidden="1" customHeight="1" x14ac:dyDescent="0.35"/>
    <row r="140" s="144" customFormat="1" ht="15" hidden="1" customHeight="1" x14ac:dyDescent="0.35"/>
  </sheetData>
  <conditionalFormatting sqref="G76">
    <cfRule type="cellIs" dxfId="93" priority="11" operator="notEqual">
      <formula>$G$77</formula>
    </cfRule>
    <cfRule type="cellIs" dxfId="92" priority="12" operator="equal">
      <formula>$G$77</formula>
    </cfRule>
  </conditionalFormatting>
  <conditionalFormatting sqref="K9:K24">
    <cfRule type="cellIs" dxfId="91" priority="101" operator="notEqual">
      <formula>G9</formula>
    </cfRule>
    <cfRule type="cellIs" dxfId="90" priority="102" operator="equal">
      <formula>G9</formula>
    </cfRule>
  </conditionalFormatting>
  <conditionalFormatting sqref="K26:K41">
    <cfRule type="cellIs" dxfId="89" priority="69" operator="notEqual">
      <formula>G26</formula>
    </cfRule>
    <cfRule type="cellIs" dxfId="88" priority="70" operator="equal">
      <formula>G26</formula>
    </cfRule>
  </conditionalFormatting>
  <conditionalFormatting sqref="K43:K63">
    <cfRule type="cellIs" dxfId="87" priority="27" operator="notEqual">
      <formula>G43</formula>
    </cfRule>
    <cfRule type="cellIs" dxfId="86" priority="28" operator="equal">
      <formula>G43</formula>
    </cfRule>
  </conditionalFormatting>
  <conditionalFormatting sqref="K67:K69">
    <cfRule type="cellIs" dxfId="85" priority="21" operator="notEqual">
      <formula>G67</formula>
    </cfRule>
    <cfRule type="cellIs" dxfId="84" priority="22" operator="equal">
      <formula>G67</formula>
    </cfRule>
  </conditionalFormatting>
  <conditionalFormatting sqref="K71:K73">
    <cfRule type="cellIs" dxfId="83" priority="15" operator="notEqual">
      <formula>G71</formula>
    </cfRule>
    <cfRule type="cellIs" dxfId="82" priority="16" operator="equal">
      <formula>G71</formula>
    </cfRule>
  </conditionalFormatting>
  <conditionalFormatting sqref="K76">
    <cfRule type="cellIs" dxfId="81" priority="13" operator="notEqual">
      <formula>G76</formula>
    </cfRule>
    <cfRule type="cellIs" dxfId="80" priority="14" operator="equal">
      <formula>G76</formula>
    </cfRule>
  </conditionalFormatting>
  <dataValidations count="1">
    <dataValidation type="list" allowBlank="1" showInputMessage="1" showErrorMessage="1" sqref="H9:H75" xr:uid="{00000000-0002-0000-1D00-000000000000}">
      <formula1>$H$80:$H$82</formula1>
    </dataValidation>
  </dataValidations>
  <pageMargins left="0.7" right="0.7" top="0.75" bottom="0.75" header="0.3" footer="0.3"/>
  <pageSetup scale="39" orientation="landscape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9" operator="notEqual" id="{E85313AB-F588-4A4B-A749-DF72F084944E}">
            <xm:f>'D:\Finance\Work\Reports &amp; Surveys\Cost Analysis\Cost Analysis - 2012-2013\Received from Colleges\St Petersburg\Original\[23 St Petersburg 2012-13 CA2 SRS 10-16-2013.xlsx]CA2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10" operator="equal" id="{9A39E929-0447-49AC-B4A8-D66434498A9F}">
            <xm:f>'D:\Finance\Work\Reports &amp; Surveys\Cost Analysis\Cost Analysis - 2012-2013\Received from Colleges\St Petersburg\Original\[23 St Petersburg 2012-13 CA2 SRS 10-16-2013.xlsx]CA2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G8</xm:sqref>
        </x14:conditionalFormatting>
        <x14:conditionalFormatting xmlns:xm="http://schemas.microsoft.com/office/excel/2006/main">
          <x14:cfRule type="cellIs" priority="7" operator="notEqual" id="{1B05DF6F-DA65-450F-93B5-DC19D4C10F92}">
            <xm:f>'D:\Finance\Work\Reports &amp; Surveys\Cost Analysis\Cost Analysis - 2012-2013\Received from Colleges\St Petersburg\Original\[23 St Petersburg 2012-13 CA2 SRS 10-16-2013.xlsx]CA2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8" operator="equal" id="{8D91F482-1F12-467B-9CDA-ECB0B09920E8}">
            <xm:f>'D:\Finance\Work\Reports &amp; Surveys\Cost Analysis\Cost Analysis - 2012-2013\Received from Colleges\St Petersburg\Original\[23 St Petersburg 2012-13 CA2 SRS 10-16-2013.xlsx]CA2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G25</xm:sqref>
        </x14:conditionalFormatting>
        <x14:conditionalFormatting xmlns:xm="http://schemas.microsoft.com/office/excel/2006/main">
          <x14:cfRule type="cellIs" priority="5" operator="notEqual" id="{22B73722-127F-4AA1-9161-93F8D803AC4C}">
            <xm:f>'D:\Finance\Work\Reports &amp; Surveys\Cost Analysis\Cost Analysis - 2012-2013\Received from Colleges\St Petersburg\Original\[23 St Petersburg 2012-13 CA2 SRS 10-16-2013.xlsx]CA2 Detail'!#REF!+'D:\Finance\Work\Reports &amp; Surveys\Cost Analysis\Cost Analysis - 2012-2013\Received from Colleges\St Petersburg\Original\[23 St Petersburg 2012-13 CA2 SRS 10-16-2013.xlsx]CA2 Detail'!#REF!+'D:\Finance\Work\Reports &amp; Surveys\Cost Analysis\Cost Analysis - 2012-2013\Received from Colleges\St Petersburg\Original\[23 St Petersburg 2012-13 CA2 SRS 10-16-2013.xlsx]CA2 Detail'!#REF!+'D:\Finance\Work\Reports &amp; Surveys\Cost Analysis\Cost Analysis - 2012-2013\Received from Colleges\St Petersburg\Original\[23 St Petersburg 2012-13 CA2 SRS 10-16-2013.xlsx]CA2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6" operator="equal" id="{3CEACF45-B84C-4CD6-86A6-9D81641F5A8F}">
            <xm:f>'D:\Finance\Work\Reports &amp; Surveys\Cost Analysis\Cost Analysis - 2012-2013\Received from Colleges\St Petersburg\Original\[23 St Petersburg 2012-13 CA2 SRS 10-16-2013.xlsx]CA2 Detail'!#REF!+'D:\Finance\Work\Reports &amp; Surveys\Cost Analysis\Cost Analysis - 2012-2013\Received from Colleges\St Petersburg\Original\[23 St Petersburg 2012-13 CA2 SRS 10-16-2013.xlsx]CA2 Detail'!#REF!+'D:\Finance\Work\Reports &amp; Surveys\Cost Analysis\Cost Analysis - 2012-2013\Received from Colleges\St Petersburg\Original\[23 St Petersburg 2012-13 CA2 SRS 10-16-2013.xlsx]CA2 Detail'!#REF!+'D:\Finance\Work\Reports &amp; Surveys\Cost Analysis\Cost Analysis - 2012-2013\Received from Colleges\St Petersburg\Original\[23 St Petersburg 2012-13 CA2 SRS 10-16-2013.xlsx]CA2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G42</xm:sqref>
        </x14:conditionalFormatting>
        <x14:conditionalFormatting xmlns:xm="http://schemas.microsoft.com/office/excel/2006/main">
          <x14:cfRule type="cellIs" priority="3" operator="notEqual" id="{9382A96C-769F-40C3-A87C-F03C2D2A4E08}">
            <xm:f>'D:\Finance\Work\Reports &amp; Surveys\Cost Analysis\Cost Analysis - 2012-2013\Received from Colleges\St Petersburg\Original\[23 St Petersburg 2012-13 CA2 SRS 10-16-2013.xlsx]CA2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4" operator="equal" id="{2FE2B811-E958-44BF-B798-C0F694D654D0}">
            <xm:f>'D:\Finance\Work\Reports &amp; Surveys\Cost Analysis\Cost Analysis - 2012-2013\Received from Colleges\St Petersburg\Original\[23 St Petersburg 2012-13 CA2 SRS 10-16-2013.xlsx]CA2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G66</xm:sqref>
        </x14:conditionalFormatting>
        <x14:conditionalFormatting xmlns:xm="http://schemas.microsoft.com/office/excel/2006/main">
          <x14:cfRule type="cellIs" priority="1" operator="notEqual" id="{82840637-3DD4-4891-8634-A81F8846F316}">
            <xm:f>'D:\Finance\Work\Reports &amp; Surveys\Cost Analysis\Cost Analysis - 2012-2013\Received from Colleges\St Petersburg\Original\[23 St Petersburg 2012-13 CA2 SRS 10-16-2013.xlsx]CA2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2" operator="equal" id="{0C58EA6D-F73D-4C27-93F5-F0EC1E0F31C6}">
            <xm:f>'D:\Finance\Work\Reports &amp; Surveys\Cost Analysis\Cost Analysis - 2012-2013\Received from Colleges\St Petersburg\Original\[23 St Petersburg 2012-13 CA2 SRS 10-16-2013.xlsx]CA2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G70</xm:sqref>
        </x14:conditionalFormatting>
      </x14:conditionalFormattings>
    </ext>
  </extLst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tabColor rgb="FF00B0F0"/>
    <pageSetUpPr fitToPage="1"/>
  </sheetPr>
  <dimension ref="A1:L140"/>
  <sheetViews>
    <sheetView workbookViewId="0"/>
  </sheetViews>
  <sheetFormatPr defaultRowHeight="14.5" x14ac:dyDescent="0.35"/>
  <cols>
    <col min="1" max="2" width="2.81640625" customWidth="1"/>
    <col min="3" max="3" width="10.453125" style="123" bestFit="1" customWidth="1"/>
    <col min="4" max="5" width="2.81640625" customWidth="1"/>
    <col min="6" max="6" width="80.7265625" bestFit="1" customWidth="1"/>
    <col min="7" max="7" width="27.81640625" customWidth="1"/>
    <col min="8" max="8" width="15.26953125" bestFit="1" customWidth="1"/>
    <col min="9" max="9" width="27.26953125" customWidth="1"/>
    <col min="10" max="10" width="26.81640625" customWidth="1"/>
    <col min="11" max="11" width="25.81640625" customWidth="1"/>
    <col min="12" max="12" width="82.54296875" customWidth="1"/>
  </cols>
  <sheetData>
    <row r="1" spans="1:12" x14ac:dyDescent="0.35">
      <c r="A1" s="7"/>
      <c r="B1" s="7"/>
      <c r="C1" s="7"/>
      <c r="D1" s="7"/>
      <c r="E1" s="7"/>
      <c r="F1" s="7"/>
      <c r="G1" s="7"/>
      <c r="H1" s="7"/>
      <c r="I1" s="7" t="s">
        <v>0</v>
      </c>
      <c r="J1" s="7"/>
      <c r="K1" s="7"/>
      <c r="L1" s="7"/>
    </row>
    <row r="2" spans="1:12" x14ac:dyDescent="0.35">
      <c r="A2" s="7"/>
      <c r="B2" s="7"/>
      <c r="C2" s="7"/>
      <c r="D2" s="7"/>
      <c r="E2" s="7"/>
      <c r="F2" s="7"/>
      <c r="G2" s="7"/>
      <c r="H2" s="7"/>
      <c r="I2" s="132" t="s">
        <v>197</v>
      </c>
      <c r="J2" s="7"/>
      <c r="K2" s="7"/>
      <c r="L2" s="7"/>
    </row>
    <row r="3" spans="1:12" x14ac:dyDescent="0.35">
      <c r="A3" s="136" t="s">
        <v>198</v>
      </c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</row>
    <row r="4" spans="1:12" ht="19.5" customHeight="1" x14ac:dyDescent="0.35">
      <c r="A4" s="137" t="str">
        <f>'[22]Data Entry - CA2'!A2</f>
        <v>Santa Fe College</v>
      </c>
      <c r="C4"/>
    </row>
    <row r="5" spans="1:12" x14ac:dyDescent="0.35">
      <c r="C5"/>
    </row>
    <row r="6" spans="1:12" s="7" customFormat="1" x14ac:dyDescent="0.35">
      <c r="A6" s="3" t="s">
        <v>2</v>
      </c>
      <c r="B6" s="4"/>
      <c r="C6" s="4"/>
      <c r="D6" s="3" t="s">
        <v>3</v>
      </c>
      <c r="E6" s="4"/>
      <c r="F6" s="4"/>
      <c r="G6" s="118" t="s">
        <v>274</v>
      </c>
      <c r="H6" s="6" t="s">
        <v>4</v>
      </c>
      <c r="I6" s="6" t="s">
        <v>5</v>
      </c>
      <c r="J6" s="6" t="s">
        <v>6</v>
      </c>
      <c r="K6" s="6" t="s">
        <v>7</v>
      </c>
      <c r="L6" s="6" t="s">
        <v>199</v>
      </c>
    </row>
    <row r="7" spans="1:12" x14ac:dyDescent="0.35">
      <c r="A7" s="8" t="s">
        <v>9</v>
      </c>
      <c r="B7" s="9"/>
      <c r="C7" s="119"/>
      <c r="D7" s="11" t="s">
        <v>10</v>
      </c>
      <c r="E7" s="119"/>
      <c r="F7" s="119"/>
      <c r="G7" s="69"/>
      <c r="H7" s="9"/>
      <c r="I7" s="69"/>
      <c r="J7" s="69"/>
      <c r="K7" s="69"/>
      <c r="L7" s="11"/>
    </row>
    <row r="8" spans="1:12" x14ac:dyDescent="0.35">
      <c r="A8" s="8"/>
      <c r="B8" s="9" t="s">
        <v>11</v>
      </c>
      <c r="C8" s="119"/>
      <c r="D8" s="13"/>
      <c r="E8" s="9" t="s">
        <v>12</v>
      </c>
      <c r="F8" s="119"/>
      <c r="G8" s="69">
        <f>SUM(G9:G24)</f>
        <v>3289482.52</v>
      </c>
      <c r="H8" s="9"/>
      <c r="I8" s="69">
        <f>SUM(I9:I24)</f>
        <v>1583495.84</v>
      </c>
      <c r="J8" s="69">
        <f>SUM(J9:J24)</f>
        <v>1705986.68</v>
      </c>
      <c r="K8" s="69"/>
      <c r="L8" s="14"/>
    </row>
    <row r="9" spans="1:12" x14ac:dyDescent="0.35">
      <c r="A9" s="8"/>
      <c r="B9" s="9"/>
      <c r="C9" s="119" t="s">
        <v>13</v>
      </c>
      <c r="D9" s="13"/>
      <c r="E9" s="119"/>
      <c r="F9" s="9" t="s">
        <v>14</v>
      </c>
      <c r="G9" s="70"/>
      <c r="H9" s="16"/>
      <c r="I9" s="70"/>
      <c r="J9" s="70"/>
      <c r="K9" s="69">
        <f t="shared" ref="K9:K63" si="0">I9+J9</f>
        <v>0</v>
      </c>
      <c r="L9" s="17"/>
    </row>
    <row r="10" spans="1:12" x14ac:dyDescent="0.35">
      <c r="A10" s="8"/>
      <c r="B10" s="9"/>
      <c r="C10" s="119" t="s">
        <v>16</v>
      </c>
      <c r="D10" s="13"/>
      <c r="E10" s="119"/>
      <c r="F10" s="9" t="s">
        <v>17</v>
      </c>
      <c r="G10" s="70">
        <v>7715.03</v>
      </c>
      <c r="H10" s="16" t="s">
        <v>15</v>
      </c>
      <c r="I10" s="70">
        <v>7715.03</v>
      </c>
      <c r="J10" s="70"/>
      <c r="K10" s="69">
        <f t="shared" si="0"/>
        <v>7715.03</v>
      </c>
      <c r="L10" s="17"/>
    </row>
    <row r="11" spans="1:12" x14ac:dyDescent="0.35">
      <c r="A11" s="8"/>
      <c r="B11" s="9"/>
      <c r="C11" s="119" t="s">
        <v>18</v>
      </c>
      <c r="D11" s="13"/>
      <c r="E11" s="119"/>
      <c r="F11" s="9" t="s">
        <v>19</v>
      </c>
      <c r="G11" s="70">
        <v>948887.44</v>
      </c>
      <c r="H11" s="95" t="s">
        <v>15</v>
      </c>
      <c r="I11" s="70">
        <v>948887.44</v>
      </c>
      <c r="J11" s="70">
        <v>0</v>
      </c>
      <c r="K11" s="69">
        <f t="shared" si="0"/>
        <v>948887.44</v>
      </c>
      <c r="L11" s="17"/>
    </row>
    <row r="12" spans="1:12" x14ac:dyDescent="0.35">
      <c r="A12" s="8"/>
      <c r="B12" s="9"/>
      <c r="C12" s="119" t="s">
        <v>20</v>
      </c>
      <c r="D12" s="13"/>
      <c r="E12" s="119"/>
      <c r="F12" s="9" t="s">
        <v>21</v>
      </c>
      <c r="G12" s="70"/>
      <c r="H12" s="16"/>
      <c r="I12" s="70"/>
      <c r="J12" s="70"/>
      <c r="K12" s="69">
        <f t="shared" si="0"/>
        <v>0</v>
      </c>
      <c r="L12" s="17"/>
    </row>
    <row r="13" spans="1:12" x14ac:dyDescent="0.35">
      <c r="A13" s="8"/>
      <c r="B13" s="9"/>
      <c r="C13" s="119" t="s">
        <v>22</v>
      </c>
      <c r="D13" s="13"/>
      <c r="E13" s="119"/>
      <c r="F13" s="9" t="s">
        <v>23</v>
      </c>
      <c r="G13" s="70">
        <v>721461.37</v>
      </c>
      <c r="H13" s="16" t="s">
        <v>59</v>
      </c>
      <c r="I13" s="70">
        <v>220182.3</v>
      </c>
      <c r="J13" s="70">
        <v>501279.07</v>
      </c>
      <c r="K13" s="69">
        <f t="shared" si="0"/>
        <v>721461.37</v>
      </c>
      <c r="L13" s="17"/>
    </row>
    <row r="14" spans="1:12" x14ac:dyDescent="0.35">
      <c r="A14" s="8"/>
      <c r="B14" s="9"/>
      <c r="C14" s="119" t="s">
        <v>25</v>
      </c>
      <c r="D14" s="13"/>
      <c r="E14" s="119"/>
      <c r="F14" s="9" t="s">
        <v>26</v>
      </c>
      <c r="G14" s="70">
        <v>665524.84</v>
      </c>
      <c r="H14" s="16" t="s">
        <v>24</v>
      </c>
      <c r="I14" s="70"/>
      <c r="J14" s="70">
        <v>665524.84</v>
      </c>
      <c r="K14" s="69">
        <f t="shared" si="0"/>
        <v>665524.84</v>
      </c>
      <c r="L14" s="17"/>
    </row>
    <row r="15" spans="1:12" x14ac:dyDescent="0.35">
      <c r="A15" s="8"/>
      <c r="B15" s="9"/>
      <c r="C15" s="119" t="s">
        <v>27</v>
      </c>
      <c r="D15" s="13"/>
      <c r="E15" s="119"/>
      <c r="F15" s="9" t="s">
        <v>28</v>
      </c>
      <c r="G15" s="70">
        <v>96691.43</v>
      </c>
      <c r="H15" s="16" t="s">
        <v>24</v>
      </c>
      <c r="I15" s="70"/>
      <c r="J15" s="70">
        <v>96691.43</v>
      </c>
      <c r="K15" s="69">
        <f t="shared" si="0"/>
        <v>96691.43</v>
      </c>
      <c r="L15" s="17"/>
    </row>
    <row r="16" spans="1:12" x14ac:dyDescent="0.35">
      <c r="A16" s="8"/>
      <c r="B16" s="9"/>
      <c r="C16" s="119" t="s">
        <v>29</v>
      </c>
      <c r="D16" s="13"/>
      <c r="E16" s="119"/>
      <c r="F16" s="9" t="s">
        <v>30</v>
      </c>
      <c r="G16" s="70"/>
      <c r="H16" s="16"/>
      <c r="I16" s="70"/>
      <c r="J16" s="70"/>
      <c r="K16" s="69">
        <f t="shared" si="0"/>
        <v>0</v>
      </c>
      <c r="L16" s="17"/>
    </row>
    <row r="17" spans="1:12" x14ac:dyDescent="0.35">
      <c r="A17" s="8"/>
      <c r="B17" s="9"/>
      <c r="C17" s="119" t="s">
        <v>31</v>
      </c>
      <c r="D17" s="13"/>
      <c r="E17" s="119"/>
      <c r="F17" s="9" t="s">
        <v>32</v>
      </c>
      <c r="G17" s="70"/>
      <c r="H17" s="16"/>
      <c r="I17" s="70"/>
      <c r="J17" s="70"/>
      <c r="K17" s="69">
        <f t="shared" si="0"/>
        <v>0</v>
      </c>
      <c r="L17" s="17"/>
    </row>
    <row r="18" spans="1:12" x14ac:dyDescent="0.35">
      <c r="A18" s="8"/>
      <c r="B18" s="9"/>
      <c r="C18" s="119" t="s">
        <v>33</v>
      </c>
      <c r="D18" s="13"/>
      <c r="E18" s="119"/>
      <c r="F18" s="9" t="s">
        <v>34</v>
      </c>
      <c r="G18" s="70">
        <v>428303.76</v>
      </c>
      <c r="H18" s="16" t="s">
        <v>24</v>
      </c>
      <c r="I18" s="70"/>
      <c r="J18" s="70">
        <v>428303.76</v>
      </c>
      <c r="K18" s="69">
        <f t="shared" si="0"/>
        <v>428303.76</v>
      </c>
      <c r="L18" s="17"/>
    </row>
    <row r="19" spans="1:12" x14ac:dyDescent="0.35">
      <c r="A19" s="8"/>
      <c r="B19" s="9"/>
      <c r="C19" s="119" t="s">
        <v>35</v>
      </c>
      <c r="D19" s="13"/>
      <c r="E19" s="119"/>
      <c r="F19" s="9" t="s">
        <v>36</v>
      </c>
      <c r="G19" s="71"/>
      <c r="H19" s="16"/>
      <c r="I19" s="71"/>
      <c r="J19" s="71"/>
      <c r="K19" s="69">
        <f t="shared" si="0"/>
        <v>0</v>
      </c>
      <c r="L19" s="17"/>
    </row>
    <row r="20" spans="1:12" x14ac:dyDescent="0.35">
      <c r="A20" s="8"/>
      <c r="B20" s="9"/>
      <c r="C20" s="119" t="s">
        <v>37</v>
      </c>
      <c r="D20" s="13"/>
      <c r="E20" s="119"/>
      <c r="F20" s="9" t="s">
        <v>38</v>
      </c>
      <c r="G20" s="70">
        <v>406711.07</v>
      </c>
      <c r="H20" s="16" t="s">
        <v>15</v>
      </c>
      <c r="I20" s="70">
        <v>406711.07</v>
      </c>
      <c r="J20" s="70"/>
      <c r="K20" s="69">
        <f t="shared" si="0"/>
        <v>406711.07</v>
      </c>
      <c r="L20" s="17"/>
    </row>
    <row r="21" spans="1:12" x14ac:dyDescent="0.35">
      <c r="A21" s="8"/>
      <c r="B21" s="9"/>
      <c r="C21" s="119" t="s">
        <v>39</v>
      </c>
      <c r="D21" s="13"/>
      <c r="E21" s="119"/>
      <c r="F21" s="9" t="s">
        <v>40</v>
      </c>
      <c r="G21" s="70">
        <v>14187.58</v>
      </c>
      <c r="H21" s="16" t="s">
        <v>24</v>
      </c>
      <c r="I21" s="70"/>
      <c r="J21" s="70">
        <v>14187.58</v>
      </c>
      <c r="K21" s="69">
        <f t="shared" si="0"/>
        <v>14187.58</v>
      </c>
      <c r="L21" s="17"/>
    </row>
    <row r="22" spans="1:12" x14ac:dyDescent="0.35">
      <c r="A22" s="8"/>
      <c r="B22" s="9"/>
      <c r="C22" s="119" t="s">
        <v>41</v>
      </c>
      <c r="D22" s="13"/>
      <c r="E22" s="119"/>
      <c r="F22" s="9" t="s">
        <v>42</v>
      </c>
      <c r="G22" s="70"/>
      <c r="H22" s="16"/>
      <c r="I22" s="70"/>
      <c r="J22" s="70"/>
      <c r="K22" s="69">
        <f t="shared" si="0"/>
        <v>0</v>
      </c>
      <c r="L22" s="17"/>
    </row>
    <row r="23" spans="1:12" x14ac:dyDescent="0.35">
      <c r="A23" s="8"/>
      <c r="B23" s="9"/>
      <c r="C23" s="119" t="s">
        <v>43</v>
      </c>
      <c r="D23" s="13"/>
      <c r="E23" s="119"/>
      <c r="F23" s="9" t="s">
        <v>44</v>
      </c>
      <c r="G23" s="70"/>
      <c r="H23" s="16"/>
      <c r="I23" s="70"/>
      <c r="J23" s="70"/>
      <c r="K23" s="69">
        <f t="shared" si="0"/>
        <v>0</v>
      </c>
      <c r="L23" s="17"/>
    </row>
    <row r="24" spans="1:12" x14ac:dyDescent="0.35">
      <c r="A24" s="9"/>
      <c r="B24" s="9"/>
      <c r="C24" s="120" t="s">
        <v>45</v>
      </c>
      <c r="D24" s="13"/>
      <c r="E24" s="120"/>
      <c r="F24" s="9" t="s">
        <v>46</v>
      </c>
      <c r="G24" s="72"/>
      <c r="H24" s="16"/>
      <c r="I24" s="72"/>
      <c r="J24" s="72"/>
      <c r="K24" s="69">
        <f t="shared" si="0"/>
        <v>0</v>
      </c>
      <c r="L24" s="17"/>
    </row>
    <row r="25" spans="1:12" x14ac:dyDescent="0.35">
      <c r="A25" s="8"/>
      <c r="B25" s="9" t="s">
        <v>47</v>
      </c>
      <c r="C25" s="119"/>
      <c r="D25" s="13"/>
      <c r="E25" s="9" t="s">
        <v>48</v>
      </c>
      <c r="F25" s="119"/>
      <c r="G25" s="69">
        <f>SUM(G26:G41)</f>
        <v>1855502.26</v>
      </c>
      <c r="H25" s="9"/>
      <c r="I25" s="69">
        <f>SUM(I26:I41)</f>
        <v>988950.51</v>
      </c>
      <c r="J25" s="69">
        <f>SUM(J26:J41)</f>
        <v>866551.75</v>
      </c>
      <c r="K25" s="69"/>
      <c r="L25" s="14"/>
    </row>
    <row r="26" spans="1:12" x14ac:dyDescent="0.35">
      <c r="A26" s="8"/>
      <c r="B26" s="9"/>
      <c r="C26" s="119" t="s">
        <v>49</v>
      </c>
      <c r="D26" s="13"/>
      <c r="E26" s="119"/>
      <c r="F26" s="9" t="s">
        <v>50</v>
      </c>
      <c r="G26" s="70">
        <v>1855502.26</v>
      </c>
      <c r="H26" s="16" t="s">
        <v>59</v>
      </c>
      <c r="I26" s="70">
        <v>988950.51</v>
      </c>
      <c r="J26" s="70">
        <v>866551.75</v>
      </c>
      <c r="K26" s="69">
        <f t="shared" si="0"/>
        <v>1855502.26</v>
      </c>
      <c r="L26" s="17"/>
    </row>
    <row r="27" spans="1:12" x14ac:dyDescent="0.35">
      <c r="A27" s="8"/>
      <c r="B27" s="9"/>
      <c r="C27" s="119" t="s">
        <v>51</v>
      </c>
      <c r="D27" s="13"/>
      <c r="E27" s="119"/>
      <c r="F27" s="9" t="s">
        <v>52</v>
      </c>
      <c r="G27" s="70"/>
      <c r="H27" s="16"/>
      <c r="I27" s="70"/>
      <c r="J27" s="70"/>
      <c r="K27" s="69">
        <f t="shared" si="0"/>
        <v>0</v>
      </c>
      <c r="L27" s="17"/>
    </row>
    <row r="28" spans="1:12" x14ac:dyDescent="0.35">
      <c r="A28" s="8"/>
      <c r="B28" s="9"/>
      <c r="C28" s="119" t="s">
        <v>53</v>
      </c>
      <c r="D28" s="13"/>
      <c r="E28" s="119"/>
      <c r="F28" s="9" t="s">
        <v>54</v>
      </c>
      <c r="G28" s="70"/>
      <c r="H28" s="16"/>
      <c r="I28" s="70"/>
      <c r="J28" s="70"/>
      <c r="K28" s="69">
        <f t="shared" si="0"/>
        <v>0</v>
      </c>
      <c r="L28" s="17"/>
    </row>
    <row r="29" spans="1:12" x14ac:dyDescent="0.35">
      <c r="A29" s="8"/>
      <c r="B29" s="9"/>
      <c r="C29" s="119" t="s">
        <v>55</v>
      </c>
      <c r="D29" s="13"/>
      <c r="E29" s="119"/>
      <c r="F29" s="9" t="s">
        <v>56</v>
      </c>
      <c r="G29" s="70"/>
      <c r="H29" s="16"/>
      <c r="I29" s="70"/>
      <c r="J29" s="70"/>
      <c r="K29" s="69">
        <f t="shared" si="0"/>
        <v>0</v>
      </c>
      <c r="L29" s="17"/>
    </row>
    <row r="30" spans="1:12" x14ac:dyDescent="0.35">
      <c r="A30" s="8"/>
      <c r="B30" s="9"/>
      <c r="C30" s="119" t="s">
        <v>57</v>
      </c>
      <c r="D30" s="13"/>
      <c r="E30" s="119"/>
      <c r="F30" s="9" t="s">
        <v>58</v>
      </c>
      <c r="G30" s="70"/>
      <c r="H30" s="16"/>
      <c r="I30" s="70"/>
      <c r="J30" s="70"/>
      <c r="K30" s="69">
        <f t="shared" si="0"/>
        <v>0</v>
      </c>
      <c r="L30" s="17"/>
    </row>
    <row r="31" spans="1:12" x14ac:dyDescent="0.35">
      <c r="A31" s="8"/>
      <c r="B31" s="9"/>
      <c r="C31" s="119" t="s">
        <v>60</v>
      </c>
      <c r="D31" s="13"/>
      <c r="E31" s="119"/>
      <c r="F31" s="9" t="s">
        <v>61</v>
      </c>
      <c r="G31" s="70"/>
      <c r="H31" s="16"/>
      <c r="I31" s="70"/>
      <c r="J31" s="70"/>
      <c r="K31" s="69">
        <f t="shared" si="0"/>
        <v>0</v>
      </c>
      <c r="L31" s="17"/>
    </row>
    <row r="32" spans="1:12" x14ac:dyDescent="0.35">
      <c r="A32" s="8"/>
      <c r="B32" s="9"/>
      <c r="C32" s="119" t="s">
        <v>62</v>
      </c>
      <c r="D32" s="13"/>
      <c r="E32" s="119"/>
      <c r="F32" s="9" t="s">
        <v>63</v>
      </c>
      <c r="G32" s="70"/>
      <c r="H32" s="16"/>
      <c r="I32" s="70"/>
      <c r="J32" s="70"/>
      <c r="K32" s="69">
        <f t="shared" si="0"/>
        <v>0</v>
      </c>
      <c r="L32" s="17"/>
    </row>
    <row r="33" spans="1:12" x14ac:dyDescent="0.35">
      <c r="A33" s="9"/>
      <c r="B33" s="9"/>
      <c r="C33" s="119" t="s">
        <v>64</v>
      </c>
      <c r="D33" s="9"/>
      <c r="E33" s="119"/>
      <c r="F33" s="9" t="s">
        <v>65</v>
      </c>
      <c r="G33" s="70"/>
      <c r="H33" s="16"/>
      <c r="I33" s="70"/>
      <c r="J33" s="70"/>
      <c r="K33" s="69">
        <f t="shared" si="0"/>
        <v>0</v>
      </c>
      <c r="L33" s="17"/>
    </row>
    <row r="34" spans="1:12" x14ac:dyDescent="0.35">
      <c r="A34" s="9"/>
      <c r="B34" s="9"/>
      <c r="C34" s="119" t="s">
        <v>66</v>
      </c>
      <c r="D34" s="9"/>
      <c r="E34" s="9"/>
      <c r="F34" s="9" t="s">
        <v>67</v>
      </c>
      <c r="G34" s="70"/>
      <c r="H34" s="16"/>
      <c r="I34" s="70"/>
      <c r="J34" s="70"/>
      <c r="K34" s="69">
        <f t="shared" si="0"/>
        <v>0</v>
      </c>
      <c r="L34" s="17"/>
    </row>
    <row r="35" spans="1:12" x14ac:dyDescent="0.35">
      <c r="A35" s="9"/>
      <c r="B35" s="9"/>
      <c r="C35" s="119" t="s">
        <v>68</v>
      </c>
      <c r="D35" s="9"/>
      <c r="E35" s="119"/>
      <c r="F35" s="9" t="s">
        <v>69</v>
      </c>
      <c r="G35" s="70"/>
      <c r="H35" s="16"/>
      <c r="I35" s="70"/>
      <c r="J35" s="70"/>
      <c r="K35" s="69">
        <f t="shared" si="0"/>
        <v>0</v>
      </c>
      <c r="L35" s="17"/>
    </row>
    <row r="36" spans="1:12" x14ac:dyDescent="0.35">
      <c r="A36" s="9"/>
      <c r="B36" s="9"/>
      <c r="C36" s="119" t="s">
        <v>70</v>
      </c>
      <c r="D36" s="9"/>
      <c r="E36" s="9"/>
      <c r="F36" s="9" t="s">
        <v>71</v>
      </c>
      <c r="G36" s="70"/>
      <c r="H36" s="16"/>
      <c r="I36" s="70"/>
      <c r="J36" s="70"/>
      <c r="K36" s="69">
        <f t="shared" si="0"/>
        <v>0</v>
      </c>
      <c r="L36" s="17"/>
    </row>
    <row r="37" spans="1:12" x14ac:dyDescent="0.35">
      <c r="A37" s="9"/>
      <c r="B37" s="9"/>
      <c r="C37" s="119" t="s">
        <v>72</v>
      </c>
      <c r="D37" s="9"/>
      <c r="E37" s="121"/>
      <c r="F37" s="9" t="s">
        <v>73</v>
      </c>
      <c r="G37" s="70"/>
      <c r="H37" s="16"/>
      <c r="I37" s="70"/>
      <c r="J37" s="70"/>
      <c r="K37" s="69">
        <f t="shared" si="0"/>
        <v>0</v>
      </c>
      <c r="L37" s="17"/>
    </row>
    <row r="38" spans="1:12" x14ac:dyDescent="0.35">
      <c r="A38" s="9"/>
      <c r="B38" s="9"/>
      <c r="C38" s="119" t="s">
        <v>74</v>
      </c>
      <c r="D38" s="9"/>
      <c r="E38" s="9"/>
      <c r="F38" s="9" t="s">
        <v>75</v>
      </c>
      <c r="G38" s="70"/>
      <c r="H38" s="16"/>
      <c r="I38" s="70"/>
      <c r="J38" s="70"/>
      <c r="K38" s="69">
        <f t="shared" si="0"/>
        <v>0</v>
      </c>
      <c r="L38" s="17"/>
    </row>
    <row r="39" spans="1:12" x14ac:dyDescent="0.35">
      <c r="A39" s="9"/>
      <c r="B39" s="9"/>
      <c r="C39" s="119" t="s">
        <v>76</v>
      </c>
      <c r="D39" s="9"/>
      <c r="E39" s="9"/>
      <c r="F39" s="9" t="s">
        <v>77</v>
      </c>
      <c r="G39" s="70"/>
      <c r="H39" s="16"/>
      <c r="I39" s="70"/>
      <c r="J39" s="70"/>
      <c r="K39" s="69">
        <f t="shared" si="0"/>
        <v>0</v>
      </c>
      <c r="L39" s="17"/>
    </row>
    <row r="40" spans="1:12" x14ac:dyDescent="0.35">
      <c r="A40" s="9"/>
      <c r="B40" s="9"/>
      <c r="C40" s="119" t="s">
        <v>78</v>
      </c>
      <c r="D40" s="9"/>
      <c r="E40" s="9"/>
      <c r="F40" s="9" t="s">
        <v>79</v>
      </c>
      <c r="G40" s="70"/>
      <c r="H40" s="16"/>
      <c r="I40" s="70"/>
      <c r="J40" s="70"/>
      <c r="K40" s="69">
        <f t="shared" si="0"/>
        <v>0</v>
      </c>
      <c r="L40" s="17"/>
    </row>
    <row r="41" spans="1:12" x14ac:dyDescent="0.35">
      <c r="A41" s="9"/>
      <c r="B41" s="9"/>
      <c r="C41" s="119" t="s">
        <v>80</v>
      </c>
      <c r="D41" s="9"/>
      <c r="E41" s="9"/>
      <c r="F41" s="9" t="s">
        <v>81</v>
      </c>
      <c r="G41" s="70"/>
      <c r="H41" s="16"/>
      <c r="I41" s="70"/>
      <c r="J41" s="70"/>
      <c r="K41" s="69">
        <f t="shared" si="0"/>
        <v>0</v>
      </c>
      <c r="L41" s="17"/>
    </row>
    <row r="42" spans="1:12" x14ac:dyDescent="0.35">
      <c r="A42" s="9"/>
      <c r="B42" s="9" t="s">
        <v>82</v>
      </c>
      <c r="C42" s="119"/>
      <c r="D42" s="9"/>
      <c r="E42" s="9" t="s">
        <v>83</v>
      </c>
      <c r="F42" s="9"/>
      <c r="G42" s="69">
        <f>SUM(G43:G63)</f>
        <v>8419923.7400000021</v>
      </c>
      <c r="H42" s="9"/>
      <c r="I42" s="69">
        <f>SUM(I43:I63)</f>
        <v>1532496.6500000001</v>
      </c>
      <c r="J42" s="69">
        <f>SUM(J43:J63)</f>
        <v>6887427.0900000008</v>
      </c>
      <c r="K42" s="69"/>
      <c r="L42" s="14"/>
    </row>
    <row r="43" spans="1:12" x14ac:dyDescent="0.35">
      <c r="A43" s="9"/>
      <c r="B43" s="9"/>
      <c r="C43" s="119" t="s">
        <v>84</v>
      </c>
      <c r="D43" s="9"/>
      <c r="E43" s="9"/>
      <c r="F43" s="9" t="s">
        <v>85</v>
      </c>
      <c r="G43" s="70">
        <v>5025090.8600000003</v>
      </c>
      <c r="H43" s="16" t="s">
        <v>59</v>
      </c>
      <c r="I43" s="70">
        <v>251254.54</v>
      </c>
      <c r="J43" s="70">
        <v>4773836.32</v>
      </c>
      <c r="K43" s="69">
        <f t="shared" si="0"/>
        <v>5025090.8600000003</v>
      </c>
      <c r="L43" s="17"/>
    </row>
    <row r="44" spans="1:12" x14ac:dyDescent="0.35">
      <c r="A44" s="9"/>
      <c r="B44" s="9"/>
      <c r="C44" s="119" t="s">
        <v>86</v>
      </c>
      <c r="D44" s="9"/>
      <c r="E44" s="9"/>
      <c r="F44" s="9" t="s">
        <v>87</v>
      </c>
      <c r="G44" s="70">
        <v>692431.22</v>
      </c>
      <c r="H44" s="16" t="s">
        <v>59</v>
      </c>
      <c r="I44" s="70">
        <v>34621.56</v>
      </c>
      <c r="J44" s="70">
        <v>657809.66</v>
      </c>
      <c r="K44" s="69">
        <f t="shared" si="0"/>
        <v>692431.22</v>
      </c>
      <c r="L44" s="17"/>
    </row>
    <row r="45" spans="1:12" x14ac:dyDescent="0.35">
      <c r="A45" s="9"/>
      <c r="B45" s="9"/>
      <c r="C45" s="119" t="s">
        <v>88</v>
      </c>
      <c r="D45" s="9"/>
      <c r="E45" s="9"/>
      <c r="F45" s="9" t="s">
        <v>89</v>
      </c>
      <c r="G45" s="70"/>
      <c r="H45" s="16"/>
      <c r="I45" s="70"/>
      <c r="J45" s="70"/>
      <c r="K45" s="69">
        <f t="shared" si="0"/>
        <v>0</v>
      </c>
      <c r="L45" s="17"/>
    </row>
    <row r="46" spans="1:12" x14ac:dyDescent="0.35">
      <c r="A46" s="9"/>
      <c r="B46" s="9"/>
      <c r="C46" s="119" t="s">
        <v>90</v>
      </c>
      <c r="D46" s="9"/>
      <c r="E46" s="9"/>
      <c r="F46" s="9" t="s">
        <v>91</v>
      </c>
      <c r="G46" s="70">
        <v>151664.82999999999</v>
      </c>
      <c r="H46" s="16" t="s">
        <v>59</v>
      </c>
      <c r="I46" s="70">
        <v>7583.24</v>
      </c>
      <c r="J46" s="70">
        <v>144081.59</v>
      </c>
      <c r="K46" s="69">
        <f t="shared" si="0"/>
        <v>151664.82999999999</v>
      </c>
      <c r="L46" s="17"/>
    </row>
    <row r="47" spans="1:12" x14ac:dyDescent="0.35">
      <c r="A47" s="9"/>
      <c r="B47" s="9"/>
      <c r="C47" s="119" t="s">
        <v>92</v>
      </c>
      <c r="D47" s="9"/>
      <c r="E47" s="9"/>
      <c r="F47" s="9" t="s">
        <v>93</v>
      </c>
      <c r="G47" s="70">
        <v>898432.98</v>
      </c>
      <c r="H47" s="16" t="s">
        <v>59</v>
      </c>
      <c r="I47" s="70">
        <v>887722.78</v>
      </c>
      <c r="J47" s="70">
        <v>10710.2</v>
      </c>
      <c r="K47" s="69">
        <f t="shared" si="0"/>
        <v>898432.98</v>
      </c>
      <c r="L47" s="17"/>
    </row>
    <row r="48" spans="1:12" x14ac:dyDescent="0.35">
      <c r="A48" s="9"/>
      <c r="B48" s="9"/>
      <c r="C48" s="119" t="s">
        <v>94</v>
      </c>
      <c r="D48" s="9"/>
      <c r="E48" s="9"/>
      <c r="F48" s="9" t="s">
        <v>95</v>
      </c>
      <c r="G48" s="70"/>
      <c r="H48" s="16"/>
      <c r="I48" s="70"/>
      <c r="J48" s="70"/>
      <c r="K48" s="69">
        <f t="shared" si="0"/>
        <v>0</v>
      </c>
      <c r="L48" s="17"/>
    </row>
    <row r="49" spans="1:12" x14ac:dyDescent="0.35">
      <c r="A49" s="9"/>
      <c r="B49" s="9"/>
      <c r="C49" s="119" t="s">
        <v>96</v>
      </c>
      <c r="D49" s="9"/>
      <c r="E49" s="9"/>
      <c r="F49" s="9" t="s">
        <v>97</v>
      </c>
      <c r="G49" s="70">
        <v>204149.21</v>
      </c>
      <c r="H49" s="16" t="s">
        <v>15</v>
      </c>
      <c r="I49" s="70">
        <v>204149.21</v>
      </c>
      <c r="J49" s="70"/>
      <c r="K49" s="69">
        <f t="shared" si="0"/>
        <v>204149.21</v>
      </c>
      <c r="L49" s="17"/>
    </row>
    <row r="50" spans="1:12" x14ac:dyDescent="0.35">
      <c r="A50" s="9"/>
      <c r="B50" s="9"/>
      <c r="C50" s="119" t="s">
        <v>98</v>
      </c>
      <c r="D50" s="9"/>
      <c r="E50" s="9"/>
      <c r="F50" s="9" t="s">
        <v>99</v>
      </c>
      <c r="G50" s="70"/>
      <c r="H50" s="16"/>
      <c r="I50" s="70"/>
      <c r="J50" s="70"/>
      <c r="K50" s="69">
        <f t="shared" si="0"/>
        <v>0</v>
      </c>
      <c r="L50" s="17"/>
    </row>
    <row r="51" spans="1:12" x14ac:dyDescent="0.35">
      <c r="A51" s="9"/>
      <c r="B51" s="9"/>
      <c r="C51" s="119" t="s">
        <v>100</v>
      </c>
      <c r="D51" s="9"/>
      <c r="E51" s="9"/>
      <c r="F51" s="9" t="s">
        <v>101</v>
      </c>
      <c r="G51" s="70"/>
      <c r="H51" s="16"/>
      <c r="I51" s="70"/>
      <c r="J51" s="70"/>
      <c r="K51" s="69">
        <f t="shared" si="0"/>
        <v>0</v>
      </c>
      <c r="L51" s="17"/>
    </row>
    <row r="52" spans="1:12" x14ac:dyDescent="0.35">
      <c r="A52" s="9"/>
      <c r="B52" s="9"/>
      <c r="C52" s="119" t="s">
        <v>102</v>
      </c>
      <c r="D52" s="9"/>
      <c r="E52" s="9"/>
      <c r="F52" s="9" t="s">
        <v>103</v>
      </c>
      <c r="G52" s="70"/>
      <c r="H52" s="16"/>
      <c r="I52" s="70"/>
      <c r="J52" s="70"/>
      <c r="K52" s="69">
        <f t="shared" si="0"/>
        <v>0</v>
      </c>
      <c r="L52" s="17"/>
    </row>
    <row r="53" spans="1:12" x14ac:dyDescent="0.35">
      <c r="A53" s="9"/>
      <c r="B53" s="9"/>
      <c r="C53" s="119" t="s">
        <v>104</v>
      </c>
      <c r="D53" s="9"/>
      <c r="E53" s="9"/>
      <c r="F53" s="9" t="s">
        <v>105</v>
      </c>
      <c r="G53" s="70"/>
      <c r="H53" s="16"/>
      <c r="I53" s="70"/>
      <c r="J53" s="70"/>
      <c r="K53" s="69">
        <f t="shared" si="0"/>
        <v>0</v>
      </c>
      <c r="L53" s="17"/>
    </row>
    <row r="54" spans="1:12" x14ac:dyDescent="0.35">
      <c r="A54" s="9"/>
      <c r="B54" s="9"/>
      <c r="C54" s="119" t="s">
        <v>106</v>
      </c>
      <c r="D54" s="9"/>
      <c r="E54" s="9"/>
      <c r="F54" s="9" t="s">
        <v>107</v>
      </c>
      <c r="G54" s="70">
        <v>366748.69</v>
      </c>
      <c r="H54" s="16" t="s">
        <v>24</v>
      </c>
      <c r="I54" s="70"/>
      <c r="J54" s="70">
        <v>366748.69</v>
      </c>
      <c r="K54" s="69">
        <f t="shared" si="0"/>
        <v>366748.69</v>
      </c>
      <c r="L54" s="17"/>
    </row>
    <row r="55" spans="1:12" x14ac:dyDescent="0.35">
      <c r="A55" s="9"/>
      <c r="B55" s="9"/>
      <c r="C55" s="119" t="s">
        <v>108</v>
      </c>
      <c r="D55" s="9"/>
      <c r="E55" s="9"/>
      <c r="F55" s="9" t="s">
        <v>109</v>
      </c>
      <c r="G55" s="70">
        <v>402302.95</v>
      </c>
      <c r="H55" s="16" t="s">
        <v>24</v>
      </c>
      <c r="I55" s="70"/>
      <c r="J55" s="70">
        <v>402302.95</v>
      </c>
      <c r="K55" s="69">
        <f t="shared" si="0"/>
        <v>402302.95</v>
      </c>
      <c r="L55" s="17"/>
    </row>
    <row r="56" spans="1:12" x14ac:dyDescent="0.35">
      <c r="A56" s="9"/>
      <c r="B56" s="9"/>
      <c r="C56" s="119" t="s">
        <v>110</v>
      </c>
      <c r="D56" s="9"/>
      <c r="E56" s="9"/>
      <c r="F56" s="9" t="s">
        <v>111</v>
      </c>
      <c r="G56" s="70"/>
      <c r="H56" s="16"/>
      <c r="I56" s="70"/>
      <c r="J56" s="70"/>
      <c r="K56" s="69">
        <f t="shared" si="0"/>
        <v>0</v>
      </c>
      <c r="L56" s="17"/>
    </row>
    <row r="57" spans="1:12" x14ac:dyDescent="0.35">
      <c r="A57" s="9"/>
      <c r="B57" s="9"/>
      <c r="C57" s="119" t="s">
        <v>112</v>
      </c>
      <c r="D57" s="9"/>
      <c r="E57" s="9"/>
      <c r="F57" s="9" t="s">
        <v>113</v>
      </c>
      <c r="G57" s="70"/>
      <c r="H57" s="16"/>
      <c r="I57" s="70"/>
      <c r="J57" s="70"/>
      <c r="K57" s="69">
        <f t="shared" si="0"/>
        <v>0</v>
      </c>
      <c r="L57" s="17"/>
    </row>
    <row r="58" spans="1:12" x14ac:dyDescent="0.35">
      <c r="A58" s="9"/>
      <c r="B58" s="9"/>
      <c r="C58" s="119" t="s">
        <v>114</v>
      </c>
      <c r="D58" s="9"/>
      <c r="E58" s="9"/>
      <c r="F58" s="9" t="s">
        <v>115</v>
      </c>
      <c r="G58" s="70"/>
      <c r="H58" s="16"/>
      <c r="I58" s="70"/>
      <c r="J58" s="70"/>
      <c r="K58" s="69">
        <f t="shared" si="0"/>
        <v>0</v>
      </c>
      <c r="L58" s="17"/>
    </row>
    <row r="59" spans="1:12" x14ac:dyDescent="0.35">
      <c r="A59" s="9"/>
      <c r="B59" s="9"/>
      <c r="C59" s="119" t="s">
        <v>116</v>
      </c>
      <c r="D59" s="9"/>
      <c r="E59" s="9"/>
      <c r="F59" s="9" t="s">
        <v>117</v>
      </c>
      <c r="G59" s="70"/>
      <c r="H59" s="16"/>
      <c r="I59" s="70"/>
      <c r="J59" s="70"/>
      <c r="K59" s="69">
        <f t="shared" si="0"/>
        <v>0</v>
      </c>
      <c r="L59" s="17"/>
    </row>
    <row r="60" spans="1:12" x14ac:dyDescent="0.35">
      <c r="A60" s="9"/>
      <c r="B60" s="9"/>
      <c r="C60" s="119" t="s">
        <v>118</v>
      </c>
      <c r="D60" s="9"/>
      <c r="E60" s="9"/>
      <c r="F60" s="9" t="s">
        <v>119</v>
      </c>
      <c r="G60" s="70"/>
      <c r="H60" s="16"/>
      <c r="I60" s="70"/>
      <c r="J60" s="70"/>
      <c r="K60" s="69">
        <f t="shared" si="0"/>
        <v>0</v>
      </c>
      <c r="L60" s="17"/>
    </row>
    <row r="61" spans="1:12" x14ac:dyDescent="0.35">
      <c r="A61" s="9"/>
      <c r="B61" s="9"/>
      <c r="C61" s="119" t="s">
        <v>120</v>
      </c>
      <c r="D61" s="9"/>
      <c r="E61" s="9"/>
      <c r="F61" s="9" t="s">
        <v>121</v>
      </c>
      <c r="G61" s="70">
        <v>147165.32</v>
      </c>
      <c r="H61" s="16" t="s">
        <v>15</v>
      </c>
      <c r="I61" s="70">
        <v>147165.32</v>
      </c>
      <c r="J61" s="70"/>
      <c r="K61" s="69">
        <f t="shared" si="0"/>
        <v>147165.32</v>
      </c>
      <c r="L61" s="17"/>
    </row>
    <row r="62" spans="1:12" x14ac:dyDescent="0.35">
      <c r="A62" s="9"/>
      <c r="B62" s="9"/>
      <c r="C62" s="119" t="s">
        <v>122</v>
      </c>
      <c r="D62" s="9"/>
      <c r="E62" s="9"/>
      <c r="F62" s="9" t="s">
        <v>123</v>
      </c>
      <c r="G62" s="70">
        <v>531937.68000000005</v>
      </c>
      <c r="H62" s="16" t="s">
        <v>24</v>
      </c>
      <c r="I62" s="70"/>
      <c r="J62" s="70">
        <v>531937.68000000005</v>
      </c>
      <c r="K62" s="69">
        <f t="shared" si="0"/>
        <v>531937.68000000005</v>
      </c>
      <c r="L62" s="17"/>
    </row>
    <row r="63" spans="1:12" x14ac:dyDescent="0.35">
      <c r="A63" s="9"/>
      <c r="B63" s="9"/>
      <c r="C63" s="119" t="s">
        <v>124</v>
      </c>
      <c r="D63" s="9"/>
      <c r="E63" s="9"/>
      <c r="F63" s="9" t="s">
        <v>125</v>
      </c>
      <c r="G63" s="70"/>
      <c r="H63" s="16"/>
      <c r="I63" s="70"/>
      <c r="J63" s="70"/>
      <c r="K63" s="69">
        <f t="shared" si="0"/>
        <v>0</v>
      </c>
      <c r="L63" s="17"/>
    </row>
    <row r="64" spans="1:12" hidden="1" x14ac:dyDescent="0.35">
      <c r="A64" s="9"/>
      <c r="B64" s="9" t="s">
        <v>126</v>
      </c>
      <c r="C64" s="119"/>
      <c r="D64" s="9"/>
      <c r="E64" s="9" t="s">
        <v>127</v>
      </c>
      <c r="F64" s="9"/>
      <c r="G64" s="69"/>
      <c r="H64" s="9"/>
      <c r="I64" s="69"/>
      <c r="J64" s="69"/>
      <c r="K64" s="69"/>
      <c r="L64" s="14"/>
    </row>
    <row r="65" spans="1:12" hidden="1" x14ac:dyDescent="0.35">
      <c r="A65" s="9"/>
      <c r="B65" s="9" t="s">
        <v>128</v>
      </c>
      <c r="C65" s="119"/>
      <c r="D65" s="9"/>
      <c r="E65" s="9" t="s">
        <v>127</v>
      </c>
      <c r="F65" s="9"/>
      <c r="G65" s="69"/>
      <c r="H65" s="9"/>
      <c r="I65" s="69"/>
      <c r="J65" s="69"/>
      <c r="K65" s="69"/>
      <c r="L65" s="14"/>
    </row>
    <row r="66" spans="1:12" x14ac:dyDescent="0.35">
      <c r="A66" s="9"/>
      <c r="B66" s="9" t="s">
        <v>129</v>
      </c>
      <c r="C66" s="119"/>
      <c r="D66" s="9"/>
      <c r="E66" s="9" t="s">
        <v>130</v>
      </c>
      <c r="F66" s="9"/>
      <c r="G66" s="69">
        <f>SUM(G67:G69)</f>
        <v>253463.55</v>
      </c>
      <c r="H66" s="9"/>
      <c r="I66" s="69">
        <f>SUM(I67:I69)</f>
        <v>0</v>
      </c>
      <c r="J66" s="69">
        <f>SUM(J67:J69)</f>
        <v>253463.55</v>
      </c>
      <c r="K66" s="69"/>
      <c r="L66" s="14"/>
    </row>
    <row r="67" spans="1:12" x14ac:dyDescent="0.35">
      <c r="A67" s="9"/>
      <c r="B67" s="9"/>
      <c r="C67" s="119" t="s">
        <v>131</v>
      </c>
      <c r="D67" s="9"/>
      <c r="E67" s="9"/>
      <c r="F67" s="9" t="s">
        <v>132</v>
      </c>
      <c r="G67" s="70"/>
      <c r="H67" s="16"/>
      <c r="I67" s="70"/>
      <c r="J67" s="70">
        <v>0</v>
      </c>
      <c r="K67" s="69">
        <f t="shared" ref="K67:K69" si="1">I67+J67</f>
        <v>0</v>
      </c>
      <c r="L67" s="17"/>
    </row>
    <row r="68" spans="1:12" x14ac:dyDescent="0.35">
      <c r="A68" s="9"/>
      <c r="B68" s="9"/>
      <c r="C68" s="119" t="s">
        <v>133</v>
      </c>
      <c r="D68" s="9"/>
      <c r="E68" s="9"/>
      <c r="F68" s="9" t="s">
        <v>134</v>
      </c>
      <c r="G68" s="70"/>
      <c r="H68" s="16"/>
      <c r="I68" s="70"/>
      <c r="J68" s="70"/>
      <c r="K68" s="69">
        <f t="shared" si="1"/>
        <v>0</v>
      </c>
      <c r="L68" s="17"/>
    </row>
    <row r="69" spans="1:12" x14ac:dyDescent="0.35">
      <c r="A69" s="9"/>
      <c r="B69" s="9"/>
      <c r="C69" s="119" t="s">
        <v>135</v>
      </c>
      <c r="D69" s="9"/>
      <c r="E69" s="9"/>
      <c r="F69" s="9" t="s">
        <v>136</v>
      </c>
      <c r="G69" s="70">
        <v>253463.55</v>
      </c>
      <c r="H69" s="16" t="s">
        <v>24</v>
      </c>
      <c r="I69" s="70"/>
      <c r="J69" s="70">
        <v>253463.55</v>
      </c>
      <c r="K69" s="69">
        <f t="shared" si="1"/>
        <v>253463.55</v>
      </c>
      <c r="L69" s="17"/>
    </row>
    <row r="70" spans="1:12" x14ac:dyDescent="0.35">
      <c r="A70" s="9"/>
      <c r="B70" s="9" t="s">
        <v>137</v>
      </c>
      <c r="C70" s="119"/>
      <c r="D70" s="9"/>
      <c r="E70" s="9" t="s">
        <v>138</v>
      </c>
      <c r="F70" s="9"/>
      <c r="G70" s="69">
        <f>SUM(G71:G73)</f>
        <v>2569143.9</v>
      </c>
      <c r="H70" s="9"/>
      <c r="I70" s="69">
        <f>SUM(I71:I73)</f>
        <v>1078653</v>
      </c>
      <c r="J70" s="69">
        <f>SUM(J71:J73)</f>
        <v>1490490.9</v>
      </c>
      <c r="K70" s="69"/>
      <c r="L70" s="14"/>
    </row>
    <row r="71" spans="1:12" x14ac:dyDescent="0.35">
      <c r="A71" s="9"/>
      <c r="B71" s="9"/>
      <c r="C71" s="119" t="s">
        <v>139</v>
      </c>
      <c r="D71" s="9"/>
      <c r="E71" s="9"/>
      <c r="F71" s="9" t="s">
        <v>140</v>
      </c>
      <c r="G71" s="70"/>
      <c r="H71" s="16"/>
      <c r="I71" s="70"/>
      <c r="J71" s="70"/>
      <c r="K71" s="69">
        <f t="shared" ref="K71:K73" si="2">I71+J71</f>
        <v>0</v>
      </c>
      <c r="L71" s="17"/>
    </row>
    <row r="72" spans="1:12" x14ac:dyDescent="0.35">
      <c r="A72" s="9"/>
      <c r="B72" s="9"/>
      <c r="C72" s="119" t="s">
        <v>141</v>
      </c>
      <c r="D72" s="9"/>
      <c r="E72" s="9"/>
      <c r="F72" s="9" t="s">
        <v>142</v>
      </c>
      <c r="G72" s="70">
        <v>1299400.27</v>
      </c>
      <c r="H72" s="16" t="s">
        <v>59</v>
      </c>
      <c r="I72" s="70">
        <v>1078653</v>
      </c>
      <c r="J72" s="70">
        <v>220747.27</v>
      </c>
      <c r="K72" s="69">
        <f t="shared" si="2"/>
        <v>1299400.27</v>
      </c>
      <c r="L72" s="17"/>
    </row>
    <row r="73" spans="1:12" x14ac:dyDescent="0.35">
      <c r="A73" s="9"/>
      <c r="B73" s="9"/>
      <c r="C73" s="119" t="s">
        <v>143</v>
      </c>
      <c r="D73" s="9"/>
      <c r="E73" s="9"/>
      <c r="F73" s="9" t="s">
        <v>144</v>
      </c>
      <c r="G73" s="70">
        <v>1269743.6299999999</v>
      </c>
      <c r="H73" s="16" t="s">
        <v>24</v>
      </c>
      <c r="I73" s="70"/>
      <c r="J73" s="70">
        <v>1269743.6299999999</v>
      </c>
      <c r="K73" s="69">
        <f t="shared" si="2"/>
        <v>1269743.6299999999</v>
      </c>
      <c r="L73" s="17"/>
    </row>
    <row r="74" spans="1:12" hidden="1" x14ac:dyDescent="0.35">
      <c r="A74" s="9"/>
      <c r="B74" s="9" t="s">
        <v>145</v>
      </c>
      <c r="C74" s="119"/>
      <c r="D74" s="9"/>
      <c r="E74" s="9" t="s">
        <v>127</v>
      </c>
      <c r="F74" s="9"/>
      <c r="G74" s="69"/>
      <c r="H74" s="9"/>
      <c r="I74" s="69"/>
      <c r="J74" s="69"/>
      <c r="K74" s="69"/>
      <c r="L74" s="14"/>
    </row>
    <row r="75" spans="1:12" hidden="1" x14ac:dyDescent="0.35">
      <c r="A75" s="9"/>
      <c r="B75" s="9" t="s">
        <v>146</v>
      </c>
      <c r="C75" s="119"/>
      <c r="D75" s="9"/>
      <c r="E75" s="9" t="s">
        <v>127</v>
      </c>
      <c r="F75" s="9"/>
      <c r="G75" s="69"/>
      <c r="H75" s="9"/>
      <c r="I75" s="69"/>
      <c r="J75" s="69"/>
      <c r="K75" s="69"/>
      <c r="L75" s="14"/>
    </row>
    <row r="76" spans="1:12" s="7" customFormat="1" x14ac:dyDescent="0.35">
      <c r="A76" s="4" t="s">
        <v>147</v>
      </c>
      <c r="B76" s="4"/>
      <c r="C76" s="122"/>
      <c r="D76" s="4"/>
      <c r="E76" s="4"/>
      <c r="F76" s="4"/>
      <c r="G76" s="138">
        <f>G8+G25+G42+G66+G70</f>
        <v>16387515.970000004</v>
      </c>
      <c r="H76" s="88"/>
      <c r="I76" s="138">
        <f>I8+I25+I42+I66+I70</f>
        <v>5183596</v>
      </c>
      <c r="J76" s="138">
        <f>J8+J25+J42+J66+J70</f>
        <v>11203919.970000001</v>
      </c>
      <c r="K76" s="69">
        <f t="shared" ref="K76" si="3">I76+J76</f>
        <v>16387515.970000001</v>
      </c>
      <c r="L76" s="25"/>
    </row>
    <row r="77" spans="1:12" x14ac:dyDescent="0.35">
      <c r="F77" s="139" t="s">
        <v>200</v>
      </c>
      <c r="G77" s="140">
        <f>'[22]CA2 Detail'!L173</f>
        <v>16387515.970000003</v>
      </c>
      <c r="H77" s="13"/>
      <c r="I77" s="89">
        <f>I76/G76</f>
        <v>0.31631371157711824</v>
      </c>
      <c r="J77" s="89">
        <f>J76/G76</f>
        <v>0.68368628842288159</v>
      </c>
      <c r="K77" s="27"/>
    </row>
    <row r="79" spans="1:12" x14ac:dyDescent="0.35">
      <c r="F79" s="142" t="s">
        <v>201</v>
      </c>
    </row>
    <row r="80" spans="1:12" hidden="1" x14ac:dyDescent="0.35">
      <c r="H80" t="s">
        <v>15</v>
      </c>
    </row>
    <row r="81" spans="3:11" hidden="1" x14ac:dyDescent="0.35">
      <c r="C81"/>
      <c r="H81" t="s">
        <v>24</v>
      </c>
    </row>
    <row r="82" spans="3:11" hidden="1" x14ac:dyDescent="0.35">
      <c r="C82"/>
      <c r="H82" t="s">
        <v>59</v>
      </c>
    </row>
    <row r="83" spans="3:11" x14ac:dyDescent="0.35">
      <c r="C83"/>
      <c r="H83" s="139" t="s">
        <v>202</v>
      </c>
      <c r="I83" s="69">
        <f>'[22]CA2 Detail'!W121-'[22]CA2 Detail'!J203</f>
        <v>86583285.129710749</v>
      </c>
      <c r="J83" s="161">
        <f>I76/I83</f>
        <v>5.9868322069720904E-2</v>
      </c>
      <c r="K83" s="142" t="s">
        <v>203</v>
      </c>
    </row>
    <row r="97" spans="3:3" x14ac:dyDescent="0.35">
      <c r="C97"/>
    </row>
    <row r="98" spans="3:3" x14ac:dyDescent="0.35">
      <c r="C98"/>
    </row>
    <row r="99" spans="3:3" x14ac:dyDescent="0.35">
      <c r="C99"/>
    </row>
    <row r="100" spans="3:3" x14ac:dyDescent="0.35">
      <c r="C100"/>
    </row>
    <row r="101" spans="3:3" x14ac:dyDescent="0.35">
      <c r="C101"/>
    </row>
    <row r="102" spans="3:3" x14ac:dyDescent="0.35">
      <c r="C102"/>
    </row>
    <row r="103" spans="3:3" x14ac:dyDescent="0.35">
      <c r="C103"/>
    </row>
    <row r="104" spans="3:3" x14ac:dyDescent="0.35">
      <c r="C104"/>
    </row>
    <row r="105" spans="3:3" x14ac:dyDescent="0.35">
      <c r="C105"/>
    </row>
    <row r="106" spans="3:3" x14ac:dyDescent="0.35">
      <c r="C106"/>
    </row>
    <row r="107" spans="3:3" x14ac:dyDescent="0.35">
      <c r="C107"/>
    </row>
    <row r="108" spans="3:3" x14ac:dyDescent="0.35">
      <c r="C108"/>
    </row>
    <row r="109" spans="3:3" x14ac:dyDescent="0.35">
      <c r="C109"/>
    </row>
    <row r="112" spans="3:3" ht="15" hidden="1" customHeight="1" x14ac:dyDescent="0.35"/>
    <row r="113" ht="15" hidden="1" customHeight="1" x14ac:dyDescent="0.35"/>
    <row r="114" ht="15" hidden="1" customHeight="1" x14ac:dyDescent="0.35"/>
    <row r="115" ht="15" hidden="1" customHeight="1" x14ac:dyDescent="0.35"/>
    <row r="116" ht="15" hidden="1" customHeight="1" x14ac:dyDescent="0.35"/>
    <row r="117" ht="15" hidden="1" customHeight="1" x14ac:dyDescent="0.35"/>
    <row r="118" ht="15" hidden="1" customHeight="1" x14ac:dyDescent="0.35"/>
    <row r="119" ht="15" hidden="1" customHeight="1" x14ac:dyDescent="0.35"/>
    <row r="120" ht="15" hidden="1" customHeight="1" x14ac:dyDescent="0.35"/>
    <row r="121" ht="15" hidden="1" customHeight="1" x14ac:dyDescent="0.35"/>
    <row r="122" ht="15" hidden="1" customHeight="1" x14ac:dyDescent="0.35"/>
    <row r="123" ht="15" hidden="1" customHeight="1" x14ac:dyDescent="0.35"/>
    <row r="124" ht="15" hidden="1" customHeight="1" x14ac:dyDescent="0.35"/>
    <row r="125" ht="15" hidden="1" customHeight="1" x14ac:dyDescent="0.35"/>
    <row r="126" ht="15" hidden="1" customHeight="1" x14ac:dyDescent="0.35"/>
    <row r="127" ht="15" hidden="1" customHeight="1" x14ac:dyDescent="0.35"/>
    <row r="128" ht="15" hidden="1" customHeight="1" x14ac:dyDescent="0.35"/>
    <row r="129" ht="15" hidden="1" customHeight="1" x14ac:dyDescent="0.35"/>
    <row r="130" ht="15" hidden="1" customHeight="1" x14ac:dyDescent="0.35"/>
    <row r="131" ht="15" hidden="1" customHeight="1" x14ac:dyDescent="0.35"/>
    <row r="132" ht="15" hidden="1" customHeight="1" x14ac:dyDescent="0.35"/>
    <row r="133" ht="15" hidden="1" customHeight="1" x14ac:dyDescent="0.35"/>
    <row r="134" ht="15" hidden="1" customHeight="1" x14ac:dyDescent="0.35"/>
    <row r="135" ht="15" hidden="1" customHeight="1" x14ac:dyDescent="0.35"/>
    <row r="136" ht="15" hidden="1" customHeight="1" x14ac:dyDescent="0.35"/>
    <row r="137" ht="15" hidden="1" customHeight="1" x14ac:dyDescent="0.35"/>
    <row r="138" ht="15" hidden="1" customHeight="1" x14ac:dyDescent="0.35"/>
    <row r="139" ht="15" hidden="1" customHeight="1" x14ac:dyDescent="0.35"/>
    <row r="140" ht="15" hidden="1" customHeight="1" x14ac:dyDescent="0.35"/>
  </sheetData>
  <conditionalFormatting sqref="G76">
    <cfRule type="cellIs" dxfId="69" priority="1" operator="notEqual">
      <formula>$G$77</formula>
    </cfRule>
    <cfRule type="cellIs" dxfId="68" priority="2" operator="equal">
      <formula>$G$77</formula>
    </cfRule>
  </conditionalFormatting>
  <conditionalFormatting sqref="K9:K24">
    <cfRule type="cellIs" dxfId="67" priority="13" operator="notEqual">
      <formula>G9</formula>
    </cfRule>
    <cfRule type="cellIs" dxfId="66" priority="14" operator="equal">
      <formula>G9</formula>
    </cfRule>
  </conditionalFormatting>
  <conditionalFormatting sqref="K26:K41">
    <cfRule type="cellIs" dxfId="65" priority="11" operator="notEqual">
      <formula>G26</formula>
    </cfRule>
    <cfRule type="cellIs" dxfId="64" priority="12" operator="equal">
      <formula>G26</formula>
    </cfRule>
  </conditionalFormatting>
  <conditionalFormatting sqref="K43:K63">
    <cfRule type="cellIs" dxfId="63" priority="9" operator="notEqual">
      <formula>G43</formula>
    </cfRule>
    <cfRule type="cellIs" dxfId="62" priority="10" operator="equal">
      <formula>G43</formula>
    </cfRule>
  </conditionalFormatting>
  <conditionalFormatting sqref="K67:K69">
    <cfRule type="cellIs" dxfId="61" priority="7" operator="notEqual">
      <formula>G67</formula>
    </cfRule>
    <cfRule type="cellIs" dxfId="60" priority="8" operator="equal">
      <formula>G67</formula>
    </cfRule>
  </conditionalFormatting>
  <conditionalFormatting sqref="K71:K73">
    <cfRule type="cellIs" dxfId="59" priority="5" operator="notEqual">
      <formula>G71</formula>
    </cfRule>
    <cfRule type="cellIs" dxfId="58" priority="6" operator="equal">
      <formula>G71</formula>
    </cfRule>
  </conditionalFormatting>
  <conditionalFormatting sqref="K76">
    <cfRule type="cellIs" dxfId="57" priority="3" operator="notEqual">
      <formula>G76</formula>
    </cfRule>
    <cfRule type="cellIs" dxfId="56" priority="4" operator="equal">
      <formula>G76</formula>
    </cfRule>
  </conditionalFormatting>
  <dataValidations count="1">
    <dataValidation type="list" allowBlank="1" showInputMessage="1" showErrorMessage="1" sqref="H9:H75" xr:uid="{98E9BAF5-2F7B-4A29-87DE-B240354D5425}">
      <formula1>$H$80:$H$82</formula1>
    </dataValidation>
  </dataValidations>
  <pageMargins left="0.7" right="0.7" top="0.75" bottom="0.75" header="0.3" footer="0.3"/>
  <pageSetup scale="39" orientation="landscape" r:id="rId1"/>
  <legacy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tabColor rgb="FF00B0F0"/>
    <pageSetUpPr fitToPage="1"/>
  </sheetPr>
  <dimension ref="A1:L109"/>
  <sheetViews>
    <sheetView workbookViewId="0"/>
  </sheetViews>
  <sheetFormatPr defaultRowHeight="14.5" x14ac:dyDescent="0.35"/>
  <cols>
    <col min="1" max="2" width="2.81640625" customWidth="1"/>
    <col min="3" max="3" width="10.453125" style="123" bestFit="1" customWidth="1"/>
    <col min="4" max="5" width="2.81640625" customWidth="1"/>
    <col min="6" max="6" width="80.7265625" bestFit="1" customWidth="1"/>
    <col min="7" max="7" width="27.81640625" customWidth="1"/>
    <col min="8" max="8" width="15.26953125" bestFit="1" customWidth="1"/>
    <col min="9" max="9" width="27.26953125" customWidth="1"/>
    <col min="10" max="10" width="26.81640625" customWidth="1"/>
    <col min="11" max="11" width="25.81640625" customWidth="1"/>
    <col min="12" max="12" width="82.54296875" customWidth="1"/>
  </cols>
  <sheetData>
    <row r="1" spans="1:12" x14ac:dyDescent="0.35">
      <c r="A1" s="7"/>
      <c r="B1" s="7"/>
      <c r="C1" s="7"/>
      <c r="D1" s="7"/>
      <c r="E1" s="7"/>
      <c r="F1" s="7"/>
      <c r="G1" s="7"/>
      <c r="H1" s="7"/>
      <c r="I1" s="7" t="s">
        <v>0</v>
      </c>
      <c r="J1" s="7"/>
      <c r="K1" s="7"/>
      <c r="L1" s="7"/>
    </row>
    <row r="2" spans="1:12" x14ac:dyDescent="0.35">
      <c r="A2" s="7"/>
      <c r="B2" s="7"/>
      <c r="C2" s="7"/>
      <c r="D2" s="7"/>
      <c r="E2" s="7"/>
      <c r="F2" s="7"/>
      <c r="G2" s="7"/>
      <c r="H2" s="7"/>
      <c r="I2" s="132" t="s">
        <v>197</v>
      </c>
      <c r="J2" s="7"/>
      <c r="K2" s="7"/>
      <c r="L2" s="7"/>
    </row>
    <row r="3" spans="1:12" x14ac:dyDescent="0.35">
      <c r="A3" s="136" t="s">
        <v>198</v>
      </c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</row>
    <row r="4" spans="1:12" ht="19.5" customHeight="1" x14ac:dyDescent="0.35">
      <c r="A4" s="137" t="s">
        <v>169</v>
      </c>
      <c r="C4"/>
    </row>
    <row r="5" spans="1:12" x14ac:dyDescent="0.35">
      <c r="C5"/>
    </row>
    <row r="6" spans="1:12" s="7" customFormat="1" x14ac:dyDescent="0.35">
      <c r="A6" s="3" t="s">
        <v>2</v>
      </c>
      <c r="B6" s="4"/>
      <c r="C6" s="4"/>
      <c r="D6" s="3" t="s">
        <v>3</v>
      </c>
      <c r="E6" s="4"/>
      <c r="F6" s="4"/>
      <c r="G6" s="118" t="s">
        <v>274</v>
      </c>
      <c r="H6" s="6" t="s">
        <v>4</v>
      </c>
      <c r="I6" s="6" t="s">
        <v>5</v>
      </c>
      <c r="J6" s="6" t="s">
        <v>6</v>
      </c>
      <c r="K6" s="6" t="s">
        <v>7</v>
      </c>
      <c r="L6" s="6" t="s">
        <v>199</v>
      </c>
    </row>
    <row r="7" spans="1:12" x14ac:dyDescent="0.35">
      <c r="A7" s="8" t="s">
        <v>9</v>
      </c>
      <c r="B7" s="9"/>
      <c r="C7" s="119"/>
      <c r="D7" s="11" t="s">
        <v>10</v>
      </c>
      <c r="E7" s="119"/>
      <c r="F7" s="119"/>
      <c r="G7" s="69"/>
      <c r="H7" s="9"/>
      <c r="I7" s="69"/>
      <c r="J7" s="69"/>
      <c r="K7" s="69"/>
      <c r="L7" s="11"/>
    </row>
    <row r="8" spans="1:12" x14ac:dyDescent="0.35">
      <c r="A8" s="8"/>
      <c r="B8" s="9" t="s">
        <v>11</v>
      </c>
      <c r="C8" s="119"/>
      <c r="D8" s="13"/>
      <c r="E8" s="9" t="s">
        <v>12</v>
      </c>
      <c r="F8" s="119"/>
      <c r="G8" s="69">
        <v>3300260.4699999997</v>
      </c>
      <c r="H8" s="9"/>
      <c r="I8" s="69">
        <v>2634090.9400000004</v>
      </c>
      <c r="J8" s="69">
        <v>666169.53</v>
      </c>
      <c r="K8" s="69"/>
      <c r="L8" s="14"/>
    </row>
    <row r="9" spans="1:12" x14ac:dyDescent="0.35">
      <c r="A9" s="8"/>
      <c r="B9" s="9"/>
      <c r="C9" s="119" t="s">
        <v>13</v>
      </c>
      <c r="D9" s="13"/>
      <c r="E9" s="119"/>
      <c r="F9" s="9" t="s">
        <v>14</v>
      </c>
      <c r="G9" s="70">
        <v>0</v>
      </c>
      <c r="H9" s="16"/>
      <c r="I9" s="70"/>
      <c r="J9" s="70"/>
      <c r="K9" s="69">
        <v>0</v>
      </c>
      <c r="L9" s="17"/>
    </row>
    <row r="10" spans="1:12" x14ac:dyDescent="0.35">
      <c r="A10" s="8"/>
      <c r="B10" s="9"/>
      <c r="C10" s="119" t="s">
        <v>16</v>
      </c>
      <c r="D10" s="13"/>
      <c r="E10" s="119"/>
      <c r="F10" s="9" t="s">
        <v>17</v>
      </c>
      <c r="G10" s="70">
        <v>177.22</v>
      </c>
      <c r="H10" s="16" t="s">
        <v>15</v>
      </c>
      <c r="I10" s="70">
        <v>177.22</v>
      </c>
      <c r="J10" s="70"/>
      <c r="K10" s="69">
        <v>177.22</v>
      </c>
      <c r="L10" s="17"/>
    </row>
    <row r="11" spans="1:12" x14ac:dyDescent="0.35">
      <c r="A11" s="8"/>
      <c r="B11" s="9"/>
      <c r="C11" s="119" t="s">
        <v>18</v>
      </c>
      <c r="D11" s="13"/>
      <c r="E11" s="119"/>
      <c r="F11" s="9" t="s">
        <v>19</v>
      </c>
      <c r="G11" s="70">
        <v>756397.98</v>
      </c>
      <c r="H11" s="16" t="s">
        <v>15</v>
      </c>
      <c r="I11" s="70">
        <v>756397.98</v>
      </c>
      <c r="J11" s="70">
        <v>0</v>
      </c>
      <c r="K11" s="69">
        <v>756397.98</v>
      </c>
      <c r="L11" s="17"/>
    </row>
    <row r="12" spans="1:12" x14ac:dyDescent="0.35">
      <c r="A12" s="8"/>
      <c r="B12" s="9"/>
      <c r="C12" s="119" t="s">
        <v>20</v>
      </c>
      <c r="D12" s="13"/>
      <c r="E12" s="119"/>
      <c r="F12" s="9" t="s">
        <v>21</v>
      </c>
      <c r="G12" s="70">
        <v>143169.16999999998</v>
      </c>
      <c r="H12" s="16" t="s">
        <v>15</v>
      </c>
      <c r="I12" s="70">
        <v>143169.16999999998</v>
      </c>
      <c r="J12" s="70">
        <v>0</v>
      </c>
      <c r="K12" s="69">
        <v>143169.16999999998</v>
      </c>
      <c r="L12" s="17"/>
    </row>
    <row r="13" spans="1:12" x14ac:dyDescent="0.35">
      <c r="A13" s="8"/>
      <c r="B13" s="9"/>
      <c r="C13" s="119" t="s">
        <v>22</v>
      </c>
      <c r="D13" s="13"/>
      <c r="E13" s="119"/>
      <c r="F13" s="9" t="s">
        <v>23</v>
      </c>
      <c r="G13" s="70">
        <v>987262.34000000008</v>
      </c>
      <c r="H13" s="16" t="s">
        <v>15</v>
      </c>
      <c r="I13" s="70">
        <v>987262.34000000008</v>
      </c>
      <c r="J13" s="70">
        <v>0</v>
      </c>
      <c r="K13" s="69">
        <v>987262.34000000008</v>
      </c>
      <c r="L13" s="17"/>
    </row>
    <row r="14" spans="1:12" x14ac:dyDescent="0.35">
      <c r="A14" s="8"/>
      <c r="B14" s="9"/>
      <c r="C14" s="119" t="s">
        <v>25</v>
      </c>
      <c r="D14" s="13"/>
      <c r="E14" s="119"/>
      <c r="F14" s="9" t="s">
        <v>26</v>
      </c>
      <c r="G14" s="70">
        <v>0</v>
      </c>
      <c r="H14" s="16"/>
      <c r="I14" s="70">
        <v>0</v>
      </c>
      <c r="J14" s="70">
        <v>0</v>
      </c>
      <c r="K14" s="69">
        <v>0</v>
      </c>
      <c r="L14" s="17"/>
    </row>
    <row r="15" spans="1:12" x14ac:dyDescent="0.35">
      <c r="A15" s="8"/>
      <c r="B15" s="9"/>
      <c r="C15" s="119" t="s">
        <v>27</v>
      </c>
      <c r="D15" s="13"/>
      <c r="E15" s="119"/>
      <c r="F15" s="9" t="s">
        <v>28</v>
      </c>
      <c r="G15" s="70">
        <v>184928.14</v>
      </c>
      <c r="H15" s="16" t="s">
        <v>15</v>
      </c>
      <c r="I15" s="70">
        <v>184928.14</v>
      </c>
      <c r="J15" s="70">
        <v>0</v>
      </c>
      <c r="K15" s="69">
        <v>184928.14</v>
      </c>
      <c r="L15" s="17"/>
    </row>
    <row r="16" spans="1:12" x14ac:dyDescent="0.35">
      <c r="A16" s="8"/>
      <c r="B16" s="9"/>
      <c r="C16" s="119" t="s">
        <v>29</v>
      </c>
      <c r="D16" s="13"/>
      <c r="E16" s="119"/>
      <c r="F16" s="9" t="s">
        <v>30</v>
      </c>
      <c r="G16" s="70">
        <v>0</v>
      </c>
      <c r="H16" s="16"/>
      <c r="I16" s="70">
        <v>0</v>
      </c>
      <c r="J16" s="70">
        <v>0</v>
      </c>
      <c r="K16" s="69">
        <v>0</v>
      </c>
      <c r="L16" s="17"/>
    </row>
    <row r="17" spans="1:12" x14ac:dyDescent="0.35">
      <c r="A17" s="8"/>
      <c r="B17" s="9"/>
      <c r="C17" s="119" t="s">
        <v>31</v>
      </c>
      <c r="D17" s="13"/>
      <c r="E17" s="119"/>
      <c r="F17" s="9" t="s">
        <v>32</v>
      </c>
      <c r="G17" s="70">
        <v>36259.339999999997</v>
      </c>
      <c r="H17" s="16" t="s">
        <v>24</v>
      </c>
      <c r="I17" s="70">
        <v>0</v>
      </c>
      <c r="J17" s="70">
        <v>36259.339999999997</v>
      </c>
      <c r="K17" s="69">
        <v>36259.339999999997</v>
      </c>
      <c r="L17" s="17"/>
    </row>
    <row r="18" spans="1:12" x14ac:dyDescent="0.35">
      <c r="A18" s="8"/>
      <c r="B18" s="9"/>
      <c r="C18" s="119" t="s">
        <v>33</v>
      </c>
      <c r="D18" s="13"/>
      <c r="E18" s="119"/>
      <c r="F18" s="9" t="s">
        <v>34</v>
      </c>
      <c r="G18" s="70">
        <v>629910.19000000006</v>
      </c>
      <c r="H18" s="16" t="s">
        <v>24</v>
      </c>
      <c r="I18" s="70">
        <v>0</v>
      </c>
      <c r="J18" s="70">
        <v>629910.19000000006</v>
      </c>
      <c r="K18" s="69">
        <v>629910.19000000006</v>
      </c>
      <c r="L18" s="17"/>
    </row>
    <row r="19" spans="1:12" x14ac:dyDescent="0.35">
      <c r="A19" s="8"/>
      <c r="B19" s="9"/>
      <c r="C19" s="119" t="s">
        <v>35</v>
      </c>
      <c r="D19" s="13"/>
      <c r="E19" s="119"/>
      <c r="F19" s="9" t="s">
        <v>36</v>
      </c>
      <c r="G19" s="71">
        <v>820.37</v>
      </c>
      <c r="H19" s="16" t="s">
        <v>15</v>
      </c>
      <c r="I19" s="71">
        <v>820.37</v>
      </c>
      <c r="J19" s="71">
        <v>0</v>
      </c>
      <c r="K19" s="69">
        <v>820.37</v>
      </c>
      <c r="L19" s="17"/>
    </row>
    <row r="20" spans="1:12" x14ac:dyDescent="0.35">
      <c r="A20" s="8"/>
      <c r="B20" s="9"/>
      <c r="C20" s="119" t="s">
        <v>37</v>
      </c>
      <c r="D20" s="13"/>
      <c r="E20" s="119"/>
      <c r="F20" s="9" t="s">
        <v>38</v>
      </c>
      <c r="G20" s="70">
        <v>561335.72</v>
      </c>
      <c r="H20" s="16" t="s">
        <v>15</v>
      </c>
      <c r="I20" s="70">
        <v>561335.72</v>
      </c>
      <c r="J20" s="70">
        <v>0</v>
      </c>
      <c r="K20" s="69">
        <v>561335.72</v>
      </c>
      <c r="L20" s="17"/>
    </row>
    <row r="21" spans="1:12" x14ac:dyDescent="0.35">
      <c r="A21" s="8"/>
      <c r="B21" s="9"/>
      <c r="C21" s="119" t="s">
        <v>39</v>
      </c>
      <c r="D21" s="13"/>
      <c r="E21" s="119"/>
      <c r="F21" s="9" t="s">
        <v>40</v>
      </c>
      <c r="G21" s="70">
        <v>0</v>
      </c>
      <c r="H21" s="16"/>
      <c r="I21" s="70">
        <v>0</v>
      </c>
      <c r="J21" s="70">
        <v>0</v>
      </c>
      <c r="K21" s="69">
        <v>0</v>
      </c>
      <c r="L21" s="17"/>
    </row>
    <row r="22" spans="1:12" x14ac:dyDescent="0.35">
      <c r="A22" s="8"/>
      <c r="B22" s="9"/>
      <c r="C22" s="119" t="s">
        <v>41</v>
      </c>
      <c r="D22" s="13"/>
      <c r="E22" s="119"/>
      <c r="F22" s="9" t="s">
        <v>42</v>
      </c>
      <c r="G22" s="70">
        <v>0</v>
      </c>
      <c r="H22" s="16"/>
      <c r="I22" s="70">
        <v>0</v>
      </c>
      <c r="J22" s="70">
        <v>0</v>
      </c>
      <c r="K22" s="69">
        <v>0</v>
      </c>
      <c r="L22" s="17"/>
    </row>
    <row r="23" spans="1:12" x14ac:dyDescent="0.35">
      <c r="A23" s="8"/>
      <c r="B23" s="9"/>
      <c r="C23" s="119" t="s">
        <v>43</v>
      </c>
      <c r="D23" s="13"/>
      <c r="E23" s="119"/>
      <c r="F23" s="9" t="s">
        <v>44</v>
      </c>
      <c r="G23" s="70">
        <v>0</v>
      </c>
      <c r="H23" s="16"/>
      <c r="I23" s="70">
        <v>0</v>
      </c>
      <c r="J23" s="70">
        <v>0</v>
      </c>
      <c r="K23" s="69">
        <v>0</v>
      </c>
      <c r="L23" s="17"/>
    </row>
    <row r="24" spans="1:12" x14ac:dyDescent="0.35">
      <c r="A24" s="9"/>
      <c r="B24" s="9"/>
      <c r="C24" s="120" t="s">
        <v>45</v>
      </c>
      <c r="D24" s="13"/>
      <c r="E24" s="120"/>
      <c r="F24" s="9" t="s">
        <v>46</v>
      </c>
      <c r="G24" s="72">
        <v>0</v>
      </c>
      <c r="H24" s="16"/>
      <c r="I24" s="72">
        <v>0</v>
      </c>
      <c r="J24" s="72">
        <v>0</v>
      </c>
      <c r="K24" s="69">
        <v>0</v>
      </c>
      <c r="L24" s="17"/>
    </row>
    <row r="25" spans="1:12" x14ac:dyDescent="0.35">
      <c r="A25" s="8"/>
      <c r="B25" s="9" t="s">
        <v>47</v>
      </c>
      <c r="C25" s="119"/>
      <c r="D25" s="13"/>
      <c r="E25" s="9" t="s">
        <v>48</v>
      </c>
      <c r="F25" s="119"/>
      <c r="G25" s="69">
        <v>2748462.7900000005</v>
      </c>
      <c r="H25" s="9"/>
      <c r="I25" s="69">
        <v>1596690.02</v>
      </c>
      <c r="J25" s="69">
        <v>1151772.77</v>
      </c>
      <c r="K25" s="69"/>
      <c r="L25" s="14"/>
    </row>
    <row r="26" spans="1:12" x14ac:dyDescent="0.35">
      <c r="A26" s="8"/>
      <c r="B26" s="9"/>
      <c r="C26" s="119" t="s">
        <v>49</v>
      </c>
      <c r="D26" s="13"/>
      <c r="E26" s="119"/>
      <c r="F26" s="9" t="s">
        <v>50</v>
      </c>
      <c r="G26" s="70">
        <v>0</v>
      </c>
      <c r="H26" s="16"/>
      <c r="I26" s="70"/>
      <c r="J26" s="70"/>
      <c r="K26" s="69">
        <v>0</v>
      </c>
      <c r="L26" s="17"/>
    </row>
    <row r="27" spans="1:12" x14ac:dyDescent="0.35">
      <c r="A27" s="8"/>
      <c r="B27" s="9"/>
      <c r="C27" s="119" t="s">
        <v>51</v>
      </c>
      <c r="D27" s="13"/>
      <c r="E27" s="119"/>
      <c r="F27" s="9" t="s">
        <v>52</v>
      </c>
      <c r="G27" s="70">
        <v>0</v>
      </c>
      <c r="H27" s="16"/>
      <c r="I27" s="70"/>
      <c r="J27" s="70"/>
      <c r="K27" s="69">
        <v>0</v>
      </c>
      <c r="L27" s="17"/>
    </row>
    <row r="28" spans="1:12" x14ac:dyDescent="0.35">
      <c r="A28" s="8"/>
      <c r="B28" s="9"/>
      <c r="C28" s="119" t="s">
        <v>53</v>
      </c>
      <c r="D28" s="13"/>
      <c r="E28" s="119"/>
      <c r="F28" s="9" t="s">
        <v>54</v>
      </c>
      <c r="G28" s="70">
        <v>227137.34000000003</v>
      </c>
      <c r="H28" s="16" t="s">
        <v>15</v>
      </c>
      <c r="I28" s="70">
        <v>227137.34000000003</v>
      </c>
      <c r="J28" s="70">
        <v>0</v>
      </c>
      <c r="K28" s="69">
        <v>227137.34000000003</v>
      </c>
      <c r="L28" s="17"/>
    </row>
    <row r="29" spans="1:12" x14ac:dyDescent="0.35">
      <c r="A29" s="8"/>
      <c r="B29" s="9"/>
      <c r="C29" s="119" t="s">
        <v>55</v>
      </c>
      <c r="D29" s="13"/>
      <c r="E29" s="119"/>
      <c r="F29" s="9" t="s">
        <v>56</v>
      </c>
      <c r="G29" s="70">
        <v>94193.46</v>
      </c>
      <c r="H29" s="16" t="s">
        <v>15</v>
      </c>
      <c r="I29" s="70">
        <v>94193.46</v>
      </c>
      <c r="J29" s="70">
        <v>0</v>
      </c>
      <c r="K29" s="69">
        <v>94193.46</v>
      </c>
      <c r="L29" s="17"/>
    </row>
    <row r="30" spans="1:12" x14ac:dyDescent="0.35">
      <c r="A30" s="8"/>
      <c r="B30" s="9"/>
      <c r="C30" s="119" t="s">
        <v>57</v>
      </c>
      <c r="D30" s="13"/>
      <c r="E30" s="119"/>
      <c r="F30" s="9" t="s">
        <v>58</v>
      </c>
      <c r="G30" s="70">
        <v>377223.24</v>
      </c>
      <c r="H30" s="16" t="s">
        <v>59</v>
      </c>
      <c r="I30" s="70">
        <v>68686.570000000007</v>
      </c>
      <c r="J30" s="70">
        <v>308536.67</v>
      </c>
      <c r="K30" s="69">
        <v>377223.24</v>
      </c>
      <c r="L30" s="17" t="s">
        <v>288</v>
      </c>
    </row>
    <row r="31" spans="1:12" x14ac:dyDescent="0.35">
      <c r="A31" s="8"/>
      <c r="B31" s="9"/>
      <c r="C31" s="119" t="s">
        <v>60</v>
      </c>
      <c r="D31" s="13"/>
      <c r="E31" s="119"/>
      <c r="F31" s="9" t="s">
        <v>61</v>
      </c>
      <c r="G31" s="70">
        <v>412249.66000000003</v>
      </c>
      <c r="H31" s="16" t="s">
        <v>15</v>
      </c>
      <c r="I31" s="70">
        <v>412249.66000000003</v>
      </c>
      <c r="J31" s="70">
        <v>0</v>
      </c>
      <c r="K31" s="69">
        <v>412249.66000000003</v>
      </c>
      <c r="L31" s="17"/>
    </row>
    <row r="32" spans="1:12" x14ac:dyDescent="0.35">
      <c r="A32" s="8"/>
      <c r="B32" s="9"/>
      <c r="C32" s="119" t="s">
        <v>62</v>
      </c>
      <c r="D32" s="13"/>
      <c r="E32" s="119"/>
      <c r="F32" s="9" t="s">
        <v>63</v>
      </c>
      <c r="G32" s="70">
        <v>379193.37</v>
      </c>
      <c r="H32" s="16" t="s">
        <v>24</v>
      </c>
      <c r="I32" s="70"/>
      <c r="J32" s="70">
        <v>379193.37</v>
      </c>
      <c r="K32" s="69">
        <v>379193.37</v>
      </c>
      <c r="L32" s="17" t="s">
        <v>223</v>
      </c>
    </row>
    <row r="33" spans="1:12" x14ac:dyDescent="0.35">
      <c r="A33" s="9"/>
      <c r="B33" s="9"/>
      <c r="C33" s="119" t="s">
        <v>64</v>
      </c>
      <c r="D33" s="9"/>
      <c r="E33" s="119"/>
      <c r="F33" s="9" t="s">
        <v>65</v>
      </c>
      <c r="G33" s="70">
        <v>243778.61000000002</v>
      </c>
      <c r="H33" s="16" t="s">
        <v>24</v>
      </c>
      <c r="I33" s="70">
        <v>0</v>
      </c>
      <c r="J33" s="70">
        <v>243778.61000000002</v>
      </c>
      <c r="K33" s="69">
        <v>243778.61000000002</v>
      </c>
      <c r="L33" s="17" t="s">
        <v>223</v>
      </c>
    </row>
    <row r="34" spans="1:12" x14ac:dyDescent="0.35">
      <c r="A34" s="9"/>
      <c r="B34" s="9"/>
      <c r="C34" s="119" t="s">
        <v>66</v>
      </c>
      <c r="D34" s="9"/>
      <c r="E34" s="9"/>
      <c r="F34" s="9" t="s">
        <v>67</v>
      </c>
      <c r="G34" s="70">
        <v>172532.78999999995</v>
      </c>
      <c r="H34" s="16" t="s">
        <v>15</v>
      </c>
      <c r="I34" s="70">
        <v>172532.78999999995</v>
      </c>
      <c r="J34" s="70">
        <v>0</v>
      </c>
      <c r="K34" s="69">
        <v>172532.78999999995</v>
      </c>
      <c r="L34" s="17"/>
    </row>
    <row r="35" spans="1:12" x14ac:dyDescent="0.35">
      <c r="A35" s="9"/>
      <c r="B35" s="9"/>
      <c r="C35" s="119" t="s">
        <v>68</v>
      </c>
      <c r="D35" s="9"/>
      <c r="E35" s="119"/>
      <c r="F35" s="9" t="s">
        <v>69</v>
      </c>
      <c r="G35" s="70">
        <v>419973.64000000007</v>
      </c>
      <c r="H35" s="16" t="s">
        <v>15</v>
      </c>
      <c r="I35" s="70">
        <v>419973.64000000007</v>
      </c>
      <c r="J35" s="70">
        <v>0</v>
      </c>
      <c r="K35" s="69">
        <v>419973.64000000007</v>
      </c>
      <c r="L35" s="17"/>
    </row>
    <row r="36" spans="1:12" x14ac:dyDescent="0.35">
      <c r="A36" s="9"/>
      <c r="B36" s="9"/>
      <c r="C36" s="119" t="s">
        <v>70</v>
      </c>
      <c r="D36" s="9"/>
      <c r="E36" s="9"/>
      <c r="F36" s="9" t="s">
        <v>71</v>
      </c>
      <c r="G36" s="70">
        <v>0</v>
      </c>
      <c r="H36" s="16"/>
      <c r="I36" s="70">
        <v>0</v>
      </c>
      <c r="J36" s="70">
        <v>0</v>
      </c>
      <c r="K36" s="69">
        <v>0</v>
      </c>
      <c r="L36" s="17"/>
    </row>
    <row r="37" spans="1:12" x14ac:dyDescent="0.35">
      <c r="A37" s="9"/>
      <c r="B37" s="9"/>
      <c r="C37" s="119" t="s">
        <v>72</v>
      </c>
      <c r="D37" s="9"/>
      <c r="E37" s="121"/>
      <c r="F37" s="9" t="s">
        <v>73</v>
      </c>
      <c r="G37" s="70">
        <v>0</v>
      </c>
      <c r="H37" s="16"/>
      <c r="I37" s="70">
        <v>0</v>
      </c>
      <c r="J37" s="70">
        <v>0</v>
      </c>
      <c r="K37" s="69">
        <v>0</v>
      </c>
      <c r="L37" s="17"/>
    </row>
    <row r="38" spans="1:12" x14ac:dyDescent="0.35">
      <c r="A38" s="9"/>
      <c r="B38" s="9"/>
      <c r="C38" s="119" t="s">
        <v>74</v>
      </c>
      <c r="D38" s="9"/>
      <c r="E38" s="9"/>
      <c r="F38" s="9" t="s">
        <v>75</v>
      </c>
      <c r="G38" s="70">
        <v>0</v>
      </c>
      <c r="H38" s="16"/>
      <c r="I38" s="70">
        <v>0</v>
      </c>
      <c r="J38" s="70">
        <v>0</v>
      </c>
      <c r="K38" s="69">
        <v>0</v>
      </c>
      <c r="L38" s="17"/>
    </row>
    <row r="39" spans="1:12" x14ac:dyDescent="0.35">
      <c r="A39" s="9"/>
      <c r="B39" s="9"/>
      <c r="C39" s="119" t="s">
        <v>76</v>
      </c>
      <c r="D39" s="9"/>
      <c r="E39" s="9"/>
      <c r="F39" s="9" t="s">
        <v>77</v>
      </c>
      <c r="G39" s="70">
        <v>0</v>
      </c>
      <c r="H39" s="16"/>
      <c r="I39" s="70">
        <v>0</v>
      </c>
      <c r="J39" s="70">
        <v>0</v>
      </c>
      <c r="K39" s="69">
        <v>0</v>
      </c>
      <c r="L39" s="17"/>
    </row>
    <row r="40" spans="1:12" x14ac:dyDescent="0.35">
      <c r="A40" s="9"/>
      <c r="B40" s="9"/>
      <c r="C40" s="119" t="s">
        <v>78</v>
      </c>
      <c r="D40" s="9"/>
      <c r="E40" s="9"/>
      <c r="F40" s="9" t="s">
        <v>79</v>
      </c>
      <c r="G40" s="70">
        <v>220264.12</v>
      </c>
      <c r="H40" s="16" t="s">
        <v>24</v>
      </c>
      <c r="I40" s="70">
        <v>0</v>
      </c>
      <c r="J40" s="70">
        <v>220264.12</v>
      </c>
      <c r="K40" s="69">
        <v>220264.12</v>
      </c>
      <c r="L40" s="17" t="s">
        <v>267</v>
      </c>
    </row>
    <row r="41" spans="1:12" x14ac:dyDescent="0.35">
      <c r="A41" s="9"/>
      <c r="B41" s="9"/>
      <c r="C41" s="119" t="s">
        <v>80</v>
      </c>
      <c r="D41" s="9"/>
      <c r="E41" s="9"/>
      <c r="F41" s="9" t="s">
        <v>81</v>
      </c>
      <c r="G41" s="70">
        <v>201916.56</v>
      </c>
      <c r="H41" s="16" t="s">
        <v>15</v>
      </c>
      <c r="I41" s="70">
        <v>201916.56</v>
      </c>
      <c r="J41" s="70">
        <v>0</v>
      </c>
      <c r="K41" s="69">
        <v>201916.56</v>
      </c>
      <c r="L41" s="17"/>
    </row>
    <row r="42" spans="1:12" x14ac:dyDescent="0.35">
      <c r="A42" s="9"/>
      <c r="B42" s="9" t="s">
        <v>82</v>
      </c>
      <c r="C42" s="119"/>
      <c r="D42" s="9"/>
      <c r="E42" s="9" t="s">
        <v>83</v>
      </c>
      <c r="F42" s="9"/>
      <c r="G42" s="69">
        <v>6110605.1500000004</v>
      </c>
      <c r="H42" s="9"/>
      <c r="I42" s="69">
        <v>1887930.7699999996</v>
      </c>
      <c r="J42" s="69">
        <v>4222674.3800000008</v>
      </c>
      <c r="K42" s="69"/>
      <c r="L42" s="14"/>
    </row>
    <row r="43" spans="1:12" x14ac:dyDescent="0.35">
      <c r="A43" s="9"/>
      <c r="B43" s="9"/>
      <c r="C43" s="119" t="s">
        <v>84</v>
      </c>
      <c r="D43" s="9"/>
      <c r="E43" s="9"/>
      <c r="F43" s="9" t="s">
        <v>85</v>
      </c>
      <c r="G43" s="70">
        <v>2655478.2200000002</v>
      </c>
      <c r="H43" s="16" t="s">
        <v>24</v>
      </c>
      <c r="I43" s="70">
        <v>0</v>
      </c>
      <c r="J43" s="70">
        <v>2655478.2200000002</v>
      </c>
      <c r="K43" s="69">
        <v>2655478.2200000002</v>
      </c>
      <c r="L43" s="17" t="s">
        <v>268</v>
      </c>
    </row>
    <row r="44" spans="1:12" x14ac:dyDescent="0.35">
      <c r="A44" s="9"/>
      <c r="B44" s="9"/>
      <c r="C44" s="119" t="s">
        <v>86</v>
      </c>
      <c r="D44" s="9"/>
      <c r="E44" s="9"/>
      <c r="F44" s="9" t="s">
        <v>87</v>
      </c>
      <c r="G44" s="70">
        <v>429568.78</v>
      </c>
      <c r="H44" s="16" t="s">
        <v>24</v>
      </c>
      <c r="I44" s="70">
        <v>0</v>
      </c>
      <c r="J44" s="70">
        <v>429568.78</v>
      </c>
      <c r="K44" s="69">
        <v>429568.78</v>
      </c>
      <c r="L44" s="17" t="s">
        <v>268</v>
      </c>
    </row>
    <row r="45" spans="1:12" x14ac:dyDescent="0.35">
      <c r="A45" s="9"/>
      <c r="B45" s="9"/>
      <c r="C45" s="119" t="s">
        <v>88</v>
      </c>
      <c r="D45" s="9"/>
      <c r="E45" s="9"/>
      <c r="F45" s="9" t="s">
        <v>89</v>
      </c>
      <c r="G45" s="70">
        <v>266286.51</v>
      </c>
      <c r="H45" s="16" t="s">
        <v>24</v>
      </c>
      <c r="I45" s="70">
        <v>0</v>
      </c>
      <c r="J45" s="70">
        <v>266286.51</v>
      </c>
      <c r="K45" s="69">
        <v>266286.51</v>
      </c>
      <c r="L45" s="17" t="s">
        <v>268</v>
      </c>
    </row>
    <row r="46" spans="1:12" x14ac:dyDescent="0.35">
      <c r="A46" s="9"/>
      <c r="B46" s="9"/>
      <c r="C46" s="119" t="s">
        <v>90</v>
      </c>
      <c r="D46" s="9"/>
      <c r="E46" s="9"/>
      <c r="F46" s="9" t="s">
        <v>91</v>
      </c>
      <c r="G46" s="70">
        <v>0</v>
      </c>
      <c r="H46" s="16"/>
      <c r="I46" s="70">
        <v>0</v>
      </c>
      <c r="J46" s="70">
        <v>0</v>
      </c>
      <c r="K46" s="69">
        <v>0</v>
      </c>
      <c r="L46" s="17"/>
    </row>
    <row r="47" spans="1:12" x14ac:dyDescent="0.35">
      <c r="A47" s="9"/>
      <c r="B47" s="9"/>
      <c r="C47" s="119" t="s">
        <v>92</v>
      </c>
      <c r="D47" s="9"/>
      <c r="E47" s="9"/>
      <c r="F47" s="9" t="s">
        <v>93</v>
      </c>
      <c r="G47" s="70">
        <v>1700192.67</v>
      </c>
      <c r="H47" s="16" t="s">
        <v>59</v>
      </c>
      <c r="I47" s="70">
        <v>1684042.8099999998</v>
      </c>
      <c r="J47" s="70">
        <v>16149.86</v>
      </c>
      <c r="K47" s="69">
        <v>1700192.67</v>
      </c>
      <c r="L47" s="17" t="s">
        <v>269</v>
      </c>
    </row>
    <row r="48" spans="1:12" x14ac:dyDescent="0.35">
      <c r="A48" s="9"/>
      <c r="B48" s="9"/>
      <c r="C48" s="119" t="s">
        <v>94</v>
      </c>
      <c r="D48" s="9"/>
      <c r="E48" s="9"/>
      <c r="F48" s="9" t="s">
        <v>95</v>
      </c>
      <c r="G48" s="70">
        <v>0</v>
      </c>
      <c r="H48" s="16"/>
      <c r="I48" s="70">
        <v>0</v>
      </c>
      <c r="J48" s="70">
        <v>0</v>
      </c>
      <c r="K48" s="69">
        <v>0</v>
      </c>
      <c r="L48" s="17"/>
    </row>
    <row r="49" spans="1:12" x14ac:dyDescent="0.35">
      <c r="A49" s="9"/>
      <c r="B49" s="9"/>
      <c r="C49" s="119" t="s">
        <v>96</v>
      </c>
      <c r="D49" s="9"/>
      <c r="E49" s="9"/>
      <c r="F49" s="9" t="s">
        <v>97</v>
      </c>
      <c r="G49" s="70">
        <v>37706.44</v>
      </c>
      <c r="H49" s="16" t="s">
        <v>15</v>
      </c>
      <c r="I49" s="70">
        <v>37706.44</v>
      </c>
      <c r="J49" s="70">
        <v>0</v>
      </c>
      <c r="K49" s="69">
        <v>37706.44</v>
      </c>
      <c r="L49" s="17"/>
    </row>
    <row r="50" spans="1:12" x14ac:dyDescent="0.35">
      <c r="A50" s="9"/>
      <c r="B50" s="9"/>
      <c r="C50" s="119" t="s">
        <v>98</v>
      </c>
      <c r="D50" s="9"/>
      <c r="E50" s="9"/>
      <c r="F50" s="9" t="s">
        <v>99</v>
      </c>
      <c r="G50" s="70">
        <v>111601.68</v>
      </c>
      <c r="H50" s="16" t="s">
        <v>24</v>
      </c>
      <c r="I50" s="70">
        <v>0</v>
      </c>
      <c r="J50" s="70">
        <v>111601.68</v>
      </c>
      <c r="K50" s="69">
        <v>111601.68</v>
      </c>
      <c r="L50" s="17"/>
    </row>
    <row r="51" spans="1:12" x14ac:dyDescent="0.35">
      <c r="A51" s="9"/>
      <c r="B51" s="9"/>
      <c r="C51" s="119" t="s">
        <v>100</v>
      </c>
      <c r="D51" s="9"/>
      <c r="E51" s="9"/>
      <c r="F51" s="9" t="s">
        <v>101</v>
      </c>
      <c r="G51" s="70">
        <v>0</v>
      </c>
      <c r="H51" s="16"/>
      <c r="I51" s="70">
        <v>0</v>
      </c>
      <c r="J51" s="70">
        <v>0</v>
      </c>
      <c r="K51" s="69">
        <v>0</v>
      </c>
      <c r="L51" s="17"/>
    </row>
    <row r="52" spans="1:12" x14ac:dyDescent="0.35">
      <c r="A52" s="9"/>
      <c r="B52" s="9"/>
      <c r="C52" s="119" t="s">
        <v>102</v>
      </c>
      <c r="D52" s="9"/>
      <c r="E52" s="9"/>
      <c r="F52" s="9" t="s">
        <v>103</v>
      </c>
      <c r="G52" s="70">
        <v>46948.02</v>
      </c>
      <c r="H52" s="16" t="s">
        <v>24</v>
      </c>
      <c r="I52" s="70">
        <v>0</v>
      </c>
      <c r="J52" s="70">
        <v>46948.02</v>
      </c>
      <c r="K52" s="69">
        <v>46948.02</v>
      </c>
      <c r="L52" s="17"/>
    </row>
    <row r="53" spans="1:12" x14ac:dyDescent="0.35">
      <c r="A53" s="9"/>
      <c r="B53" s="9"/>
      <c r="C53" s="119" t="s">
        <v>104</v>
      </c>
      <c r="D53" s="9"/>
      <c r="E53" s="9"/>
      <c r="F53" s="9" t="s">
        <v>105</v>
      </c>
      <c r="G53" s="70">
        <v>0</v>
      </c>
      <c r="H53" s="16"/>
      <c r="I53" s="70">
        <v>0</v>
      </c>
      <c r="J53" s="70">
        <v>0</v>
      </c>
      <c r="K53" s="69">
        <v>0</v>
      </c>
      <c r="L53" s="17"/>
    </row>
    <row r="54" spans="1:12" x14ac:dyDescent="0.35">
      <c r="A54" s="9"/>
      <c r="B54" s="9"/>
      <c r="C54" s="119" t="s">
        <v>106</v>
      </c>
      <c r="D54" s="9"/>
      <c r="E54" s="9"/>
      <c r="F54" s="9" t="s">
        <v>107</v>
      </c>
      <c r="G54" s="70">
        <v>0</v>
      </c>
      <c r="H54" s="16"/>
      <c r="I54" s="70">
        <v>0</v>
      </c>
      <c r="J54" s="70">
        <v>0</v>
      </c>
      <c r="K54" s="69">
        <v>0</v>
      </c>
      <c r="L54" s="17"/>
    </row>
    <row r="55" spans="1:12" x14ac:dyDescent="0.35">
      <c r="A55" s="9"/>
      <c r="B55" s="9"/>
      <c r="C55" s="119" t="s">
        <v>108</v>
      </c>
      <c r="D55" s="9"/>
      <c r="E55" s="9"/>
      <c r="F55" s="9" t="s">
        <v>109</v>
      </c>
      <c r="G55" s="70">
        <v>0</v>
      </c>
      <c r="H55" s="16"/>
      <c r="I55" s="70">
        <v>0</v>
      </c>
      <c r="J55" s="70">
        <v>0</v>
      </c>
      <c r="K55" s="69">
        <v>0</v>
      </c>
      <c r="L55" s="17"/>
    </row>
    <row r="56" spans="1:12" x14ac:dyDescent="0.35">
      <c r="A56" s="9"/>
      <c r="B56" s="9"/>
      <c r="C56" s="119" t="s">
        <v>110</v>
      </c>
      <c r="D56" s="9"/>
      <c r="E56" s="9"/>
      <c r="F56" s="9" t="s">
        <v>111</v>
      </c>
      <c r="G56" s="70">
        <v>0</v>
      </c>
      <c r="H56" s="16"/>
      <c r="I56" s="70">
        <v>0</v>
      </c>
      <c r="J56" s="70">
        <v>0</v>
      </c>
      <c r="K56" s="69">
        <v>0</v>
      </c>
      <c r="L56" s="17"/>
    </row>
    <row r="57" spans="1:12" x14ac:dyDescent="0.35">
      <c r="A57" s="9"/>
      <c r="B57" s="9"/>
      <c r="C57" s="119" t="s">
        <v>112</v>
      </c>
      <c r="D57" s="9"/>
      <c r="E57" s="9"/>
      <c r="F57" s="9" t="s">
        <v>113</v>
      </c>
      <c r="G57" s="70">
        <v>0</v>
      </c>
      <c r="H57" s="16"/>
      <c r="I57" s="70">
        <v>0</v>
      </c>
      <c r="J57" s="70">
        <v>0</v>
      </c>
      <c r="K57" s="69">
        <v>0</v>
      </c>
      <c r="L57" s="17"/>
    </row>
    <row r="58" spans="1:12" x14ac:dyDescent="0.35">
      <c r="A58" s="9"/>
      <c r="B58" s="9"/>
      <c r="C58" s="119" t="s">
        <v>114</v>
      </c>
      <c r="D58" s="9"/>
      <c r="E58" s="9"/>
      <c r="F58" s="9" t="s">
        <v>115</v>
      </c>
      <c r="G58" s="70">
        <v>0</v>
      </c>
      <c r="H58" s="16"/>
      <c r="I58" s="70">
        <v>0</v>
      </c>
      <c r="J58" s="70">
        <v>0</v>
      </c>
      <c r="K58" s="69">
        <v>0</v>
      </c>
      <c r="L58" s="17"/>
    </row>
    <row r="59" spans="1:12" x14ac:dyDescent="0.35">
      <c r="A59" s="9"/>
      <c r="B59" s="9"/>
      <c r="C59" s="119" t="s">
        <v>116</v>
      </c>
      <c r="D59" s="9"/>
      <c r="E59" s="9"/>
      <c r="F59" s="9" t="s">
        <v>117</v>
      </c>
      <c r="G59" s="70">
        <v>46178.68</v>
      </c>
      <c r="H59" s="16" t="s">
        <v>24</v>
      </c>
      <c r="I59" s="70">
        <v>0</v>
      </c>
      <c r="J59" s="70">
        <v>46178.68</v>
      </c>
      <c r="K59" s="69">
        <v>46178.68</v>
      </c>
      <c r="L59" s="17" t="s">
        <v>289</v>
      </c>
    </row>
    <row r="60" spans="1:12" x14ac:dyDescent="0.35">
      <c r="A60" s="9"/>
      <c r="B60" s="9"/>
      <c r="C60" s="119" t="s">
        <v>118</v>
      </c>
      <c r="D60" s="9"/>
      <c r="E60" s="9"/>
      <c r="F60" s="9" t="s">
        <v>119</v>
      </c>
      <c r="G60" s="70">
        <v>12799.23</v>
      </c>
      <c r="H60" s="16" t="s">
        <v>24</v>
      </c>
      <c r="I60" s="70">
        <v>0</v>
      </c>
      <c r="J60" s="70">
        <v>12799.23</v>
      </c>
      <c r="K60" s="69">
        <v>12799.23</v>
      </c>
      <c r="L60" s="17"/>
    </row>
    <row r="61" spans="1:12" x14ac:dyDescent="0.35">
      <c r="A61" s="9"/>
      <c r="B61" s="9"/>
      <c r="C61" s="119" t="s">
        <v>120</v>
      </c>
      <c r="D61" s="9"/>
      <c r="E61" s="9"/>
      <c r="F61" s="9" t="s">
        <v>121</v>
      </c>
      <c r="G61" s="70">
        <v>68824.149999999994</v>
      </c>
      <c r="H61" s="16" t="s">
        <v>15</v>
      </c>
      <c r="I61" s="70">
        <v>68824.149999999994</v>
      </c>
      <c r="J61" s="70">
        <v>0</v>
      </c>
      <c r="K61" s="69">
        <v>68824.149999999994</v>
      </c>
      <c r="L61" s="17"/>
    </row>
    <row r="62" spans="1:12" x14ac:dyDescent="0.35">
      <c r="A62" s="9"/>
      <c r="B62" s="9"/>
      <c r="C62" s="119" t="s">
        <v>122</v>
      </c>
      <c r="D62" s="9"/>
      <c r="E62" s="9"/>
      <c r="F62" s="9" t="s">
        <v>123</v>
      </c>
      <c r="G62" s="70">
        <v>716831.37</v>
      </c>
      <c r="H62" s="16" t="s">
        <v>59</v>
      </c>
      <c r="I62" s="70">
        <v>97357.37</v>
      </c>
      <c r="J62" s="70">
        <v>619474</v>
      </c>
      <c r="K62" s="69">
        <v>716831.37</v>
      </c>
      <c r="L62" s="17" t="s">
        <v>270</v>
      </c>
    </row>
    <row r="63" spans="1:12" x14ac:dyDescent="0.35">
      <c r="A63" s="9"/>
      <c r="B63" s="9"/>
      <c r="C63" s="119" t="s">
        <v>124</v>
      </c>
      <c r="D63" s="9"/>
      <c r="E63" s="9"/>
      <c r="F63" s="9" t="s">
        <v>125</v>
      </c>
      <c r="G63" s="70">
        <v>18189.400000000001</v>
      </c>
      <c r="H63" s="16" t="s">
        <v>24</v>
      </c>
      <c r="I63" s="70">
        <v>0</v>
      </c>
      <c r="J63" s="70">
        <v>18189.400000000001</v>
      </c>
      <c r="K63" s="69">
        <v>18189.400000000001</v>
      </c>
      <c r="L63" s="17"/>
    </row>
    <row r="64" spans="1:12" hidden="1" x14ac:dyDescent="0.35">
      <c r="A64" s="9"/>
      <c r="B64" s="9" t="s">
        <v>126</v>
      </c>
      <c r="C64" s="119"/>
      <c r="D64" s="9"/>
      <c r="E64" s="9" t="s">
        <v>127</v>
      </c>
      <c r="F64" s="9"/>
      <c r="G64" s="69"/>
      <c r="H64" s="9"/>
      <c r="I64" s="69"/>
      <c r="J64" s="69"/>
      <c r="K64" s="69"/>
      <c r="L64" s="14"/>
    </row>
    <row r="65" spans="1:12" hidden="1" x14ac:dyDescent="0.35">
      <c r="A65" s="9"/>
      <c r="B65" s="9" t="s">
        <v>128</v>
      </c>
      <c r="C65" s="119"/>
      <c r="D65" s="9"/>
      <c r="E65" s="9" t="s">
        <v>127</v>
      </c>
      <c r="F65" s="9"/>
      <c r="G65" s="69"/>
      <c r="H65" s="9"/>
      <c r="I65" s="69"/>
      <c r="J65" s="69"/>
      <c r="K65" s="69"/>
      <c r="L65" s="14"/>
    </row>
    <row r="66" spans="1:12" x14ac:dyDescent="0.35">
      <c r="A66" s="9"/>
      <c r="B66" s="9" t="s">
        <v>129</v>
      </c>
      <c r="C66" s="119"/>
      <c r="D66" s="9"/>
      <c r="E66" s="9" t="s">
        <v>130</v>
      </c>
      <c r="F66" s="9"/>
      <c r="G66" s="69">
        <v>0</v>
      </c>
      <c r="H66" s="9"/>
      <c r="I66" s="69">
        <v>0</v>
      </c>
      <c r="J66" s="69">
        <v>0</v>
      </c>
      <c r="K66" s="69"/>
      <c r="L66" s="14"/>
    </row>
    <row r="67" spans="1:12" x14ac:dyDescent="0.35">
      <c r="A67" s="9"/>
      <c r="B67" s="9"/>
      <c r="C67" s="119" t="s">
        <v>131</v>
      </c>
      <c r="D67" s="9"/>
      <c r="E67" s="9"/>
      <c r="F67" s="9" t="s">
        <v>132</v>
      </c>
      <c r="G67" s="70"/>
      <c r="H67" s="16"/>
      <c r="I67" s="70"/>
      <c r="J67" s="70">
        <v>0</v>
      </c>
      <c r="K67" s="69">
        <v>0</v>
      </c>
      <c r="L67" s="17"/>
    </row>
    <row r="68" spans="1:12" x14ac:dyDescent="0.35">
      <c r="A68" s="9"/>
      <c r="B68" s="9"/>
      <c r="C68" s="119" t="s">
        <v>133</v>
      </c>
      <c r="D68" s="9"/>
      <c r="E68" s="9"/>
      <c r="F68" s="9" t="s">
        <v>134</v>
      </c>
      <c r="G68" s="70"/>
      <c r="H68" s="16"/>
      <c r="I68" s="70"/>
      <c r="J68" s="70"/>
      <c r="K68" s="69">
        <v>0</v>
      </c>
      <c r="L68" s="17"/>
    </row>
    <row r="69" spans="1:12" x14ac:dyDescent="0.35">
      <c r="A69" s="9"/>
      <c r="B69" s="9"/>
      <c r="C69" s="119" t="s">
        <v>135</v>
      </c>
      <c r="D69" s="9"/>
      <c r="E69" s="9"/>
      <c r="F69" s="9" t="s">
        <v>136</v>
      </c>
      <c r="G69" s="70"/>
      <c r="H69" s="16"/>
      <c r="I69" s="70"/>
      <c r="J69" s="70"/>
      <c r="K69" s="69">
        <v>0</v>
      </c>
      <c r="L69" s="17"/>
    </row>
    <row r="70" spans="1:12" x14ac:dyDescent="0.35">
      <c r="A70" s="9"/>
      <c r="B70" s="9" t="s">
        <v>137</v>
      </c>
      <c r="C70" s="119"/>
      <c r="D70" s="9"/>
      <c r="E70" s="9" t="s">
        <v>138</v>
      </c>
      <c r="F70" s="9"/>
      <c r="G70" s="69">
        <v>3272741.9199999995</v>
      </c>
      <c r="H70" s="9"/>
      <c r="I70" s="69">
        <v>1548786.6899999995</v>
      </c>
      <c r="J70" s="69">
        <v>1723955.23</v>
      </c>
      <c r="K70" s="69"/>
      <c r="L70" s="14"/>
    </row>
    <row r="71" spans="1:12" x14ac:dyDescent="0.35">
      <c r="A71" s="9"/>
      <c r="B71" s="9"/>
      <c r="C71" s="119" t="s">
        <v>139</v>
      </c>
      <c r="D71" s="9"/>
      <c r="E71" s="9"/>
      <c r="F71" s="9" t="s">
        <v>140</v>
      </c>
      <c r="G71" s="70"/>
      <c r="H71" s="16"/>
      <c r="I71" s="70"/>
      <c r="J71" s="70"/>
      <c r="K71" s="69">
        <v>0</v>
      </c>
      <c r="L71" s="17"/>
    </row>
    <row r="72" spans="1:12" ht="29" x14ac:dyDescent="0.35">
      <c r="A72" s="9"/>
      <c r="B72" s="9"/>
      <c r="C72" s="119" t="s">
        <v>141</v>
      </c>
      <c r="D72" s="9"/>
      <c r="E72" s="9"/>
      <c r="F72" s="9" t="s">
        <v>142</v>
      </c>
      <c r="G72" s="70">
        <v>2566482.5599999996</v>
      </c>
      <c r="H72" s="16" t="s">
        <v>59</v>
      </c>
      <c r="I72" s="70">
        <v>1548786.6899999995</v>
      </c>
      <c r="J72" s="70">
        <v>1017695.87</v>
      </c>
      <c r="K72" s="69">
        <v>2566482.5599999996</v>
      </c>
      <c r="L72" s="17" t="s">
        <v>290</v>
      </c>
    </row>
    <row r="73" spans="1:12" x14ac:dyDescent="0.35">
      <c r="A73" s="9"/>
      <c r="B73" s="9"/>
      <c r="C73" s="119" t="s">
        <v>143</v>
      </c>
      <c r="D73" s="9"/>
      <c r="E73" s="9"/>
      <c r="F73" s="9" t="s">
        <v>144</v>
      </c>
      <c r="G73" s="70">
        <v>706259.36</v>
      </c>
      <c r="H73" s="16" t="s">
        <v>24</v>
      </c>
      <c r="I73" s="70">
        <v>0</v>
      </c>
      <c r="J73" s="70">
        <v>706259.36</v>
      </c>
      <c r="K73" s="69">
        <v>706259.36</v>
      </c>
      <c r="L73" s="17"/>
    </row>
    <row r="74" spans="1:12" hidden="1" x14ac:dyDescent="0.35">
      <c r="A74" s="9"/>
      <c r="B74" s="9" t="s">
        <v>145</v>
      </c>
      <c r="C74" s="119"/>
      <c r="D74" s="9"/>
      <c r="E74" s="9" t="s">
        <v>127</v>
      </c>
      <c r="F74" s="9"/>
      <c r="G74" s="69"/>
      <c r="H74" s="9"/>
      <c r="I74" s="69"/>
      <c r="J74" s="69"/>
      <c r="K74" s="69"/>
      <c r="L74" s="14"/>
    </row>
    <row r="75" spans="1:12" hidden="1" x14ac:dyDescent="0.35">
      <c r="A75" s="9"/>
      <c r="B75" s="9" t="s">
        <v>146</v>
      </c>
      <c r="C75" s="119"/>
      <c r="D75" s="9"/>
      <c r="E75" s="9" t="s">
        <v>127</v>
      </c>
      <c r="F75" s="9"/>
      <c r="G75" s="69"/>
      <c r="H75" s="9"/>
      <c r="I75" s="69"/>
      <c r="J75" s="69"/>
      <c r="K75" s="69"/>
      <c r="L75" s="14"/>
    </row>
    <row r="76" spans="1:12" s="7" customFormat="1" x14ac:dyDescent="0.35">
      <c r="A76" s="4" t="s">
        <v>147</v>
      </c>
      <c r="B76" s="4"/>
      <c r="C76" s="122"/>
      <c r="D76" s="4"/>
      <c r="E76" s="4"/>
      <c r="F76" s="4"/>
      <c r="G76" s="138">
        <v>15432070.33</v>
      </c>
      <c r="H76" s="88"/>
      <c r="I76" s="138">
        <v>7667498.4199999999</v>
      </c>
      <c r="J76" s="138">
        <v>7764571.9100000001</v>
      </c>
      <c r="K76" s="69">
        <v>15432070.33</v>
      </c>
      <c r="L76" s="25"/>
    </row>
    <row r="77" spans="1:12" x14ac:dyDescent="0.35">
      <c r="F77" s="139" t="s">
        <v>200</v>
      </c>
      <c r="G77" s="140">
        <v>15432070.33</v>
      </c>
      <c r="H77" s="13"/>
      <c r="I77" s="89">
        <v>0.49685481312862834</v>
      </c>
      <c r="J77" s="89">
        <v>0.50314518687137166</v>
      </c>
      <c r="K77" s="27"/>
    </row>
    <row r="79" spans="1:12" x14ac:dyDescent="0.35">
      <c r="F79" s="142" t="s">
        <v>201</v>
      </c>
    </row>
    <row r="80" spans="1:12" hidden="1" x14ac:dyDescent="0.35">
      <c r="H80" t="s">
        <v>15</v>
      </c>
    </row>
    <row r="81" spans="3:11" hidden="1" x14ac:dyDescent="0.35">
      <c r="C81"/>
      <c r="H81" t="s">
        <v>24</v>
      </c>
    </row>
    <row r="82" spans="3:11" hidden="1" x14ac:dyDescent="0.35">
      <c r="C82"/>
      <c r="H82" t="s">
        <v>59</v>
      </c>
    </row>
    <row r="83" spans="3:11" x14ac:dyDescent="0.35">
      <c r="C83"/>
      <c r="H83" s="139" t="s">
        <v>202</v>
      </c>
      <c r="I83" s="69">
        <v>80836288.116442546</v>
      </c>
      <c r="J83" s="161">
        <v>9.4852183328298922E-2</v>
      </c>
      <c r="K83" s="142" t="s">
        <v>203</v>
      </c>
    </row>
    <row r="97" customFormat="1" x14ac:dyDescent="0.35"/>
    <row r="98" customFormat="1" x14ac:dyDescent="0.35"/>
    <row r="99" customFormat="1" x14ac:dyDescent="0.35"/>
    <row r="100" customFormat="1" x14ac:dyDescent="0.35"/>
    <row r="101" customFormat="1" x14ac:dyDescent="0.35"/>
    <row r="102" customFormat="1" x14ac:dyDescent="0.35"/>
    <row r="103" customFormat="1" x14ac:dyDescent="0.35"/>
    <row r="104" customFormat="1" x14ac:dyDescent="0.35"/>
    <row r="105" customFormat="1" x14ac:dyDescent="0.35"/>
    <row r="106" customFormat="1" x14ac:dyDescent="0.35"/>
    <row r="107" customFormat="1" x14ac:dyDescent="0.35"/>
    <row r="108" customFormat="1" x14ac:dyDescent="0.35"/>
    <row r="109" customFormat="1" x14ac:dyDescent="0.35"/>
  </sheetData>
  <conditionalFormatting sqref="G76">
    <cfRule type="cellIs" dxfId="55" priority="1" operator="notEqual">
      <formula>$G$77</formula>
    </cfRule>
    <cfRule type="cellIs" dxfId="54" priority="2" operator="equal">
      <formula>$G$77</formula>
    </cfRule>
  </conditionalFormatting>
  <conditionalFormatting sqref="K9:K24">
    <cfRule type="cellIs" dxfId="53" priority="13" operator="notEqual">
      <formula>G9</formula>
    </cfRule>
    <cfRule type="cellIs" dxfId="52" priority="14" operator="equal">
      <formula>G9</formula>
    </cfRule>
  </conditionalFormatting>
  <conditionalFormatting sqref="K26:K41">
    <cfRule type="cellIs" dxfId="51" priority="11" operator="notEqual">
      <formula>G26</formula>
    </cfRule>
    <cfRule type="cellIs" dxfId="50" priority="12" operator="equal">
      <formula>G26</formula>
    </cfRule>
  </conditionalFormatting>
  <conditionalFormatting sqref="K43:K63">
    <cfRule type="cellIs" dxfId="49" priority="9" operator="notEqual">
      <formula>G43</formula>
    </cfRule>
    <cfRule type="cellIs" dxfId="48" priority="10" operator="equal">
      <formula>G43</formula>
    </cfRule>
  </conditionalFormatting>
  <conditionalFormatting sqref="K67:K69">
    <cfRule type="cellIs" dxfId="47" priority="7" operator="notEqual">
      <formula>G67</formula>
    </cfRule>
    <cfRule type="cellIs" dxfId="46" priority="8" operator="equal">
      <formula>G67</formula>
    </cfRule>
  </conditionalFormatting>
  <conditionalFormatting sqref="K71:K73">
    <cfRule type="cellIs" dxfId="45" priority="5" operator="notEqual">
      <formula>G71</formula>
    </cfRule>
    <cfRule type="cellIs" dxfId="44" priority="6" operator="equal">
      <formula>G71</formula>
    </cfRule>
  </conditionalFormatting>
  <conditionalFormatting sqref="K76">
    <cfRule type="cellIs" dxfId="43" priority="3" operator="notEqual">
      <formula>G76</formula>
    </cfRule>
    <cfRule type="cellIs" dxfId="42" priority="4" operator="equal">
      <formula>G76</formula>
    </cfRule>
  </conditionalFormatting>
  <dataValidations count="1">
    <dataValidation type="list" allowBlank="1" showInputMessage="1" showErrorMessage="1" sqref="H9:H75" xr:uid="{03EA2A68-B758-4202-8926-29D366BA90CF}">
      <formula1>$H$80:$H$82</formula1>
    </dataValidation>
  </dataValidations>
  <pageMargins left="0.7" right="0.7" top="0.75" bottom="0.75" header="0.3" footer="0.3"/>
  <pageSetup scale="39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K74"/>
  <sheetViews>
    <sheetView zoomScale="90" zoomScaleNormal="90" workbookViewId="0">
      <selection activeCell="G6" sqref="G6"/>
    </sheetView>
  </sheetViews>
  <sheetFormatPr defaultColWidth="9.1796875" defaultRowHeight="15.5" x14ac:dyDescent="0.35"/>
  <cols>
    <col min="1" max="1" width="9.1796875" style="29"/>
    <col min="2" max="2" width="45.1796875" style="29" customWidth="1"/>
    <col min="3" max="3" width="26.1796875" style="29" customWidth="1"/>
    <col min="4" max="4" width="3.81640625" style="29" bestFit="1" customWidth="1"/>
    <col min="5" max="5" width="41.1796875" style="29" bestFit="1" customWidth="1"/>
    <col min="6" max="6" width="23.54296875" style="29" customWidth="1"/>
    <col min="7" max="7" width="17.1796875" style="29" customWidth="1"/>
    <col min="8" max="8" width="3.81640625" style="29" bestFit="1" customWidth="1"/>
    <col min="9" max="9" width="41.1796875" style="29" bestFit="1" customWidth="1"/>
    <col min="10" max="10" width="16.81640625" style="29" bestFit="1" customWidth="1"/>
    <col min="11" max="11" width="9.1796875" style="29"/>
    <col min="12" max="12" width="41.1796875" style="29" bestFit="1" customWidth="1"/>
    <col min="13" max="13" width="22.1796875" style="29" customWidth="1"/>
    <col min="14" max="16384" width="9.1796875" style="29"/>
  </cols>
  <sheetData>
    <row r="1" spans="1:11" x14ac:dyDescent="0.35">
      <c r="B1" s="110" t="s">
        <v>174</v>
      </c>
      <c r="C1" s="107"/>
      <c r="D1" s="107"/>
      <c r="E1" s="107"/>
      <c r="F1" s="107"/>
    </row>
    <row r="2" spans="1:11" x14ac:dyDescent="0.35">
      <c r="B2" s="111" t="s">
        <v>271</v>
      </c>
      <c r="C2" s="107"/>
      <c r="D2" s="107"/>
      <c r="E2" s="107"/>
      <c r="F2" s="107"/>
    </row>
    <row r="3" spans="1:11" x14ac:dyDescent="0.35">
      <c r="B3" s="108" t="s">
        <v>176</v>
      </c>
      <c r="C3" s="107"/>
      <c r="D3" s="107"/>
      <c r="E3" s="107"/>
      <c r="F3" s="107"/>
    </row>
    <row r="5" spans="1:11" x14ac:dyDescent="0.35">
      <c r="C5" s="29" t="s">
        <v>192</v>
      </c>
    </row>
    <row r="6" spans="1:11" ht="91" x14ac:dyDescent="0.35">
      <c r="B6" s="30" t="s">
        <v>175</v>
      </c>
      <c r="C6" s="56" t="s">
        <v>178</v>
      </c>
      <c r="D6" s="31"/>
      <c r="E6" s="30" t="s">
        <v>175</v>
      </c>
      <c r="F6" s="31" t="s">
        <v>193</v>
      </c>
      <c r="G6" s="56" t="s">
        <v>194</v>
      </c>
      <c r="H6" s="31"/>
      <c r="I6" s="30" t="s">
        <v>175</v>
      </c>
      <c r="J6" s="56" t="s">
        <v>193</v>
      </c>
      <c r="K6" s="31" t="s">
        <v>206</v>
      </c>
    </row>
    <row r="7" spans="1:11" x14ac:dyDescent="0.35">
      <c r="A7" s="29">
        <v>23</v>
      </c>
      <c r="B7" s="32" t="s">
        <v>167</v>
      </c>
      <c r="C7" s="35">
        <f>'Summary Analytics'!D29</f>
        <v>0.27058744868048878</v>
      </c>
      <c r="D7" s="29">
        <v>27</v>
      </c>
      <c r="E7" s="32" t="s">
        <v>171</v>
      </c>
      <c r="F7" s="35">
        <f>'Summary Analytics'!E33</f>
        <v>5.8285629738772375E-2</v>
      </c>
      <c r="G7" s="53">
        <f>'Summary Analytics'!G33</f>
        <v>440.65059650997148</v>
      </c>
      <c r="H7" s="29">
        <v>3</v>
      </c>
      <c r="I7" s="62" t="s">
        <v>149</v>
      </c>
      <c r="J7" s="35">
        <f>CENTRAL!J83</f>
        <v>4.1699362057483168E-2</v>
      </c>
      <c r="K7" s="74">
        <f>'Summary Analytics'!J9</f>
        <v>-7.4872673113691099E-3</v>
      </c>
    </row>
    <row r="8" spans="1:11" x14ac:dyDescent="0.35">
      <c r="A8" s="29">
        <v>12</v>
      </c>
      <c r="B8" s="32" t="s">
        <v>157</v>
      </c>
      <c r="C8" s="35">
        <f>'Summary Analytics'!D18</f>
        <v>0.37331718223461979</v>
      </c>
      <c r="D8" s="29">
        <v>1</v>
      </c>
      <c r="E8" s="32" t="s">
        <v>196</v>
      </c>
      <c r="F8" s="35">
        <f>'Summary Analytics'!E7</f>
        <v>5.1949324296112674E-2</v>
      </c>
      <c r="G8" s="53">
        <f>'Summary Analytics'!G7</f>
        <v>448.72940815060895</v>
      </c>
      <c r="H8" s="29">
        <v>1</v>
      </c>
      <c r="I8" s="62" t="s">
        <v>196</v>
      </c>
      <c r="J8" s="35">
        <f>EASTERN!J83</f>
        <v>5.1949324296112674E-2</v>
      </c>
      <c r="K8" s="74">
        <f>'Summary Analytics'!J7</f>
        <v>9.6237752249773989E-4</v>
      </c>
    </row>
    <row r="9" spans="1:11" x14ac:dyDescent="0.35">
      <c r="A9" s="29">
        <v>11</v>
      </c>
      <c r="B9" s="32" t="s">
        <v>156</v>
      </c>
      <c r="C9" s="35">
        <f>'Summary Analytics'!D17</f>
        <v>0.38829287358039033</v>
      </c>
      <c r="D9" s="29">
        <v>28</v>
      </c>
      <c r="E9" s="32" t="s">
        <v>172</v>
      </c>
      <c r="F9" s="35">
        <f>'Summary Analytics'!E34</f>
        <v>6.8446644694009851E-2</v>
      </c>
      <c r="G9" s="53">
        <f>'Summary Analytics'!G34</f>
        <v>519.94555897701855</v>
      </c>
      <c r="H9" s="29">
        <v>7</v>
      </c>
      <c r="I9" s="62" t="s">
        <v>152</v>
      </c>
      <c r="J9" s="35">
        <f>'FSC JAX'!J83</f>
        <v>5.7913633807964687E-2</v>
      </c>
      <c r="K9" s="74">
        <f>'Summary Analytics'!J13</f>
        <v>1.618046174695853E-3</v>
      </c>
    </row>
    <row r="10" spans="1:11" x14ac:dyDescent="0.35">
      <c r="A10" s="29">
        <v>10</v>
      </c>
      <c r="B10" s="32" t="s">
        <v>155</v>
      </c>
      <c r="C10" s="35">
        <f>'Summary Analytics'!D16</f>
        <v>0.43480451091584349</v>
      </c>
      <c r="D10" s="29">
        <v>24</v>
      </c>
      <c r="E10" s="32" t="s">
        <v>168</v>
      </c>
      <c r="F10" s="35">
        <f>'Summary Analytics'!E30</f>
        <v>5.9868322069720904E-2</v>
      </c>
      <c r="G10" s="53">
        <f>'Summary Analytics'!G30</f>
        <v>540.74650532025873</v>
      </c>
      <c r="H10" s="29">
        <v>27</v>
      </c>
      <c r="I10" s="62" t="s">
        <v>171</v>
      </c>
      <c r="J10" s="35">
        <f>TALLAHASSEE!J83</f>
        <v>5.8285629738772375E-2</v>
      </c>
      <c r="K10" s="74">
        <f>'Summary Analytics'!J33</f>
        <v>-2.3389464868909492E-2</v>
      </c>
    </row>
    <row r="11" spans="1:11" x14ac:dyDescent="0.35">
      <c r="A11" s="29">
        <v>6</v>
      </c>
      <c r="B11" s="32" t="s">
        <v>207</v>
      </c>
      <c r="C11" s="35">
        <f>'Summary Analytics'!D12</f>
        <v>0.44851505561280497</v>
      </c>
      <c r="D11" s="29">
        <v>3</v>
      </c>
      <c r="E11" s="32" t="s">
        <v>149</v>
      </c>
      <c r="F11" s="35">
        <f>'Summary Analytics'!E9</f>
        <v>4.1699362057483168E-2</v>
      </c>
      <c r="G11" s="53">
        <f>'Summary Analytics'!G9</f>
        <v>554.8046655767306</v>
      </c>
      <c r="H11" s="29">
        <v>19</v>
      </c>
      <c r="I11" s="62" t="s">
        <v>208</v>
      </c>
      <c r="J11" s="35">
        <f>PASCO!J83</f>
        <v>5.8836114580114972E-2</v>
      </c>
      <c r="K11" s="74">
        <f>'Summary Analytics'!J25</f>
        <v>-7.1616566612128091E-4</v>
      </c>
    </row>
    <row r="12" spans="1:11" x14ac:dyDescent="0.35">
      <c r="A12" s="29">
        <v>26</v>
      </c>
      <c r="B12" s="32" t="s">
        <v>170</v>
      </c>
      <c r="C12" s="35">
        <f>'Summary Analytics'!D32</f>
        <v>0.45804961580049397</v>
      </c>
      <c r="D12" s="29">
        <v>19</v>
      </c>
      <c r="E12" s="32" t="s">
        <v>208</v>
      </c>
      <c r="F12" s="35">
        <f>'Summary Analytics'!E25</f>
        <v>5.8836114580114972E-2</v>
      </c>
      <c r="G12" s="53">
        <f>'Summary Analytics'!G25</f>
        <v>558.64412266322245</v>
      </c>
      <c r="H12" s="29">
        <v>24</v>
      </c>
      <c r="I12" s="62" t="s">
        <v>168</v>
      </c>
      <c r="J12" s="35">
        <f>'SANTA FE'!J83</f>
        <v>5.9868322069720904E-2</v>
      </c>
      <c r="K12" s="74">
        <f>'Summary Analytics'!J30</f>
        <v>-3.427424347136656E-2</v>
      </c>
    </row>
    <row r="13" spans="1:11" x14ac:dyDescent="0.35">
      <c r="A13" s="29">
        <v>5</v>
      </c>
      <c r="B13" s="32" t="s">
        <v>151</v>
      </c>
      <c r="C13" s="35">
        <f>'Summary Analytics'!D11</f>
        <v>0.46630067833936972</v>
      </c>
      <c r="D13" s="29">
        <v>7</v>
      </c>
      <c r="E13" s="32" t="s">
        <v>152</v>
      </c>
      <c r="F13" s="35">
        <f>'Summary Analytics'!E13</f>
        <v>5.7913633807964687E-2</v>
      </c>
      <c r="G13" s="53">
        <f>'Summary Analytics'!G13</f>
        <v>563.49142857142863</v>
      </c>
      <c r="H13" s="29">
        <v>28</v>
      </c>
      <c r="I13" s="62" t="s">
        <v>172</v>
      </c>
      <c r="J13" s="35">
        <f>VALENCIA!J83</f>
        <v>6.8446644694009851E-2</v>
      </c>
      <c r="K13" s="74">
        <f>'Summary Analytics'!J34</f>
        <v>6.8580323439950686E-3</v>
      </c>
    </row>
    <row r="14" spans="1:11" x14ac:dyDescent="0.35">
      <c r="A14" s="29">
        <v>25</v>
      </c>
      <c r="B14" s="32" t="s">
        <v>169</v>
      </c>
      <c r="C14" s="35">
        <f>'Summary Analytics'!D31</f>
        <v>0.50314518687137166</v>
      </c>
      <c r="D14" s="29">
        <v>18</v>
      </c>
      <c r="E14" s="32" t="s">
        <v>163</v>
      </c>
      <c r="F14" s="35">
        <f>'Summary Analytics'!E24</f>
        <v>7.1085681573166776E-2</v>
      </c>
      <c r="G14" s="53">
        <f>'Summary Analytics'!G24</f>
        <v>597.90954202810713</v>
      </c>
      <c r="H14" s="29">
        <v>18</v>
      </c>
      <c r="I14" s="62" t="s">
        <v>163</v>
      </c>
      <c r="J14" s="35">
        <f>'PALM BEACH'!J83</f>
        <v>7.1085681573166776E-2</v>
      </c>
      <c r="K14" s="74">
        <f>'Summary Analytics'!J24</f>
        <v>-3.1233325446032578E-2</v>
      </c>
    </row>
    <row r="15" spans="1:11" x14ac:dyDescent="0.35">
      <c r="A15" s="29">
        <v>21</v>
      </c>
      <c r="B15" s="32" t="s">
        <v>165</v>
      </c>
      <c r="C15" s="35">
        <f>'Summary Analytics'!D27</f>
        <v>0.51760441430176629</v>
      </c>
      <c r="D15" s="29">
        <v>14</v>
      </c>
      <c r="E15" s="32" t="s">
        <v>159</v>
      </c>
      <c r="F15" s="35">
        <f>'Summary Analytics'!E20</f>
        <v>7.8337931724061449E-2</v>
      </c>
      <c r="G15" s="53">
        <f>'Summary Analytics'!G20</f>
        <v>629.00727590673569</v>
      </c>
      <c r="H15" s="29">
        <v>15</v>
      </c>
      <c r="I15" s="62" t="s">
        <v>160</v>
      </c>
      <c r="J15" s="35">
        <f>MIAMI!J83</f>
        <v>7.5497145183777953E-2</v>
      </c>
      <c r="K15" s="74">
        <f>'Summary Analytics'!J21</f>
        <v>-7.0891856213964322E-3</v>
      </c>
    </row>
    <row r="16" spans="1:11" x14ac:dyDescent="0.35">
      <c r="A16" s="29">
        <v>28</v>
      </c>
      <c r="B16" s="32" t="s">
        <v>172</v>
      </c>
      <c r="C16" s="35">
        <f>'Summary Analytics'!D34</f>
        <v>0.53580030649957056</v>
      </c>
      <c r="D16" s="29">
        <v>2</v>
      </c>
      <c r="E16" s="32" t="s">
        <v>148</v>
      </c>
      <c r="F16" s="35">
        <f>'Summary Analytics'!E8</f>
        <v>8.0543035004379135E-2</v>
      </c>
      <c r="G16" s="53">
        <f>'Summary Analytics'!G8</f>
        <v>642.74678272967412</v>
      </c>
      <c r="H16" s="29">
        <v>9</v>
      </c>
      <c r="I16" s="62" t="s">
        <v>154</v>
      </c>
      <c r="J16" s="35">
        <f>'GULF COAST'!J83</f>
        <v>7.8229712474737367E-2</v>
      </c>
      <c r="K16" s="74">
        <f>'Summary Analytics'!J15</f>
        <v>-5.1096187552427119E-3</v>
      </c>
    </row>
    <row r="17" spans="1:11" x14ac:dyDescent="0.35">
      <c r="A17" s="29">
        <v>22</v>
      </c>
      <c r="B17" s="32" t="s">
        <v>166</v>
      </c>
      <c r="C17" s="35">
        <f>'Summary Analytics'!D28</f>
        <v>0.55456758642517401</v>
      </c>
      <c r="D17" s="29">
        <v>11</v>
      </c>
      <c r="E17" s="32" t="s">
        <v>156</v>
      </c>
      <c r="F17" s="35">
        <f>'Summary Analytics'!E17</f>
        <v>8.2080358032143017E-2</v>
      </c>
      <c r="G17" s="53">
        <f>'Summary Analytics'!G17</f>
        <v>653.13108669862368</v>
      </c>
      <c r="H17" s="29">
        <v>14</v>
      </c>
      <c r="I17" s="62" t="s">
        <v>159</v>
      </c>
      <c r="J17" s="35">
        <f>'SCF MANATEE'!J83</f>
        <v>7.8337931724061449E-2</v>
      </c>
      <c r="K17" s="74">
        <f>'Summary Analytics'!J20</f>
        <v>-5.5080350606759865E-3</v>
      </c>
    </row>
    <row r="18" spans="1:11" x14ac:dyDescent="0.35">
      <c r="A18" s="29">
        <v>16</v>
      </c>
      <c r="B18" s="32" t="s">
        <v>254</v>
      </c>
      <c r="C18" s="35">
        <f>'Summary Analytics'!D22</f>
        <v>0.56455755635348992</v>
      </c>
      <c r="D18" s="29">
        <v>15</v>
      </c>
      <c r="E18" s="32" t="s">
        <v>160</v>
      </c>
      <c r="F18" s="35">
        <f>'Summary Analytics'!E21</f>
        <v>7.5497145183777953E-2</v>
      </c>
      <c r="G18" s="53">
        <f>'Summary Analytics'!G21</f>
        <v>671.01620422088706</v>
      </c>
      <c r="I18" s="42" t="s">
        <v>177</v>
      </c>
      <c r="J18" s="35">
        <f>'System Summary'!I83</f>
        <v>8.0287711868317582E-2</v>
      </c>
      <c r="K18" s="74">
        <f>'Summary Analytics'!J35</f>
        <v>-2.8421141144594209E-3</v>
      </c>
    </row>
    <row r="19" spans="1:11" x14ac:dyDescent="0.35">
      <c r="A19" s="29">
        <v>18</v>
      </c>
      <c r="B19" s="32" t="s">
        <v>163</v>
      </c>
      <c r="C19" s="35">
        <f>'Summary Analytics'!D24</f>
        <v>0.58144108022801111</v>
      </c>
      <c r="D19" s="29">
        <v>6</v>
      </c>
      <c r="E19" s="32" t="s">
        <v>207</v>
      </c>
      <c r="F19" s="35">
        <f>'Summary Analytics'!E12</f>
        <v>8.4315652530825541E-2</v>
      </c>
      <c r="G19" s="53">
        <f>'Summary Analytics'!G12</f>
        <v>675.77666365781772</v>
      </c>
      <c r="H19" s="29">
        <v>2</v>
      </c>
      <c r="I19" s="62" t="s">
        <v>148</v>
      </c>
      <c r="J19" s="35">
        <f>BROWARD!J83</f>
        <v>8.0543035004379135E-2</v>
      </c>
      <c r="K19" s="74">
        <f>'Summary Analytics'!J8</f>
        <v>-1.188377901024941E-2</v>
      </c>
    </row>
    <row r="20" spans="1:11" x14ac:dyDescent="0.35">
      <c r="A20" s="29">
        <v>4</v>
      </c>
      <c r="B20" s="32" t="s">
        <v>150</v>
      </c>
      <c r="C20" s="35">
        <f>'Summary Analytics'!D10</f>
        <v>0.58257804950021252</v>
      </c>
      <c r="D20" s="29">
        <v>10</v>
      </c>
      <c r="E20" s="32" t="s">
        <v>155</v>
      </c>
      <c r="F20" s="35">
        <f>'Summary Analytics'!E16</f>
        <v>0.10630948756063963</v>
      </c>
      <c r="G20" s="53">
        <f>'Summary Analytics'!G16</f>
        <v>686.52947392074589</v>
      </c>
      <c r="H20" s="29">
        <v>11</v>
      </c>
      <c r="I20" s="62" t="s">
        <v>156</v>
      </c>
      <c r="J20" s="35">
        <f>'INDIAN RIVER'!J83</f>
        <v>8.2080358032143017E-2</v>
      </c>
      <c r="K20" s="74">
        <f>'Summary Analytics'!J17</f>
        <v>1.7919503264597944E-2</v>
      </c>
    </row>
    <row r="21" spans="1:11" x14ac:dyDescent="0.35">
      <c r="A21" s="29">
        <v>2</v>
      </c>
      <c r="B21" s="32" t="s">
        <v>148</v>
      </c>
      <c r="C21" s="35">
        <f>'Summary Analytics'!D8</f>
        <v>0.59402397633046078</v>
      </c>
      <c r="E21" s="42" t="s">
        <v>177</v>
      </c>
      <c r="F21" s="35">
        <f>'Summary Analytics'!E35</f>
        <v>8.0287711868317582E-2</v>
      </c>
      <c r="G21" s="53">
        <f>'Summary Analytics'!G35</f>
        <v>696.5918819346939</v>
      </c>
      <c r="H21" s="29">
        <v>16</v>
      </c>
      <c r="I21" s="62" t="s">
        <v>254</v>
      </c>
      <c r="J21" s="35">
        <f>'NORTH FLORIDA'!J83</f>
        <v>8.409735351110155E-2</v>
      </c>
      <c r="K21" s="74">
        <f>'Summary Analytics'!J22</f>
        <v>-6.485954125989471E-3</v>
      </c>
    </row>
    <row r="22" spans="1:11" x14ac:dyDescent="0.35">
      <c r="B22" s="42" t="s">
        <v>177</v>
      </c>
      <c r="C22" s="35">
        <f>'Summary Analytics'!D35</f>
        <v>0.59718906546750372</v>
      </c>
      <c r="D22" s="29">
        <v>25</v>
      </c>
      <c r="E22" s="32" t="s">
        <v>169</v>
      </c>
      <c r="F22" s="35">
        <f>'Summary Analytics'!E31</f>
        <v>9.4852183328298922E-2</v>
      </c>
      <c r="G22" s="53">
        <f>'Summary Analytics'!G31</f>
        <v>757.35859541683124</v>
      </c>
      <c r="H22" s="29">
        <v>6</v>
      </c>
      <c r="I22" s="62" t="s">
        <v>207</v>
      </c>
      <c r="J22" s="35">
        <f>SOUTHWESTERN!J83</f>
        <v>8.4315652530825541E-2</v>
      </c>
      <c r="K22" s="74">
        <f>'Summary Analytics'!J12</f>
        <v>-1.61241614047547E-3</v>
      </c>
    </row>
    <row r="23" spans="1:11" x14ac:dyDescent="0.35">
      <c r="A23" s="29">
        <v>9</v>
      </c>
      <c r="B23" s="32" t="s">
        <v>154</v>
      </c>
      <c r="C23" s="35">
        <f>'Summary Analytics'!D15</f>
        <v>0.60588790404704951</v>
      </c>
      <c r="D23" s="29">
        <v>5</v>
      </c>
      <c r="E23" s="32" t="s">
        <v>151</v>
      </c>
      <c r="F23" s="35">
        <f>'Summary Analytics'!E11</f>
        <v>9.8498158837962355E-2</v>
      </c>
      <c r="G23" s="53">
        <f>'Summary Analytics'!G11</f>
        <v>831.86969924657251</v>
      </c>
      <c r="H23" s="29">
        <v>20</v>
      </c>
      <c r="I23" s="62" t="s">
        <v>164</v>
      </c>
      <c r="J23" s="35">
        <f>PENSACOLA!J83</f>
        <v>8.6414624620146208E-2</v>
      </c>
      <c r="K23" s="74">
        <f>'Summary Analytics'!J26</f>
        <v>1.5709559845404161E-2</v>
      </c>
    </row>
    <row r="24" spans="1:11" x14ac:dyDescent="0.35">
      <c r="A24" s="29">
        <v>17</v>
      </c>
      <c r="B24" s="32" t="s">
        <v>162</v>
      </c>
      <c r="C24" s="35">
        <f>'Summary Analytics'!D23</f>
        <v>0.60768186917667066</v>
      </c>
      <c r="D24" s="29">
        <v>9</v>
      </c>
      <c r="E24" s="32" t="s">
        <v>154</v>
      </c>
      <c r="F24" s="35">
        <f>'Summary Analytics'!E15</f>
        <v>7.8229712474737367E-2</v>
      </c>
      <c r="G24" s="53">
        <f>'Summary Analytics'!G15</f>
        <v>866.79102348727372</v>
      </c>
      <c r="H24" s="29">
        <v>21</v>
      </c>
      <c r="I24" s="62" t="s">
        <v>165</v>
      </c>
      <c r="J24" s="35">
        <f>POLK!J83</f>
        <v>9.2169067664580023E-2</v>
      </c>
      <c r="K24" s="74">
        <f>'Summary Analytics'!J27</f>
        <v>1.9559066604975112E-3</v>
      </c>
    </row>
    <row r="25" spans="1:11" x14ac:dyDescent="0.35">
      <c r="A25" s="29">
        <v>13</v>
      </c>
      <c r="B25" s="32" t="s">
        <v>209</v>
      </c>
      <c r="C25" s="35">
        <f>'Summary Analytics'!D19</f>
        <v>0.63014874731294734</v>
      </c>
      <c r="D25" s="29">
        <v>20</v>
      </c>
      <c r="E25" s="32" t="s">
        <v>164</v>
      </c>
      <c r="F25" s="35">
        <f>'Summary Analytics'!E26</f>
        <v>8.6414624620146208E-2</v>
      </c>
      <c r="G25" s="53">
        <f>'Summary Analytics'!G26</f>
        <v>930.29665783648443</v>
      </c>
      <c r="H25" s="29">
        <v>25</v>
      </c>
      <c r="I25" s="62" t="s">
        <v>169</v>
      </c>
      <c r="J25" s="35">
        <f>SEMINOLE!J83</f>
        <v>9.4852183328298922E-2</v>
      </c>
      <c r="K25" s="74">
        <f>'Summary Analytics'!J31</f>
        <v>1.8021793484471194E-4</v>
      </c>
    </row>
    <row r="26" spans="1:11" x14ac:dyDescent="0.35">
      <c r="A26" s="29">
        <v>8</v>
      </c>
      <c r="B26" s="32" t="s">
        <v>255</v>
      </c>
      <c r="C26" s="35">
        <f>'Summary Analytics'!D14</f>
        <v>0.66429356011484575</v>
      </c>
      <c r="D26" s="29">
        <v>22</v>
      </c>
      <c r="E26" s="32" t="s">
        <v>166</v>
      </c>
      <c r="F26" s="35">
        <f>'Summary Analytics'!E28</f>
        <v>9.687141417589723E-2</v>
      </c>
      <c r="G26" s="53">
        <f>'Summary Analytics'!G28</f>
        <v>949.02663699936443</v>
      </c>
      <c r="H26" s="29">
        <v>22</v>
      </c>
      <c r="I26" s="62" t="s">
        <v>166</v>
      </c>
      <c r="J26" s="35">
        <f>'ST JOHNS'!J83</f>
        <v>9.687141417589723E-2</v>
      </c>
      <c r="K26" s="74">
        <f>'Summary Analytics'!J28</f>
        <v>-1.223366821303265E-3</v>
      </c>
    </row>
    <row r="27" spans="1:11" x14ac:dyDescent="0.35">
      <c r="A27" s="29">
        <v>7</v>
      </c>
      <c r="B27" s="32" t="s">
        <v>152</v>
      </c>
      <c r="C27" s="35">
        <f>'Summary Analytics'!D13</f>
        <v>0.66704936303997941</v>
      </c>
      <c r="D27" s="29">
        <v>13</v>
      </c>
      <c r="E27" s="32" t="s">
        <v>209</v>
      </c>
      <c r="F27" s="35">
        <f>'Summary Analytics'!E19</f>
        <v>0.10055996549754094</v>
      </c>
      <c r="G27" s="53">
        <f>'Summary Analytics'!G19</f>
        <v>997.54975945910803</v>
      </c>
      <c r="H27" s="29">
        <v>5</v>
      </c>
      <c r="I27" s="62" t="s">
        <v>151</v>
      </c>
      <c r="J27" s="35">
        <f>DAYTONA!J83</f>
        <v>9.8498158837962355E-2</v>
      </c>
      <c r="K27" s="74">
        <f>'Summary Analytics'!J11</f>
        <v>3.1118199547663233E-3</v>
      </c>
    </row>
    <row r="28" spans="1:11" x14ac:dyDescent="0.35">
      <c r="A28" s="29">
        <v>15</v>
      </c>
      <c r="B28" s="32" t="s">
        <v>160</v>
      </c>
      <c r="C28" s="35">
        <f>'Summary Analytics'!D21</f>
        <v>0.67308277324708554</v>
      </c>
      <c r="D28" s="29">
        <v>21</v>
      </c>
      <c r="E28" s="32" t="s">
        <v>165</v>
      </c>
      <c r="F28" s="35">
        <f>'Summary Analytics'!E27</f>
        <v>9.2169067664580023E-2</v>
      </c>
      <c r="G28" s="53">
        <f>'Summary Analytics'!G27</f>
        <v>1016.687796701603</v>
      </c>
      <c r="H28" s="29">
        <v>13</v>
      </c>
      <c r="I28" s="62" t="s">
        <v>209</v>
      </c>
      <c r="J28" s="35">
        <f>'LAKE SUMTER'!J83</f>
        <v>0.10055996549754094</v>
      </c>
      <c r="K28" s="74">
        <f>'Summary Analytics'!J19</f>
        <v>-1.7269125272488847E-2</v>
      </c>
    </row>
    <row r="29" spans="1:11" x14ac:dyDescent="0.35">
      <c r="A29" s="29">
        <v>20</v>
      </c>
      <c r="B29" s="32" t="s">
        <v>164</v>
      </c>
      <c r="C29" s="35">
        <f>'Summary Analytics'!D26</f>
        <v>0.6767472071322902</v>
      </c>
      <c r="D29" s="29">
        <v>23</v>
      </c>
      <c r="E29" s="32" t="s">
        <v>167</v>
      </c>
      <c r="F29" s="35">
        <f>'Summary Analytics'!E29</f>
        <v>0.12033330180420142</v>
      </c>
      <c r="G29" s="53">
        <f>'Summary Analytics'!G29</f>
        <v>1103.2905506981688</v>
      </c>
      <c r="H29" s="29">
        <v>26</v>
      </c>
      <c r="I29" s="62" t="s">
        <v>170</v>
      </c>
      <c r="J29" s="35">
        <f>'SOUTH FLORIDA'!J83</f>
        <v>0.10409835160241512</v>
      </c>
      <c r="K29" s="74">
        <f>'Summary Analytics'!J32</f>
        <v>-7.5487993292488176E-3</v>
      </c>
    </row>
    <row r="30" spans="1:11" x14ac:dyDescent="0.35">
      <c r="A30" s="29">
        <v>24</v>
      </c>
      <c r="B30" s="32" t="s">
        <v>168</v>
      </c>
      <c r="C30" s="35">
        <f>'Summary Analytics'!D30</f>
        <v>0.68368628842288159</v>
      </c>
      <c r="D30" s="29">
        <v>17</v>
      </c>
      <c r="E30" s="32" t="s">
        <v>162</v>
      </c>
      <c r="F30" s="35">
        <f>'Summary Analytics'!E23</f>
        <v>0.1071230930945356</v>
      </c>
      <c r="G30" s="53">
        <f>'Summary Analytics'!G23</f>
        <v>1157.5560468302403</v>
      </c>
      <c r="H30" s="29">
        <v>4</v>
      </c>
      <c r="I30" s="62" t="s">
        <v>150</v>
      </c>
      <c r="J30" s="35">
        <f>CHIPOLA!J83</f>
        <v>0.10526786585424569</v>
      </c>
      <c r="K30" s="74">
        <f>'Summary Analytics'!J10</f>
        <v>-2.4153949504311933E-3</v>
      </c>
    </row>
    <row r="31" spans="1:11" x14ac:dyDescent="0.35">
      <c r="A31" s="29">
        <v>1</v>
      </c>
      <c r="B31" s="32" t="s">
        <v>196</v>
      </c>
      <c r="C31" s="35">
        <f>'Summary Analytics'!D7</f>
        <v>0.70479994253071865</v>
      </c>
      <c r="D31" s="29">
        <v>16</v>
      </c>
      <c r="E31" s="32" t="s">
        <v>254</v>
      </c>
      <c r="F31" s="35">
        <f>'Summary Analytics'!E22</f>
        <v>8.409735351110155E-2</v>
      </c>
      <c r="G31" s="53">
        <f>'Summary Analytics'!G22</f>
        <v>1264.8304974672035</v>
      </c>
      <c r="H31" s="29">
        <v>10</v>
      </c>
      <c r="I31" s="62" t="s">
        <v>155</v>
      </c>
      <c r="J31" s="35">
        <f>HILLSBOROUGH!J83</f>
        <v>0.10630948756063963</v>
      </c>
      <c r="K31" s="74">
        <f>'Summary Analytics'!J16</f>
        <v>1.8201833497699799E-3</v>
      </c>
    </row>
    <row r="32" spans="1:11" x14ac:dyDescent="0.35">
      <c r="A32" s="29">
        <v>19</v>
      </c>
      <c r="B32" s="32" t="s">
        <v>208</v>
      </c>
      <c r="C32" s="35">
        <f>'Summary Analytics'!D25</f>
        <v>0.72241735134533147</v>
      </c>
      <c r="D32" s="29">
        <v>26</v>
      </c>
      <c r="E32" s="32" t="s">
        <v>170</v>
      </c>
      <c r="F32" s="35">
        <f>'Summary Analytics'!E32</f>
        <v>0.10409835160241512</v>
      </c>
      <c r="G32" s="53">
        <f>'Summary Analytics'!G32</f>
        <v>1294.4446943990617</v>
      </c>
      <c r="H32" s="29">
        <v>17</v>
      </c>
      <c r="I32" s="62" t="s">
        <v>162</v>
      </c>
      <c r="J32" s="35">
        <f>'NORTHWEST FLORIDA'!J83</f>
        <v>0.1071230930945356</v>
      </c>
      <c r="K32" s="74">
        <f>'Summary Analytics'!J23</f>
        <v>7.3980672117141544E-3</v>
      </c>
    </row>
    <row r="33" spans="1:11" x14ac:dyDescent="0.35">
      <c r="A33" s="29">
        <v>14</v>
      </c>
      <c r="B33" s="32" t="s">
        <v>159</v>
      </c>
      <c r="C33" s="35">
        <f>'Summary Analytics'!D20</f>
        <v>0.72888389887182004</v>
      </c>
      <c r="D33" s="29">
        <v>4</v>
      </c>
      <c r="E33" s="32" t="s">
        <v>150</v>
      </c>
      <c r="F33" s="35">
        <f>'Summary Analytics'!E10</f>
        <v>0.10526786585424569</v>
      </c>
      <c r="G33" s="53">
        <f>'Summary Analytics'!G10</f>
        <v>1297.4800090696092</v>
      </c>
      <c r="H33" s="29">
        <v>8</v>
      </c>
      <c r="I33" s="62" t="s">
        <v>255</v>
      </c>
      <c r="J33" s="35">
        <f>'FL KEYS'!J83</f>
        <v>0.1077469479598525</v>
      </c>
      <c r="K33" s="74">
        <f>'Summary Analytics'!J14</f>
        <v>1.7320169766752214E-2</v>
      </c>
    </row>
    <row r="34" spans="1:11" x14ac:dyDescent="0.35">
      <c r="A34" s="29">
        <v>27</v>
      </c>
      <c r="B34" s="32" t="s">
        <v>171</v>
      </c>
      <c r="C34" s="35">
        <f>'Summary Analytics'!D33</f>
        <v>0.79620255731560197</v>
      </c>
      <c r="D34" s="29">
        <v>12</v>
      </c>
      <c r="E34" s="32" t="s">
        <v>157</v>
      </c>
      <c r="F34" s="35">
        <f>'Summary Analytics'!E18</f>
        <v>0.13340507380943287</v>
      </c>
      <c r="G34" s="53">
        <f>'Summary Analytics'!G18</f>
        <v>1402.0817295566978</v>
      </c>
      <c r="H34" s="29">
        <v>23</v>
      </c>
      <c r="I34" s="62" t="s">
        <v>167</v>
      </c>
      <c r="J34" s="35">
        <f>'ST PETE'!J83</f>
        <v>0.12033330180420142</v>
      </c>
      <c r="K34" s="74">
        <f>'Summary Analytics'!J29</f>
        <v>2.0222619603993575E-2</v>
      </c>
    </row>
    <row r="35" spans="1:11" x14ac:dyDescent="0.35">
      <c r="A35" s="29">
        <v>3</v>
      </c>
      <c r="B35" s="32" t="s">
        <v>149</v>
      </c>
      <c r="C35" s="35">
        <f>'Summary Analytics'!D9</f>
        <v>0.86244555420742441</v>
      </c>
      <c r="D35" s="29">
        <v>8</v>
      </c>
      <c r="E35" s="32" t="s">
        <v>255</v>
      </c>
      <c r="F35" s="35">
        <f>'Summary Analytics'!E14</f>
        <v>0.1077469479598525</v>
      </c>
      <c r="G35" s="53">
        <f>'Summary Analytics'!G14</f>
        <v>1617.4836870975428</v>
      </c>
      <c r="H35" s="29">
        <v>12</v>
      </c>
      <c r="I35" s="62" t="s">
        <v>157</v>
      </c>
      <c r="J35" s="35">
        <f>GATEWAY!J83</f>
        <v>0.13340507380943287</v>
      </c>
      <c r="K35" s="74">
        <f>'Summary Analytics'!J18</f>
        <v>4.0325889821206939E-3</v>
      </c>
    </row>
    <row r="36" spans="1:11" x14ac:dyDescent="0.35">
      <c r="B36" s="33"/>
      <c r="C36" s="33"/>
      <c r="D36" s="33"/>
      <c r="E36" s="33"/>
      <c r="F36" s="33"/>
    </row>
    <row r="45" spans="1:11" x14ac:dyDescent="0.35">
      <c r="B45" s="34"/>
      <c r="C45" s="34"/>
      <c r="D45" s="34"/>
      <c r="E45" s="34"/>
      <c r="F45" s="34"/>
    </row>
    <row r="74" spans="2:6" x14ac:dyDescent="0.35">
      <c r="B74" s="34"/>
      <c r="C74" s="34"/>
      <c r="D74" s="34"/>
      <c r="E74" s="34"/>
      <c r="F74" s="34"/>
    </row>
  </sheetData>
  <sortState ref="H7:K35">
    <sortCondition ref="J7:J35"/>
  </sortState>
  <conditionalFormatting sqref="C7:C35">
    <cfRule type="colorScale" priority="7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F7:F35">
    <cfRule type="colorScale" priority="5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G7:G35">
    <cfRule type="colorScale" priority="4">
      <colorScale>
        <cfvo type="min"/>
        <cfvo type="percentile" val="50"/>
        <cfvo type="max"/>
        <color rgb="FF5A8AC6"/>
        <color rgb="FFFCFCFF"/>
        <color rgb="FFFFC000"/>
      </colorScale>
    </cfRule>
  </conditionalFormatting>
  <conditionalFormatting sqref="J7:J35">
    <cfRule type="colorScale" priority="3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K7:K35">
    <cfRule type="colorScale" priority="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pageMargins left="0.7" right="0.7" top="0.75" bottom="0.75" header="0.3" footer="0.3"/>
  <pageSetup scale="51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tabColor rgb="FF00B0F0"/>
    <pageSetUpPr fitToPage="1"/>
  </sheetPr>
  <dimension ref="A1:L140"/>
  <sheetViews>
    <sheetView workbookViewId="0"/>
  </sheetViews>
  <sheetFormatPr defaultRowHeight="14.5" x14ac:dyDescent="0.35"/>
  <cols>
    <col min="1" max="2" width="2.81640625" customWidth="1"/>
    <col min="3" max="3" width="10.453125" style="123" bestFit="1" customWidth="1"/>
    <col min="4" max="5" width="2.81640625" customWidth="1"/>
    <col min="6" max="6" width="80.7265625" bestFit="1" customWidth="1"/>
    <col min="7" max="7" width="27.81640625" customWidth="1"/>
    <col min="8" max="8" width="15.26953125" bestFit="1" customWidth="1"/>
    <col min="9" max="9" width="27.26953125" customWidth="1"/>
    <col min="10" max="10" width="26.81640625" customWidth="1"/>
    <col min="11" max="11" width="25.81640625" customWidth="1"/>
    <col min="12" max="12" width="82.54296875" customWidth="1"/>
  </cols>
  <sheetData>
    <row r="1" spans="1:12" x14ac:dyDescent="0.35">
      <c r="A1" s="7"/>
      <c r="B1" s="7"/>
      <c r="C1" s="7"/>
      <c r="D1" s="7"/>
      <c r="E1" s="7"/>
      <c r="F1" s="7"/>
      <c r="G1" s="7"/>
      <c r="H1" s="7"/>
      <c r="I1" s="7" t="s">
        <v>0</v>
      </c>
      <c r="J1" s="7"/>
      <c r="K1" s="7"/>
      <c r="L1" s="7"/>
    </row>
    <row r="2" spans="1:12" x14ac:dyDescent="0.35">
      <c r="A2" s="7"/>
      <c r="B2" s="7"/>
      <c r="C2" s="7"/>
      <c r="D2" s="7"/>
      <c r="E2" s="7"/>
      <c r="F2" s="7"/>
      <c r="G2" s="7"/>
      <c r="H2" s="7"/>
      <c r="I2" s="132" t="s">
        <v>197</v>
      </c>
      <c r="J2" s="7"/>
      <c r="K2" s="7"/>
      <c r="L2" s="7"/>
    </row>
    <row r="3" spans="1:12" x14ac:dyDescent="0.35">
      <c r="A3" s="136" t="s">
        <v>198</v>
      </c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</row>
    <row r="4" spans="1:12" ht="19.5" customHeight="1" x14ac:dyDescent="0.35">
      <c r="A4" s="137" t="str">
        <f>'[23]Data Entry - CA2'!A2</f>
        <v>South Florida State College</v>
      </c>
      <c r="C4"/>
    </row>
    <row r="5" spans="1:12" x14ac:dyDescent="0.35">
      <c r="C5"/>
    </row>
    <row r="6" spans="1:12" s="7" customFormat="1" x14ac:dyDescent="0.35">
      <c r="A6" s="3" t="s">
        <v>2</v>
      </c>
      <c r="B6" s="4"/>
      <c r="C6" s="4"/>
      <c r="D6" s="3" t="s">
        <v>3</v>
      </c>
      <c r="E6" s="4"/>
      <c r="F6" s="4"/>
      <c r="G6" s="118" t="s">
        <v>274</v>
      </c>
      <c r="H6" s="6" t="s">
        <v>4</v>
      </c>
      <c r="I6" s="6" t="s">
        <v>5</v>
      </c>
      <c r="J6" s="6" t="s">
        <v>6</v>
      </c>
      <c r="K6" s="6" t="s">
        <v>7</v>
      </c>
      <c r="L6" s="6" t="s">
        <v>199</v>
      </c>
    </row>
    <row r="7" spans="1:12" x14ac:dyDescent="0.35">
      <c r="A7" s="8" t="s">
        <v>9</v>
      </c>
      <c r="B7" s="9"/>
      <c r="C7" s="119"/>
      <c r="D7" s="11" t="s">
        <v>10</v>
      </c>
      <c r="E7" s="119"/>
      <c r="F7" s="119"/>
      <c r="G7" s="69"/>
      <c r="H7" s="9"/>
      <c r="I7" s="69"/>
      <c r="J7" s="69"/>
      <c r="K7" s="69"/>
      <c r="L7" s="11"/>
    </row>
    <row r="8" spans="1:12" x14ac:dyDescent="0.35">
      <c r="A8" s="8"/>
      <c r="B8" s="9" t="s">
        <v>11</v>
      </c>
      <c r="C8" s="119"/>
      <c r="D8" s="13"/>
      <c r="E8" s="9" t="s">
        <v>12</v>
      </c>
      <c r="F8" s="119"/>
      <c r="G8" s="69">
        <f>SUM(G9:G24)</f>
        <v>1440580.12</v>
      </c>
      <c r="H8" s="9"/>
      <c r="I8" s="69">
        <f>SUM(I9:I24)</f>
        <v>1231573.79</v>
      </c>
      <c r="J8" s="69">
        <f>SUM(J9:J24)</f>
        <v>209006.33</v>
      </c>
      <c r="K8" s="69"/>
      <c r="L8" s="14"/>
    </row>
    <row r="9" spans="1:12" x14ac:dyDescent="0.35">
      <c r="A9" s="8"/>
      <c r="B9" s="9"/>
      <c r="C9" s="119" t="s">
        <v>13</v>
      </c>
      <c r="D9" s="13"/>
      <c r="E9" s="119"/>
      <c r="F9" s="9" t="s">
        <v>14</v>
      </c>
      <c r="G9" s="70">
        <v>0</v>
      </c>
      <c r="H9" s="16"/>
      <c r="I9" s="70"/>
      <c r="J9" s="70"/>
      <c r="K9" s="69">
        <f t="shared" ref="K9:K63" si="0">I9+J9</f>
        <v>0</v>
      </c>
      <c r="L9" s="17"/>
    </row>
    <row r="10" spans="1:12" x14ac:dyDescent="0.35">
      <c r="A10" s="8"/>
      <c r="B10" s="9"/>
      <c r="C10" s="119" t="s">
        <v>16</v>
      </c>
      <c r="D10" s="13"/>
      <c r="E10" s="119"/>
      <c r="F10" s="9" t="s">
        <v>17</v>
      </c>
      <c r="G10" s="70">
        <v>55161.48</v>
      </c>
      <c r="H10" s="16" t="s">
        <v>15</v>
      </c>
      <c r="I10" s="70">
        <v>55161.48</v>
      </c>
      <c r="J10" s="70">
        <v>0</v>
      </c>
      <c r="K10" s="69">
        <f t="shared" si="0"/>
        <v>55161.48</v>
      </c>
      <c r="L10" s="17"/>
    </row>
    <row r="11" spans="1:12" x14ac:dyDescent="0.35">
      <c r="A11" s="8"/>
      <c r="B11" s="9"/>
      <c r="C11" s="119" t="s">
        <v>18</v>
      </c>
      <c r="D11" s="13"/>
      <c r="E11" s="119"/>
      <c r="F11" s="9" t="s">
        <v>19</v>
      </c>
      <c r="G11" s="70">
        <v>562471.07999999996</v>
      </c>
      <c r="H11" s="16" t="s">
        <v>15</v>
      </c>
      <c r="I11" s="70">
        <v>562471.07999999996</v>
      </c>
      <c r="J11" s="70">
        <v>0</v>
      </c>
      <c r="K11" s="69">
        <f t="shared" si="0"/>
        <v>562471.07999999996</v>
      </c>
      <c r="L11" s="17"/>
    </row>
    <row r="12" spans="1:12" x14ac:dyDescent="0.35">
      <c r="A12" s="8"/>
      <c r="B12" s="9"/>
      <c r="C12" s="119" t="s">
        <v>20</v>
      </c>
      <c r="D12" s="13"/>
      <c r="E12" s="119"/>
      <c r="F12" s="9" t="s">
        <v>21</v>
      </c>
      <c r="G12" s="70"/>
      <c r="H12" s="16"/>
      <c r="I12" s="70"/>
      <c r="J12" s="70"/>
      <c r="K12" s="69">
        <f t="shared" si="0"/>
        <v>0</v>
      </c>
      <c r="L12" s="17"/>
    </row>
    <row r="13" spans="1:12" x14ac:dyDescent="0.35">
      <c r="A13" s="8"/>
      <c r="B13" s="9"/>
      <c r="C13" s="119" t="s">
        <v>22</v>
      </c>
      <c r="D13" s="13"/>
      <c r="E13" s="119"/>
      <c r="F13" s="9" t="s">
        <v>23</v>
      </c>
      <c r="G13" s="70">
        <v>591972.48</v>
      </c>
      <c r="H13" s="16" t="s">
        <v>15</v>
      </c>
      <c r="I13" s="70">
        <v>591972.48</v>
      </c>
      <c r="J13" s="70"/>
      <c r="K13" s="69">
        <f t="shared" si="0"/>
        <v>591972.48</v>
      </c>
      <c r="L13" s="17"/>
    </row>
    <row r="14" spans="1:12" x14ac:dyDescent="0.35">
      <c r="A14" s="8"/>
      <c r="B14" s="9"/>
      <c r="C14" s="119" t="s">
        <v>25</v>
      </c>
      <c r="D14" s="13"/>
      <c r="E14" s="119"/>
      <c r="F14" s="9" t="s">
        <v>26</v>
      </c>
      <c r="G14" s="70"/>
      <c r="H14" s="16"/>
      <c r="I14" s="70"/>
      <c r="J14" s="70"/>
      <c r="K14" s="69">
        <f t="shared" si="0"/>
        <v>0</v>
      </c>
      <c r="L14" s="17"/>
    </row>
    <row r="15" spans="1:12" x14ac:dyDescent="0.35">
      <c r="A15" s="8"/>
      <c r="B15" s="9"/>
      <c r="C15" s="119" t="s">
        <v>27</v>
      </c>
      <c r="D15" s="13"/>
      <c r="E15" s="119"/>
      <c r="F15" s="9" t="s">
        <v>28</v>
      </c>
      <c r="G15" s="70"/>
      <c r="H15" s="16"/>
      <c r="I15" s="70"/>
      <c r="J15" s="70"/>
      <c r="K15" s="69">
        <f t="shared" si="0"/>
        <v>0</v>
      </c>
      <c r="L15" s="17"/>
    </row>
    <row r="16" spans="1:12" x14ac:dyDescent="0.35">
      <c r="A16" s="8"/>
      <c r="B16" s="9"/>
      <c r="C16" s="119" t="s">
        <v>29</v>
      </c>
      <c r="D16" s="13"/>
      <c r="E16" s="119"/>
      <c r="F16" s="9" t="s">
        <v>30</v>
      </c>
      <c r="G16" s="70"/>
      <c r="H16" s="16"/>
      <c r="I16" s="70"/>
      <c r="J16" s="70"/>
      <c r="K16" s="69">
        <f t="shared" si="0"/>
        <v>0</v>
      </c>
      <c r="L16" s="17"/>
    </row>
    <row r="17" spans="1:12" x14ac:dyDescent="0.35">
      <c r="A17" s="8"/>
      <c r="B17" s="9"/>
      <c r="C17" s="119" t="s">
        <v>31</v>
      </c>
      <c r="D17" s="13"/>
      <c r="E17" s="119"/>
      <c r="F17" s="9" t="s">
        <v>32</v>
      </c>
      <c r="G17" s="70"/>
      <c r="H17" s="16"/>
      <c r="I17" s="70"/>
      <c r="J17" s="70"/>
      <c r="K17" s="69">
        <f t="shared" si="0"/>
        <v>0</v>
      </c>
      <c r="L17" s="17"/>
    </row>
    <row r="18" spans="1:12" x14ac:dyDescent="0.35">
      <c r="A18" s="8"/>
      <c r="B18" s="9"/>
      <c r="C18" s="119" t="s">
        <v>33</v>
      </c>
      <c r="D18" s="13"/>
      <c r="E18" s="119"/>
      <c r="F18" s="9" t="s">
        <v>34</v>
      </c>
      <c r="G18" s="70">
        <v>209006.33</v>
      </c>
      <c r="H18" s="16" t="s">
        <v>24</v>
      </c>
      <c r="I18" s="70"/>
      <c r="J18" s="70">
        <v>209006.33</v>
      </c>
      <c r="K18" s="69">
        <f t="shared" si="0"/>
        <v>209006.33</v>
      </c>
      <c r="L18" s="17"/>
    </row>
    <row r="19" spans="1:12" x14ac:dyDescent="0.35">
      <c r="A19" s="8"/>
      <c r="B19" s="9"/>
      <c r="C19" s="119" t="s">
        <v>35</v>
      </c>
      <c r="D19" s="13"/>
      <c r="E19" s="119"/>
      <c r="F19" s="9" t="s">
        <v>36</v>
      </c>
      <c r="G19" s="71"/>
      <c r="H19" s="16"/>
      <c r="I19" s="71"/>
      <c r="J19" s="71"/>
      <c r="K19" s="69">
        <f t="shared" si="0"/>
        <v>0</v>
      </c>
      <c r="L19" s="17"/>
    </row>
    <row r="20" spans="1:12" x14ac:dyDescent="0.35">
      <c r="A20" s="8"/>
      <c r="B20" s="9"/>
      <c r="C20" s="119" t="s">
        <v>37</v>
      </c>
      <c r="D20" s="13"/>
      <c r="E20" s="119"/>
      <c r="F20" s="9" t="s">
        <v>38</v>
      </c>
      <c r="G20" s="70">
        <v>19468.75</v>
      </c>
      <c r="H20" s="16" t="s">
        <v>15</v>
      </c>
      <c r="I20" s="70">
        <v>19468.75</v>
      </c>
      <c r="J20" s="70"/>
      <c r="K20" s="69">
        <f t="shared" si="0"/>
        <v>19468.75</v>
      </c>
      <c r="L20" s="17"/>
    </row>
    <row r="21" spans="1:12" x14ac:dyDescent="0.35">
      <c r="A21" s="8"/>
      <c r="B21" s="9"/>
      <c r="C21" s="119" t="s">
        <v>39</v>
      </c>
      <c r="D21" s="13"/>
      <c r="E21" s="119"/>
      <c r="F21" s="9" t="s">
        <v>40</v>
      </c>
      <c r="G21" s="70"/>
      <c r="H21" s="16"/>
      <c r="I21" s="70"/>
      <c r="J21" s="70"/>
      <c r="K21" s="69">
        <f t="shared" si="0"/>
        <v>0</v>
      </c>
      <c r="L21" s="17"/>
    </row>
    <row r="22" spans="1:12" x14ac:dyDescent="0.35">
      <c r="A22" s="8"/>
      <c r="B22" s="9"/>
      <c r="C22" s="119" t="s">
        <v>41</v>
      </c>
      <c r="D22" s="13"/>
      <c r="E22" s="119"/>
      <c r="F22" s="9" t="s">
        <v>42</v>
      </c>
      <c r="G22" s="70"/>
      <c r="H22" s="16"/>
      <c r="I22" s="70"/>
      <c r="J22" s="70"/>
      <c r="K22" s="69">
        <f t="shared" si="0"/>
        <v>0</v>
      </c>
      <c r="L22" s="17"/>
    </row>
    <row r="23" spans="1:12" x14ac:dyDescent="0.35">
      <c r="A23" s="8"/>
      <c r="B23" s="9"/>
      <c r="C23" s="119" t="s">
        <v>43</v>
      </c>
      <c r="D23" s="13"/>
      <c r="E23" s="119"/>
      <c r="F23" s="9" t="s">
        <v>44</v>
      </c>
      <c r="G23" s="70">
        <v>2500</v>
      </c>
      <c r="H23" s="16" t="s">
        <v>15</v>
      </c>
      <c r="I23" s="70">
        <v>2500</v>
      </c>
      <c r="J23" s="70"/>
      <c r="K23" s="69">
        <f t="shared" si="0"/>
        <v>2500</v>
      </c>
      <c r="L23" s="17"/>
    </row>
    <row r="24" spans="1:12" x14ac:dyDescent="0.35">
      <c r="A24" s="9"/>
      <c r="B24" s="9"/>
      <c r="C24" s="120" t="s">
        <v>45</v>
      </c>
      <c r="D24" s="13"/>
      <c r="E24" s="120"/>
      <c r="F24" s="9" t="s">
        <v>46</v>
      </c>
      <c r="G24" s="72"/>
      <c r="H24" s="16"/>
      <c r="I24" s="72"/>
      <c r="J24" s="72"/>
      <c r="K24" s="69">
        <f t="shared" si="0"/>
        <v>0</v>
      </c>
      <c r="L24" s="17"/>
    </row>
    <row r="25" spans="1:12" x14ac:dyDescent="0.35">
      <c r="A25" s="8"/>
      <c r="B25" s="9" t="s">
        <v>47</v>
      </c>
      <c r="C25" s="119"/>
      <c r="D25" s="13"/>
      <c r="E25" s="9" t="s">
        <v>48</v>
      </c>
      <c r="F25" s="119"/>
      <c r="G25" s="69">
        <f>SUM(G26:G41)</f>
        <v>828938.99</v>
      </c>
      <c r="H25" s="9"/>
      <c r="I25" s="69">
        <f>SUM(I26:I41)</f>
        <v>576851.06000000006</v>
      </c>
      <c r="J25" s="69">
        <f>SUM(J26:J41)</f>
        <v>252087.93</v>
      </c>
      <c r="K25" s="69"/>
      <c r="L25" s="14"/>
    </row>
    <row r="26" spans="1:12" x14ac:dyDescent="0.35">
      <c r="A26" s="8"/>
      <c r="B26" s="9"/>
      <c r="C26" s="119" t="s">
        <v>49</v>
      </c>
      <c r="D26" s="13"/>
      <c r="E26" s="119"/>
      <c r="F26" s="9" t="s">
        <v>50</v>
      </c>
      <c r="G26" s="70"/>
      <c r="H26" s="16"/>
      <c r="I26" s="70"/>
      <c r="J26" s="70"/>
      <c r="K26" s="69">
        <f t="shared" si="0"/>
        <v>0</v>
      </c>
      <c r="L26" s="17"/>
    </row>
    <row r="27" spans="1:12" x14ac:dyDescent="0.35">
      <c r="A27" s="8"/>
      <c r="B27" s="9"/>
      <c r="C27" s="119" t="s">
        <v>51</v>
      </c>
      <c r="D27" s="13"/>
      <c r="E27" s="119"/>
      <c r="F27" s="9" t="s">
        <v>52</v>
      </c>
      <c r="G27" s="70">
        <v>576851.06000000006</v>
      </c>
      <c r="H27" s="16" t="s">
        <v>15</v>
      </c>
      <c r="I27" s="70">
        <v>576851.06000000006</v>
      </c>
      <c r="J27" s="70"/>
      <c r="K27" s="69">
        <f t="shared" si="0"/>
        <v>576851.06000000006</v>
      </c>
      <c r="L27" s="17"/>
    </row>
    <row r="28" spans="1:12" x14ac:dyDescent="0.35">
      <c r="A28" s="8"/>
      <c r="B28" s="9"/>
      <c r="C28" s="119" t="s">
        <v>53</v>
      </c>
      <c r="D28" s="13"/>
      <c r="E28" s="119"/>
      <c r="F28" s="9" t="s">
        <v>54</v>
      </c>
      <c r="G28" s="70"/>
      <c r="H28" s="16"/>
      <c r="I28" s="70"/>
      <c r="J28" s="70"/>
      <c r="K28" s="69">
        <f t="shared" si="0"/>
        <v>0</v>
      </c>
      <c r="L28" s="17"/>
    </row>
    <row r="29" spans="1:12" x14ac:dyDescent="0.35">
      <c r="A29" s="8"/>
      <c r="B29" s="9"/>
      <c r="C29" s="119" t="s">
        <v>55</v>
      </c>
      <c r="D29" s="13"/>
      <c r="E29" s="119"/>
      <c r="F29" s="9" t="s">
        <v>56</v>
      </c>
      <c r="G29" s="70"/>
      <c r="H29" s="16"/>
      <c r="I29" s="70"/>
      <c r="J29" s="70"/>
      <c r="K29" s="69">
        <f t="shared" si="0"/>
        <v>0</v>
      </c>
      <c r="L29" s="17"/>
    </row>
    <row r="30" spans="1:12" x14ac:dyDescent="0.35">
      <c r="A30" s="8"/>
      <c r="B30" s="9"/>
      <c r="C30" s="119" t="s">
        <v>57</v>
      </c>
      <c r="D30" s="13"/>
      <c r="E30" s="119"/>
      <c r="F30" s="9" t="s">
        <v>58</v>
      </c>
      <c r="G30" s="70"/>
      <c r="H30" s="16"/>
      <c r="I30" s="70"/>
      <c r="J30" s="70"/>
      <c r="K30" s="69">
        <f t="shared" si="0"/>
        <v>0</v>
      </c>
      <c r="L30" s="17"/>
    </row>
    <row r="31" spans="1:12" x14ac:dyDescent="0.35">
      <c r="A31" s="8"/>
      <c r="B31" s="9"/>
      <c r="C31" s="119" t="s">
        <v>60</v>
      </c>
      <c r="D31" s="13"/>
      <c r="E31" s="119"/>
      <c r="F31" s="9" t="s">
        <v>61</v>
      </c>
      <c r="G31" s="70"/>
      <c r="H31" s="16"/>
      <c r="I31" s="70"/>
      <c r="J31" s="70"/>
      <c r="K31" s="69">
        <f t="shared" si="0"/>
        <v>0</v>
      </c>
      <c r="L31" s="17"/>
    </row>
    <row r="32" spans="1:12" x14ac:dyDescent="0.35">
      <c r="A32" s="8"/>
      <c r="B32" s="9"/>
      <c r="C32" s="119" t="s">
        <v>62</v>
      </c>
      <c r="D32" s="13"/>
      <c r="E32" s="119"/>
      <c r="F32" s="9" t="s">
        <v>63</v>
      </c>
      <c r="G32" s="70"/>
      <c r="H32" s="16"/>
      <c r="I32" s="70"/>
      <c r="J32" s="70"/>
      <c r="K32" s="69">
        <f t="shared" si="0"/>
        <v>0</v>
      </c>
      <c r="L32" s="17"/>
    </row>
    <row r="33" spans="1:12" x14ac:dyDescent="0.35">
      <c r="A33" s="9"/>
      <c r="B33" s="9"/>
      <c r="C33" s="119" t="s">
        <v>64</v>
      </c>
      <c r="D33" s="9"/>
      <c r="E33" s="119"/>
      <c r="F33" s="9" t="s">
        <v>65</v>
      </c>
      <c r="G33" s="70">
        <v>252087.93</v>
      </c>
      <c r="H33" s="16" t="s">
        <v>24</v>
      </c>
      <c r="I33" s="70"/>
      <c r="J33" s="70">
        <v>252087.93</v>
      </c>
      <c r="K33" s="69">
        <f t="shared" si="0"/>
        <v>252087.93</v>
      </c>
      <c r="L33" s="17"/>
    </row>
    <row r="34" spans="1:12" x14ac:dyDescent="0.35">
      <c r="A34" s="9"/>
      <c r="B34" s="9"/>
      <c r="C34" s="119" t="s">
        <v>66</v>
      </c>
      <c r="D34" s="9"/>
      <c r="E34" s="9"/>
      <c r="F34" s="9" t="s">
        <v>67</v>
      </c>
      <c r="G34" s="70"/>
      <c r="H34" s="16"/>
      <c r="I34" s="70"/>
      <c r="J34" s="70"/>
      <c r="K34" s="69">
        <f t="shared" si="0"/>
        <v>0</v>
      </c>
      <c r="L34" s="17"/>
    </row>
    <row r="35" spans="1:12" x14ac:dyDescent="0.35">
      <c r="A35" s="9"/>
      <c r="B35" s="9"/>
      <c r="C35" s="119" t="s">
        <v>68</v>
      </c>
      <c r="D35" s="9"/>
      <c r="E35" s="119"/>
      <c r="F35" s="9" t="s">
        <v>69</v>
      </c>
      <c r="G35" s="70"/>
      <c r="H35" s="16"/>
      <c r="I35" s="70"/>
      <c r="J35" s="70"/>
      <c r="K35" s="69">
        <f t="shared" si="0"/>
        <v>0</v>
      </c>
      <c r="L35" s="17"/>
    </row>
    <row r="36" spans="1:12" x14ac:dyDescent="0.35">
      <c r="A36" s="9"/>
      <c r="B36" s="9"/>
      <c r="C36" s="119" t="s">
        <v>70</v>
      </c>
      <c r="D36" s="9"/>
      <c r="E36" s="9"/>
      <c r="F36" s="9" t="s">
        <v>71</v>
      </c>
      <c r="G36" s="70"/>
      <c r="H36" s="16"/>
      <c r="I36" s="70"/>
      <c r="J36" s="70"/>
      <c r="K36" s="69">
        <f t="shared" si="0"/>
        <v>0</v>
      </c>
      <c r="L36" s="17"/>
    </row>
    <row r="37" spans="1:12" x14ac:dyDescent="0.35">
      <c r="A37" s="9"/>
      <c r="B37" s="9"/>
      <c r="C37" s="119" t="s">
        <v>72</v>
      </c>
      <c r="D37" s="9"/>
      <c r="E37" s="121"/>
      <c r="F37" s="9" t="s">
        <v>73</v>
      </c>
      <c r="G37" s="70"/>
      <c r="H37" s="16"/>
      <c r="I37" s="70"/>
      <c r="J37" s="70"/>
      <c r="K37" s="69">
        <f t="shared" si="0"/>
        <v>0</v>
      </c>
      <c r="L37" s="17"/>
    </row>
    <row r="38" spans="1:12" x14ac:dyDescent="0.35">
      <c r="A38" s="9"/>
      <c r="B38" s="9"/>
      <c r="C38" s="119" t="s">
        <v>74</v>
      </c>
      <c r="D38" s="9"/>
      <c r="E38" s="9"/>
      <c r="F38" s="9" t="s">
        <v>75</v>
      </c>
      <c r="G38" s="70"/>
      <c r="H38" s="16"/>
      <c r="I38" s="70"/>
      <c r="J38" s="70"/>
      <c r="K38" s="69">
        <f t="shared" si="0"/>
        <v>0</v>
      </c>
      <c r="L38" s="17"/>
    </row>
    <row r="39" spans="1:12" x14ac:dyDescent="0.35">
      <c r="A39" s="9"/>
      <c r="B39" s="9"/>
      <c r="C39" s="119" t="s">
        <v>76</v>
      </c>
      <c r="D39" s="9"/>
      <c r="E39" s="9"/>
      <c r="F39" s="9" t="s">
        <v>77</v>
      </c>
      <c r="G39" s="70"/>
      <c r="H39" s="16"/>
      <c r="I39" s="70"/>
      <c r="J39" s="70"/>
      <c r="K39" s="69">
        <f t="shared" si="0"/>
        <v>0</v>
      </c>
      <c r="L39" s="17"/>
    </row>
    <row r="40" spans="1:12" x14ac:dyDescent="0.35">
      <c r="A40" s="9"/>
      <c r="B40" s="9"/>
      <c r="C40" s="119" t="s">
        <v>78</v>
      </c>
      <c r="D40" s="9"/>
      <c r="E40" s="9"/>
      <c r="F40" s="9" t="s">
        <v>79</v>
      </c>
      <c r="G40" s="70"/>
      <c r="H40" s="16"/>
      <c r="I40" s="70"/>
      <c r="J40" s="70"/>
      <c r="K40" s="69">
        <f t="shared" si="0"/>
        <v>0</v>
      </c>
      <c r="L40" s="17"/>
    </row>
    <row r="41" spans="1:12" x14ac:dyDescent="0.35">
      <c r="A41" s="9"/>
      <c r="B41" s="9"/>
      <c r="C41" s="119" t="s">
        <v>80</v>
      </c>
      <c r="D41" s="9"/>
      <c r="E41" s="9"/>
      <c r="F41" s="9" t="s">
        <v>81</v>
      </c>
      <c r="G41" s="70"/>
      <c r="H41" s="16"/>
      <c r="I41" s="70"/>
      <c r="J41" s="70"/>
      <c r="K41" s="69">
        <f t="shared" si="0"/>
        <v>0</v>
      </c>
      <c r="L41" s="17"/>
    </row>
    <row r="42" spans="1:12" x14ac:dyDescent="0.35">
      <c r="A42" s="9"/>
      <c r="B42" s="9" t="s">
        <v>82</v>
      </c>
      <c r="C42" s="119"/>
      <c r="D42" s="9"/>
      <c r="E42" s="9" t="s">
        <v>83</v>
      </c>
      <c r="F42" s="9"/>
      <c r="G42" s="69">
        <f>SUM(G43:G63)</f>
        <v>2631655.46</v>
      </c>
      <c r="H42" s="9"/>
      <c r="I42" s="69">
        <f>SUM(I43:I63)</f>
        <v>798160.62999999989</v>
      </c>
      <c r="J42" s="69">
        <f>SUM(J43:J63)</f>
        <v>1833494.83</v>
      </c>
      <c r="K42" s="69"/>
      <c r="L42" s="14"/>
    </row>
    <row r="43" spans="1:12" x14ac:dyDescent="0.35">
      <c r="A43" s="9"/>
      <c r="B43" s="9"/>
      <c r="C43" s="119" t="s">
        <v>84</v>
      </c>
      <c r="D43" s="9"/>
      <c r="E43" s="9"/>
      <c r="F43" s="9" t="s">
        <v>85</v>
      </c>
      <c r="G43" s="70">
        <v>1512129.18</v>
      </c>
      <c r="H43" s="16" t="s">
        <v>24</v>
      </c>
      <c r="I43" s="70"/>
      <c r="J43" s="70">
        <v>1512129.18</v>
      </c>
      <c r="K43" s="69">
        <f t="shared" si="0"/>
        <v>1512129.18</v>
      </c>
      <c r="L43" s="17"/>
    </row>
    <row r="44" spans="1:12" x14ac:dyDescent="0.35">
      <c r="A44" s="9"/>
      <c r="B44" s="9"/>
      <c r="C44" s="119" t="s">
        <v>86</v>
      </c>
      <c r="D44" s="9"/>
      <c r="E44" s="9"/>
      <c r="F44" s="9" t="s">
        <v>87</v>
      </c>
      <c r="G44" s="70"/>
      <c r="H44" s="16"/>
      <c r="I44" s="70"/>
      <c r="J44" s="70"/>
      <c r="K44" s="69">
        <f t="shared" si="0"/>
        <v>0</v>
      </c>
      <c r="L44" s="17"/>
    </row>
    <row r="45" spans="1:12" x14ac:dyDescent="0.35">
      <c r="A45" s="9"/>
      <c r="B45" s="9"/>
      <c r="C45" s="119" t="s">
        <v>88</v>
      </c>
      <c r="D45" s="9"/>
      <c r="E45" s="9"/>
      <c r="F45" s="9" t="s">
        <v>89</v>
      </c>
      <c r="G45" s="70"/>
      <c r="H45" s="16"/>
      <c r="I45" s="70"/>
      <c r="J45" s="70"/>
      <c r="K45" s="69">
        <f t="shared" si="0"/>
        <v>0</v>
      </c>
      <c r="L45" s="17"/>
    </row>
    <row r="46" spans="1:12" x14ac:dyDescent="0.35">
      <c r="A46" s="9"/>
      <c r="B46" s="9"/>
      <c r="C46" s="119" t="s">
        <v>90</v>
      </c>
      <c r="D46" s="9"/>
      <c r="E46" s="9"/>
      <c r="F46" s="9" t="s">
        <v>91</v>
      </c>
      <c r="G46" s="70"/>
      <c r="H46" s="16"/>
      <c r="I46" s="70"/>
      <c r="J46" s="70"/>
      <c r="K46" s="69">
        <f t="shared" si="0"/>
        <v>0</v>
      </c>
      <c r="L46" s="17"/>
    </row>
    <row r="47" spans="1:12" x14ac:dyDescent="0.35">
      <c r="A47" s="9"/>
      <c r="B47" s="9"/>
      <c r="C47" s="119" t="s">
        <v>92</v>
      </c>
      <c r="D47" s="9"/>
      <c r="E47" s="9"/>
      <c r="F47" s="9" t="s">
        <v>93</v>
      </c>
      <c r="G47" s="70">
        <v>418455.16</v>
      </c>
      <c r="H47" s="16" t="s">
        <v>15</v>
      </c>
      <c r="I47" s="70">
        <v>418455.16</v>
      </c>
      <c r="J47" s="70"/>
      <c r="K47" s="69">
        <f t="shared" si="0"/>
        <v>418455.16</v>
      </c>
      <c r="L47" s="17"/>
    </row>
    <row r="48" spans="1:12" x14ac:dyDescent="0.35">
      <c r="A48" s="9"/>
      <c r="B48" s="9"/>
      <c r="C48" s="119" t="s">
        <v>94</v>
      </c>
      <c r="D48" s="9"/>
      <c r="E48" s="9"/>
      <c r="F48" s="9" t="s">
        <v>95</v>
      </c>
      <c r="G48" s="70"/>
      <c r="H48" s="16"/>
      <c r="I48" s="70"/>
      <c r="J48" s="70"/>
      <c r="K48" s="69">
        <f t="shared" si="0"/>
        <v>0</v>
      </c>
      <c r="L48" s="17"/>
    </row>
    <row r="49" spans="1:12" x14ac:dyDescent="0.35">
      <c r="A49" s="9"/>
      <c r="B49" s="9"/>
      <c r="C49" s="119" t="s">
        <v>96</v>
      </c>
      <c r="D49" s="9"/>
      <c r="E49" s="9"/>
      <c r="F49" s="9" t="s">
        <v>97</v>
      </c>
      <c r="G49" s="70">
        <v>110127.03</v>
      </c>
      <c r="H49" s="16" t="s">
        <v>15</v>
      </c>
      <c r="I49" s="70">
        <v>110127.03</v>
      </c>
      <c r="J49" s="70"/>
      <c r="K49" s="69">
        <f t="shared" si="0"/>
        <v>110127.03</v>
      </c>
      <c r="L49" s="17"/>
    </row>
    <row r="50" spans="1:12" x14ac:dyDescent="0.35">
      <c r="A50" s="9"/>
      <c r="B50" s="9"/>
      <c r="C50" s="119" t="s">
        <v>98</v>
      </c>
      <c r="D50" s="9"/>
      <c r="E50" s="9"/>
      <c r="F50" s="9" t="s">
        <v>99</v>
      </c>
      <c r="G50" s="70"/>
      <c r="H50" s="16"/>
      <c r="I50" s="70"/>
      <c r="J50" s="70"/>
      <c r="K50" s="69">
        <f t="shared" si="0"/>
        <v>0</v>
      </c>
      <c r="L50" s="17"/>
    </row>
    <row r="51" spans="1:12" x14ac:dyDescent="0.35">
      <c r="A51" s="9"/>
      <c r="B51" s="9"/>
      <c r="C51" s="119" t="s">
        <v>100</v>
      </c>
      <c r="D51" s="9"/>
      <c r="E51" s="9"/>
      <c r="F51" s="9" t="s">
        <v>101</v>
      </c>
      <c r="G51" s="70"/>
      <c r="H51" s="16"/>
      <c r="I51" s="70"/>
      <c r="J51" s="70"/>
      <c r="K51" s="69">
        <f t="shared" si="0"/>
        <v>0</v>
      </c>
      <c r="L51" s="17"/>
    </row>
    <row r="52" spans="1:12" x14ac:dyDescent="0.35">
      <c r="A52" s="9"/>
      <c r="B52" s="9"/>
      <c r="C52" s="119" t="s">
        <v>102</v>
      </c>
      <c r="D52" s="9"/>
      <c r="E52" s="9"/>
      <c r="F52" s="9" t="s">
        <v>103</v>
      </c>
      <c r="G52" s="70"/>
      <c r="H52" s="16"/>
      <c r="I52" s="70"/>
      <c r="J52" s="70"/>
      <c r="K52" s="69">
        <f t="shared" si="0"/>
        <v>0</v>
      </c>
      <c r="L52" s="17"/>
    </row>
    <row r="53" spans="1:12" x14ac:dyDescent="0.35">
      <c r="A53" s="9"/>
      <c r="B53" s="9"/>
      <c r="C53" s="119" t="s">
        <v>104</v>
      </c>
      <c r="D53" s="9"/>
      <c r="E53" s="9"/>
      <c r="F53" s="9" t="s">
        <v>105</v>
      </c>
      <c r="G53" s="70"/>
      <c r="H53" s="16"/>
      <c r="I53" s="70"/>
      <c r="J53" s="70"/>
      <c r="K53" s="69">
        <f t="shared" si="0"/>
        <v>0</v>
      </c>
      <c r="L53" s="17"/>
    </row>
    <row r="54" spans="1:12" x14ac:dyDescent="0.35">
      <c r="A54" s="9"/>
      <c r="B54" s="9"/>
      <c r="C54" s="119" t="s">
        <v>106</v>
      </c>
      <c r="D54" s="9"/>
      <c r="E54" s="9"/>
      <c r="F54" s="9" t="s">
        <v>107</v>
      </c>
      <c r="G54" s="70">
        <v>55192.75</v>
      </c>
      <c r="H54" s="16" t="s">
        <v>24</v>
      </c>
      <c r="I54" s="70"/>
      <c r="J54" s="70">
        <v>55192.75</v>
      </c>
      <c r="K54" s="69">
        <f t="shared" si="0"/>
        <v>55192.75</v>
      </c>
      <c r="L54" s="17"/>
    </row>
    <row r="55" spans="1:12" x14ac:dyDescent="0.35">
      <c r="A55" s="9"/>
      <c r="B55" s="9"/>
      <c r="C55" s="119" t="s">
        <v>108</v>
      </c>
      <c r="D55" s="9"/>
      <c r="E55" s="9"/>
      <c r="F55" s="9" t="s">
        <v>109</v>
      </c>
      <c r="G55" s="70">
        <v>266172.90000000002</v>
      </c>
      <c r="H55" s="16" t="s">
        <v>24</v>
      </c>
      <c r="I55" s="70"/>
      <c r="J55" s="70">
        <v>266172.90000000002</v>
      </c>
      <c r="K55" s="69">
        <f t="shared" si="0"/>
        <v>266172.90000000002</v>
      </c>
      <c r="L55" s="17"/>
    </row>
    <row r="56" spans="1:12" x14ac:dyDescent="0.35">
      <c r="A56" s="9"/>
      <c r="B56" s="9"/>
      <c r="C56" s="119" t="s">
        <v>110</v>
      </c>
      <c r="D56" s="9"/>
      <c r="E56" s="9"/>
      <c r="F56" s="9" t="s">
        <v>111</v>
      </c>
      <c r="G56" s="70"/>
      <c r="H56" s="16"/>
      <c r="I56" s="70"/>
      <c r="J56" s="70"/>
      <c r="K56" s="69">
        <f t="shared" si="0"/>
        <v>0</v>
      </c>
      <c r="L56" s="17"/>
    </row>
    <row r="57" spans="1:12" x14ac:dyDescent="0.35">
      <c r="A57" s="9"/>
      <c r="B57" s="9"/>
      <c r="C57" s="119" t="s">
        <v>112</v>
      </c>
      <c r="D57" s="9"/>
      <c r="E57" s="9"/>
      <c r="F57" s="9" t="s">
        <v>113</v>
      </c>
      <c r="G57" s="70"/>
      <c r="H57" s="16"/>
      <c r="I57" s="70"/>
      <c r="J57" s="70"/>
      <c r="K57" s="69">
        <f t="shared" si="0"/>
        <v>0</v>
      </c>
      <c r="L57" s="17"/>
    </row>
    <row r="58" spans="1:12" x14ac:dyDescent="0.35">
      <c r="A58" s="9"/>
      <c r="B58" s="9"/>
      <c r="C58" s="119" t="s">
        <v>114</v>
      </c>
      <c r="D58" s="9"/>
      <c r="E58" s="9"/>
      <c r="F58" s="9" t="s">
        <v>115</v>
      </c>
      <c r="G58" s="70"/>
      <c r="H58" s="16"/>
      <c r="I58" s="70"/>
      <c r="J58" s="70"/>
      <c r="K58" s="69">
        <f t="shared" si="0"/>
        <v>0</v>
      </c>
      <c r="L58" s="17"/>
    </row>
    <row r="59" spans="1:12" x14ac:dyDescent="0.35">
      <c r="A59" s="9"/>
      <c r="B59" s="9"/>
      <c r="C59" s="119" t="s">
        <v>116</v>
      </c>
      <c r="D59" s="9"/>
      <c r="E59" s="9"/>
      <c r="F59" s="9" t="s">
        <v>117</v>
      </c>
      <c r="G59" s="70">
        <v>8895.9599999999991</v>
      </c>
      <c r="H59" s="16" t="s">
        <v>15</v>
      </c>
      <c r="I59" s="70">
        <v>8895.9599999999991</v>
      </c>
      <c r="J59" s="70"/>
      <c r="K59" s="69">
        <f t="shared" si="0"/>
        <v>8895.9599999999991</v>
      </c>
      <c r="L59" s="17"/>
    </row>
    <row r="60" spans="1:12" x14ac:dyDescent="0.35">
      <c r="A60" s="9"/>
      <c r="B60" s="9"/>
      <c r="C60" s="119" t="s">
        <v>118</v>
      </c>
      <c r="D60" s="9"/>
      <c r="E60" s="9"/>
      <c r="F60" s="9" t="s">
        <v>119</v>
      </c>
      <c r="G60" s="70">
        <v>21676.23</v>
      </c>
      <c r="H60" s="16" t="s">
        <v>15</v>
      </c>
      <c r="I60" s="70">
        <v>21676.23</v>
      </c>
      <c r="J60" s="70"/>
      <c r="K60" s="69">
        <f t="shared" si="0"/>
        <v>21676.23</v>
      </c>
      <c r="L60" s="17"/>
    </row>
    <row r="61" spans="1:12" x14ac:dyDescent="0.35">
      <c r="A61" s="9"/>
      <c r="B61" s="9"/>
      <c r="C61" s="119" t="s">
        <v>120</v>
      </c>
      <c r="D61" s="9"/>
      <c r="E61" s="9"/>
      <c r="F61" s="9" t="s">
        <v>121</v>
      </c>
      <c r="G61" s="70">
        <v>41938.25</v>
      </c>
      <c r="H61" s="16" t="s">
        <v>15</v>
      </c>
      <c r="I61" s="70">
        <v>41938.25</v>
      </c>
      <c r="J61" s="70"/>
      <c r="K61" s="69">
        <f t="shared" si="0"/>
        <v>41938.25</v>
      </c>
      <c r="L61" s="17"/>
    </row>
    <row r="62" spans="1:12" x14ac:dyDescent="0.35">
      <c r="A62" s="9"/>
      <c r="B62" s="9"/>
      <c r="C62" s="119" t="s">
        <v>122</v>
      </c>
      <c r="D62" s="9"/>
      <c r="E62" s="9"/>
      <c r="F62" s="9" t="s">
        <v>123</v>
      </c>
      <c r="G62" s="70">
        <v>175219.91</v>
      </c>
      <c r="H62" s="16" t="s">
        <v>15</v>
      </c>
      <c r="I62" s="70">
        <v>175219.91</v>
      </c>
      <c r="J62" s="70"/>
      <c r="K62" s="69">
        <f t="shared" si="0"/>
        <v>175219.91</v>
      </c>
      <c r="L62" s="17"/>
    </row>
    <row r="63" spans="1:12" x14ac:dyDescent="0.35">
      <c r="A63" s="9"/>
      <c r="B63" s="9"/>
      <c r="C63" s="119" t="s">
        <v>124</v>
      </c>
      <c r="D63" s="9"/>
      <c r="E63" s="9"/>
      <c r="F63" s="9" t="s">
        <v>125</v>
      </c>
      <c r="G63" s="70">
        <v>21848.09</v>
      </c>
      <c r="H63" s="16" t="s">
        <v>24</v>
      </c>
      <c r="I63" s="70">
        <v>21848.09</v>
      </c>
      <c r="J63" s="70"/>
      <c r="K63" s="69">
        <f t="shared" si="0"/>
        <v>21848.09</v>
      </c>
      <c r="L63" s="17"/>
    </row>
    <row r="64" spans="1:12" hidden="1" x14ac:dyDescent="0.35">
      <c r="A64" s="9"/>
      <c r="B64" s="9" t="s">
        <v>126</v>
      </c>
      <c r="C64" s="119"/>
      <c r="D64" s="9"/>
      <c r="E64" s="9" t="s">
        <v>127</v>
      </c>
      <c r="F64" s="9"/>
      <c r="G64" s="69"/>
      <c r="H64" s="9"/>
      <c r="I64" s="69"/>
      <c r="J64" s="69"/>
      <c r="K64" s="69"/>
      <c r="L64" s="14"/>
    </row>
    <row r="65" spans="1:12" hidden="1" x14ac:dyDescent="0.35">
      <c r="A65" s="9"/>
      <c r="B65" s="9" t="s">
        <v>128</v>
      </c>
      <c r="C65" s="119"/>
      <c r="D65" s="9"/>
      <c r="E65" s="9" t="s">
        <v>127</v>
      </c>
      <c r="F65" s="9"/>
      <c r="G65" s="69"/>
      <c r="H65" s="9"/>
      <c r="I65" s="69"/>
      <c r="J65" s="69"/>
      <c r="K65" s="69"/>
      <c r="L65" s="14"/>
    </row>
    <row r="66" spans="1:12" x14ac:dyDescent="0.35">
      <c r="A66" s="9"/>
      <c r="B66" s="9" t="s">
        <v>129</v>
      </c>
      <c r="C66" s="119"/>
      <c r="D66" s="9"/>
      <c r="E66" s="9" t="s">
        <v>130</v>
      </c>
      <c r="F66" s="9"/>
      <c r="G66" s="69">
        <f>SUM(G67:G69)</f>
        <v>0</v>
      </c>
      <c r="H66" s="9"/>
      <c r="I66" s="69">
        <f>SUM(I67:I69)</f>
        <v>0</v>
      </c>
      <c r="J66" s="69">
        <f>SUM(J67:J69)</f>
        <v>0</v>
      </c>
      <c r="K66" s="69"/>
      <c r="L66" s="14"/>
    </row>
    <row r="67" spans="1:12" x14ac:dyDescent="0.35">
      <c r="A67" s="9"/>
      <c r="B67" s="9"/>
      <c r="C67" s="119" t="s">
        <v>131</v>
      </c>
      <c r="D67" s="9"/>
      <c r="E67" s="9"/>
      <c r="F67" s="9" t="s">
        <v>132</v>
      </c>
      <c r="G67" s="70"/>
      <c r="H67" s="16"/>
      <c r="I67" s="70"/>
      <c r="J67" s="70">
        <v>0</v>
      </c>
      <c r="K67" s="69">
        <f t="shared" ref="K67:K69" si="1">I67+J67</f>
        <v>0</v>
      </c>
      <c r="L67" s="17"/>
    </row>
    <row r="68" spans="1:12" x14ac:dyDescent="0.35">
      <c r="A68" s="9"/>
      <c r="B68" s="9"/>
      <c r="C68" s="119" t="s">
        <v>133</v>
      </c>
      <c r="D68" s="9"/>
      <c r="E68" s="9"/>
      <c r="F68" s="9" t="s">
        <v>134</v>
      </c>
      <c r="G68" s="70"/>
      <c r="H68" s="16"/>
      <c r="I68" s="70"/>
      <c r="J68" s="70"/>
      <c r="K68" s="69">
        <f t="shared" si="1"/>
        <v>0</v>
      </c>
      <c r="L68" s="17"/>
    </row>
    <row r="69" spans="1:12" x14ac:dyDescent="0.35">
      <c r="A69" s="9"/>
      <c r="B69" s="9"/>
      <c r="C69" s="119" t="s">
        <v>135</v>
      </c>
      <c r="D69" s="9"/>
      <c r="E69" s="9"/>
      <c r="F69" s="9" t="s">
        <v>136</v>
      </c>
      <c r="G69" s="70"/>
      <c r="H69" s="16"/>
      <c r="I69" s="70"/>
      <c r="J69" s="70"/>
      <c r="K69" s="69">
        <f t="shared" si="1"/>
        <v>0</v>
      </c>
      <c r="L69" s="17"/>
    </row>
    <row r="70" spans="1:12" x14ac:dyDescent="0.35">
      <c r="A70" s="9"/>
      <c r="B70" s="9" t="s">
        <v>137</v>
      </c>
      <c r="C70" s="119"/>
      <c r="D70" s="9"/>
      <c r="E70" s="9" t="s">
        <v>138</v>
      </c>
      <c r="F70" s="9"/>
      <c r="G70" s="69">
        <f>SUM(G71:G73)</f>
        <v>800397.05</v>
      </c>
      <c r="H70" s="9"/>
      <c r="I70" s="69">
        <f>SUM(I71:I73)</f>
        <v>483383.45</v>
      </c>
      <c r="J70" s="69">
        <f>SUM(J71:J73)</f>
        <v>317013.59999999998</v>
      </c>
      <c r="K70" s="69"/>
      <c r="L70" s="14"/>
    </row>
    <row r="71" spans="1:12" x14ac:dyDescent="0.35">
      <c r="A71" s="9"/>
      <c r="B71" s="9"/>
      <c r="C71" s="119" t="s">
        <v>139</v>
      </c>
      <c r="D71" s="9"/>
      <c r="E71" s="9"/>
      <c r="F71" s="9" t="s">
        <v>140</v>
      </c>
      <c r="G71" s="70"/>
      <c r="H71" s="16"/>
      <c r="I71" s="70"/>
      <c r="J71" s="70"/>
      <c r="K71" s="69">
        <f t="shared" ref="K71:K73" si="2">I71+J71</f>
        <v>0</v>
      </c>
      <c r="L71" s="17"/>
    </row>
    <row r="72" spans="1:12" x14ac:dyDescent="0.35">
      <c r="A72" s="9"/>
      <c r="B72" s="9"/>
      <c r="C72" s="119" t="s">
        <v>141</v>
      </c>
      <c r="D72" s="9"/>
      <c r="E72" s="9"/>
      <c r="F72" s="9" t="s">
        <v>142</v>
      </c>
      <c r="G72" s="70">
        <v>483383.45</v>
      </c>
      <c r="H72" s="16" t="s">
        <v>15</v>
      </c>
      <c r="I72" s="70">
        <v>483383.45</v>
      </c>
      <c r="J72" s="70"/>
      <c r="K72" s="69">
        <f t="shared" si="2"/>
        <v>483383.45</v>
      </c>
      <c r="L72" s="17"/>
    </row>
    <row r="73" spans="1:12" x14ac:dyDescent="0.35">
      <c r="A73" s="9"/>
      <c r="B73" s="9"/>
      <c r="C73" s="119" t="s">
        <v>143</v>
      </c>
      <c r="D73" s="9"/>
      <c r="E73" s="9"/>
      <c r="F73" s="9" t="s">
        <v>144</v>
      </c>
      <c r="G73" s="70">
        <v>317013.59999999998</v>
      </c>
      <c r="H73" s="16" t="s">
        <v>24</v>
      </c>
      <c r="I73" s="70"/>
      <c r="J73" s="70">
        <v>317013.59999999998</v>
      </c>
      <c r="K73" s="69">
        <f t="shared" si="2"/>
        <v>317013.59999999998</v>
      </c>
      <c r="L73" s="17"/>
    </row>
    <row r="74" spans="1:12" hidden="1" x14ac:dyDescent="0.35">
      <c r="A74" s="9"/>
      <c r="B74" s="9" t="s">
        <v>145</v>
      </c>
      <c r="C74" s="119"/>
      <c r="D74" s="9"/>
      <c r="E74" s="9" t="s">
        <v>127</v>
      </c>
      <c r="F74" s="9"/>
      <c r="G74" s="69"/>
      <c r="H74" s="9"/>
      <c r="I74" s="69"/>
      <c r="J74" s="69"/>
      <c r="K74" s="69"/>
      <c r="L74" s="14"/>
    </row>
    <row r="75" spans="1:12" hidden="1" x14ac:dyDescent="0.35">
      <c r="A75" s="9"/>
      <c r="B75" s="9" t="s">
        <v>146</v>
      </c>
      <c r="C75" s="119"/>
      <c r="D75" s="9"/>
      <c r="E75" s="9" t="s">
        <v>127</v>
      </c>
      <c r="F75" s="9"/>
      <c r="G75" s="69"/>
      <c r="H75" s="9"/>
      <c r="I75" s="69"/>
      <c r="J75" s="69"/>
      <c r="K75" s="69"/>
      <c r="L75" s="14"/>
    </row>
    <row r="76" spans="1:12" s="7" customFormat="1" x14ac:dyDescent="0.35">
      <c r="A76" s="4" t="s">
        <v>147</v>
      </c>
      <c r="B76" s="4"/>
      <c r="C76" s="122"/>
      <c r="D76" s="4"/>
      <c r="E76" s="4"/>
      <c r="F76" s="4"/>
      <c r="G76" s="138">
        <f>G8+G25+G42+G66+G70</f>
        <v>5701571.6200000001</v>
      </c>
      <c r="H76" s="88"/>
      <c r="I76" s="138">
        <f>I8+I25+I42+I66+I70</f>
        <v>3089968.93</v>
      </c>
      <c r="J76" s="138">
        <f>J8+J25+J42+J66+J70</f>
        <v>2611602.69</v>
      </c>
      <c r="K76" s="69">
        <f t="shared" ref="K76" si="3">I76+J76</f>
        <v>5701571.6200000001</v>
      </c>
      <c r="L76" s="25"/>
    </row>
    <row r="77" spans="1:12" x14ac:dyDescent="0.35">
      <c r="F77" s="139" t="s">
        <v>200</v>
      </c>
      <c r="G77" s="140">
        <f>'[23]CA2 Detail'!L173</f>
        <v>5730256.0899999999</v>
      </c>
      <c r="H77" s="13"/>
      <c r="I77" s="89">
        <f>I76/G76</f>
        <v>0.54195038419950603</v>
      </c>
      <c r="J77" s="89">
        <f>J76/G76</f>
        <v>0.45804961580049397</v>
      </c>
      <c r="K77" s="27"/>
    </row>
    <row r="79" spans="1:12" x14ac:dyDescent="0.35">
      <c r="F79" s="142" t="s">
        <v>201</v>
      </c>
    </row>
    <row r="80" spans="1:12" hidden="1" x14ac:dyDescent="0.35">
      <c r="H80" t="s">
        <v>15</v>
      </c>
    </row>
    <row r="81" spans="3:11" hidden="1" x14ac:dyDescent="0.35">
      <c r="C81"/>
      <c r="H81" t="s">
        <v>24</v>
      </c>
    </row>
    <row r="82" spans="3:11" hidden="1" x14ac:dyDescent="0.35">
      <c r="C82"/>
      <c r="H82" t="s">
        <v>59</v>
      </c>
    </row>
    <row r="83" spans="3:11" x14ac:dyDescent="0.35">
      <c r="C83"/>
      <c r="H83" s="139" t="s">
        <v>202</v>
      </c>
      <c r="I83" s="69">
        <f>'[23]CA2 Detail'!W121-'[23]CA2 Detail'!J203</f>
        <v>29683168.680725887</v>
      </c>
      <c r="J83" s="161">
        <f>I76/I83</f>
        <v>0.10409835160241512</v>
      </c>
      <c r="K83" s="142" t="s">
        <v>203</v>
      </c>
    </row>
    <row r="97" spans="3:3" x14ac:dyDescent="0.35">
      <c r="C97"/>
    </row>
    <row r="98" spans="3:3" x14ac:dyDescent="0.35">
      <c r="C98"/>
    </row>
    <row r="99" spans="3:3" x14ac:dyDescent="0.35">
      <c r="C99"/>
    </row>
    <row r="100" spans="3:3" x14ac:dyDescent="0.35">
      <c r="C100"/>
    </row>
    <row r="101" spans="3:3" x14ac:dyDescent="0.35">
      <c r="C101"/>
    </row>
    <row r="102" spans="3:3" x14ac:dyDescent="0.35">
      <c r="C102"/>
    </row>
    <row r="103" spans="3:3" x14ac:dyDescent="0.35">
      <c r="C103"/>
    </row>
    <row r="104" spans="3:3" x14ac:dyDescent="0.35">
      <c r="C104"/>
    </row>
    <row r="105" spans="3:3" x14ac:dyDescent="0.35">
      <c r="C105"/>
    </row>
    <row r="106" spans="3:3" x14ac:dyDescent="0.35">
      <c r="C106"/>
    </row>
    <row r="107" spans="3:3" x14ac:dyDescent="0.35">
      <c r="C107"/>
    </row>
    <row r="108" spans="3:3" x14ac:dyDescent="0.35">
      <c r="C108"/>
    </row>
    <row r="109" spans="3:3" x14ac:dyDescent="0.35">
      <c r="C109"/>
    </row>
    <row r="112" spans="3:3" ht="15" hidden="1" customHeight="1" x14ac:dyDescent="0.35"/>
    <row r="113" ht="15" hidden="1" customHeight="1" x14ac:dyDescent="0.35"/>
    <row r="114" ht="15" hidden="1" customHeight="1" x14ac:dyDescent="0.35"/>
    <row r="115" ht="15" hidden="1" customHeight="1" x14ac:dyDescent="0.35"/>
    <row r="116" ht="15" hidden="1" customHeight="1" x14ac:dyDescent="0.35"/>
    <row r="117" ht="15" hidden="1" customHeight="1" x14ac:dyDescent="0.35"/>
    <row r="118" ht="15" hidden="1" customHeight="1" x14ac:dyDescent="0.35"/>
    <row r="119" ht="15" hidden="1" customHeight="1" x14ac:dyDescent="0.35"/>
    <row r="120" ht="15" hidden="1" customHeight="1" x14ac:dyDescent="0.35"/>
    <row r="121" ht="15" hidden="1" customHeight="1" x14ac:dyDescent="0.35"/>
    <row r="122" ht="15" hidden="1" customHeight="1" x14ac:dyDescent="0.35"/>
    <row r="123" ht="15" hidden="1" customHeight="1" x14ac:dyDescent="0.35"/>
    <row r="124" ht="15" hidden="1" customHeight="1" x14ac:dyDescent="0.35"/>
    <row r="125" ht="15" hidden="1" customHeight="1" x14ac:dyDescent="0.35"/>
    <row r="126" ht="15" hidden="1" customHeight="1" x14ac:dyDescent="0.35"/>
    <row r="127" ht="15" hidden="1" customHeight="1" x14ac:dyDescent="0.35"/>
    <row r="128" ht="15" hidden="1" customHeight="1" x14ac:dyDescent="0.35"/>
    <row r="129" ht="15" hidden="1" customHeight="1" x14ac:dyDescent="0.35"/>
    <row r="130" ht="15" hidden="1" customHeight="1" x14ac:dyDescent="0.35"/>
    <row r="131" ht="15" hidden="1" customHeight="1" x14ac:dyDescent="0.35"/>
    <row r="132" ht="15" hidden="1" customHeight="1" x14ac:dyDescent="0.35"/>
    <row r="133" ht="15" hidden="1" customHeight="1" x14ac:dyDescent="0.35"/>
    <row r="134" ht="15" hidden="1" customHeight="1" x14ac:dyDescent="0.35"/>
    <row r="135" ht="15" hidden="1" customHeight="1" x14ac:dyDescent="0.35"/>
    <row r="136" ht="15" hidden="1" customHeight="1" x14ac:dyDescent="0.35"/>
    <row r="137" ht="15" hidden="1" customHeight="1" x14ac:dyDescent="0.35"/>
    <row r="138" ht="15" hidden="1" customHeight="1" x14ac:dyDescent="0.35"/>
    <row r="139" ht="15" hidden="1" customHeight="1" x14ac:dyDescent="0.35"/>
    <row r="140" ht="15" hidden="1" customHeight="1" x14ac:dyDescent="0.35"/>
  </sheetData>
  <conditionalFormatting sqref="G76">
    <cfRule type="cellIs" dxfId="41" priority="1" operator="notEqual">
      <formula>$G$77</formula>
    </cfRule>
    <cfRule type="cellIs" dxfId="40" priority="2" operator="equal">
      <formula>$G$77</formula>
    </cfRule>
  </conditionalFormatting>
  <conditionalFormatting sqref="K9:K24">
    <cfRule type="cellIs" dxfId="39" priority="13" operator="notEqual">
      <formula>G9</formula>
    </cfRule>
    <cfRule type="cellIs" dxfId="38" priority="14" operator="equal">
      <formula>G9</formula>
    </cfRule>
  </conditionalFormatting>
  <conditionalFormatting sqref="K26:K41">
    <cfRule type="cellIs" dxfId="37" priority="11" operator="notEqual">
      <formula>G26</formula>
    </cfRule>
    <cfRule type="cellIs" dxfId="36" priority="12" operator="equal">
      <formula>G26</formula>
    </cfRule>
  </conditionalFormatting>
  <conditionalFormatting sqref="K43:K63">
    <cfRule type="cellIs" dxfId="35" priority="9" operator="notEqual">
      <formula>G43</formula>
    </cfRule>
    <cfRule type="cellIs" dxfId="34" priority="10" operator="equal">
      <formula>G43</formula>
    </cfRule>
  </conditionalFormatting>
  <conditionalFormatting sqref="K67:K69">
    <cfRule type="cellIs" dxfId="33" priority="7" operator="notEqual">
      <formula>G67</formula>
    </cfRule>
    <cfRule type="cellIs" dxfId="32" priority="8" operator="equal">
      <formula>G67</formula>
    </cfRule>
  </conditionalFormatting>
  <conditionalFormatting sqref="K71:K73">
    <cfRule type="cellIs" dxfId="31" priority="5" operator="notEqual">
      <formula>G71</formula>
    </cfRule>
    <cfRule type="cellIs" dxfId="30" priority="6" operator="equal">
      <formula>G71</formula>
    </cfRule>
  </conditionalFormatting>
  <conditionalFormatting sqref="K76">
    <cfRule type="cellIs" dxfId="29" priority="3" operator="notEqual">
      <formula>G76</formula>
    </cfRule>
    <cfRule type="cellIs" dxfId="28" priority="4" operator="equal">
      <formula>G76</formula>
    </cfRule>
  </conditionalFormatting>
  <dataValidations count="1">
    <dataValidation type="list" allowBlank="1" showInputMessage="1" showErrorMessage="1" sqref="H9:H75" xr:uid="{ACE4FA79-307B-4E88-B3E8-C9CA04372289}">
      <formula1>$H$80:$H$82</formula1>
    </dataValidation>
  </dataValidations>
  <pageMargins left="0.7" right="0.7" top="0.75" bottom="0.75" header="0.3" footer="0.3"/>
  <pageSetup scale="39" orientation="landscape" r:id="rId1"/>
  <legacy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>
    <tabColor rgb="FF00B0F0"/>
    <pageSetUpPr fitToPage="1"/>
  </sheetPr>
  <dimension ref="A1:L140"/>
  <sheetViews>
    <sheetView workbookViewId="0"/>
  </sheetViews>
  <sheetFormatPr defaultRowHeight="14.5" x14ac:dyDescent="0.35"/>
  <cols>
    <col min="1" max="2" width="2.81640625" customWidth="1"/>
    <col min="3" max="3" width="10.453125" style="123" bestFit="1" customWidth="1"/>
    <col min="4" max="5" width="2.81640625" customWidth="1"/>
    <col min="6" max="6" width="80.7265625" bestFit="1" customWidth="1"/>
    <col min="7" max="7" width="27.81640625" customWidth="1"/>
    <col min="8" max="8" width="15.26953125" bestFit="1" customWidth="1"/>
    <col min="9" max="9" width="27.26953125" customWidth="1"/>
    <col min="10" max="10" width="26.81640625" customWidth="1"/>
    <col min="11" max="11" width="25.81640625" customWidth="1"/>
    <col min="12" max="12" width="82.54296875" customWidth="1"/>
  </cols>
  <sheetData>
    <row r="1" spans="1:12" x14ac:dyDescent="0.35">
      <c r="A1" s="7"/>
      <c r="B1" s="7"/>
      <c r="C1" s="7"/>
      <c r="D1" s="7"/>
      <c r="E1" s="7"/>
      <c r="F1" s="7"/>
      <c r="G1" s="7"/>
      <c r="H1" s="7"/>
      <c r="I1" s="7" t="s">
        <v>0</v>
      </c>
      <c r="J1" s="7"/>
      <c r="K1" s="7"/>
      <c r="L1" s="7"/>
    </row>
    <row r="2" spans="1:12" x14ac:dyDescent="0.35">
      <c r="A2" s="7"/>
      <c r="B2" s="7"/>
      <c r="C2" s="7"/>
      <c r="D2" s="7"/>
      <c r="E2" s="7"/>
      <c r="F2" s="7"/>
      <c r="G2" s="7"/>
      <c r="H2" s="7"/>
      <c r="I2" s="132" t="s">
        <v>197</v>
      </c>
      <c r="J2" s="7"/>
      <c r="K2" s="7"/>
      <c r="L2" s="7"/>
    </row>
    <row r="3" spans="1:12" x14ac:dyDescent="0.35">
      <c r="A3" s="136" t="s">
        <v>198</v>
      </c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</row>
    <row r="4" spans="1:12" ht="19.5" customHeight="1" x14ac:dyDescent="0.35">
      <c r="A4" s="137" t="str">
        <f>'[24]Data Entry - CA2'!A2</f>
        <v>Tallahassee Community College</v>
      </c>
      <c r="C4"/>
    </row>
    <row r="5" spans="1:12" x14ac:dyDescent="0.35">
      <c r="C5"/>
    </row>
    <row r="6" spans="1:12" s="7" customFormat="1" x14ac:dyDescent="0.35">
      <c r="A6" s="3" t="s">
        <v>2</v>
      </c>
      <c r="B6" s="4"/>
      <c r="C6" s="4"/>
      <c r="D6" s="3" t="s">
        <v>3</v>
      </c>
      <c r="E6" s="4"/>
      <c r="F6" s="4"/>
      <c r="G6" s="118" t="s">
        <v>274</v>
      </c>
      <c r="H6" s="6" t="s">
        <v>4</v>
      </c>
      <c r="I6" s="6" t="s">
        <v>5</v>
      </c>
      <c r="J6" s="6" t="s">
        <v>6</v>
      </c>
      <c r="K6" s="6" t="s">
        <v>7</v>
      </c>
      <c r="L6" s="6" t="s">
        <v>199</v>
      </c>
    </row>
    <row r="7" spans="1:12" x14ac:dyDescent="0.35">
      <c r="A7" s="8" t="s">
        <v>9</v>
      </c>
      <c r="B7" s="9"/>
      <c r="C7" s="119"/>
      <c r="D7" s="11" t="s">
        <v>10</v>
      </c>
      <c r="E7" s="119"/>
      <c r="F7" s="119"/>
      <c r="G7" s="69"/>
      <c r="H7" s="9"/>
      <c r="I7" s="69"/>
      <c r="J7" s="69"/>
      <c r="K7" s="69"/>
      <c r="L7" s="11"/>
    </row>
    <row r="8" spans="1:12" x14ac:dyDescent="0.35">
      <c r="A8" s="8"/>
      <c r="B8" s="9" t="s">
        <v>11</v>
      </c>
      <c r="C8" s="119"/>
      <c r="D8" s="13"/>
      <c r="E8" s="9" t="s">
        <v>12</v>
      </c>
      <c r="F8" s="119"/>
      <c r="G8" s="69">
        <f>SUM(G9:G24)</f>
        <v>1732794</v>
      </c>
      <c r="H8" s="9"/>
      <c r="I8" s="69">
        <f>SUM(I9:I24)</f>
        <v>862454</v>
      </c>
      <c r="J8" s="69">
        <f>SUM(J9:J24)</f>
        <v>870340</v>
      </c>
      <c r="K8" s="69"/>
      <c r="L8" s="14"/>
    </row>
    <row r="9" spans="1:12" x14ac:dyDescent="0.35">
      <c r="A9" s="8"/>
      <c r="B9" s="9"/>
      <c r="C9" s="119" t="s">
        <v>13</v>
      </c>
      <c r="D9" s="13"/>
      <c r="E9" s="119"/>
      <c r="F9" s="9" t="s">
        <v>14</v>
      </c>
      <c r="G9" s="70"/>
      <c r="H9" s="16"/>
      <c r="I9" s="70"/>
      <c r="J9" s="70"/>
      <c r="K9" s="69">
        <f t="shared" ref="K9:K63" si="0">I9+J9</f>
        <v>0</v>
      </c>
      <c r="L9" s="17"/>
    </row>
    <row r="10" spans="1:12" x14ac:dyDescent="0.35">
      <c r="A10" s="8"/>
      <c r="B10" s="9"/>
      <c r="C10" s="119" t="s">
        <v>16</v>
      </c>
      <c r="D10" s="13"/>
      <c r="E10" s="119"/>
      <c r="F10" s="9" t="s">
        <v>17</v>
      </c>
      <c r="G10" s="70">
        <v>23970</v>
      </c>
      <c r="H10" s="95" t="s">
        <v>15</v>
      </c>
      <c r="I10" s="70">
        <v>23970</v>
      </c>
      <c r="J10" s="70"/>
      <c r="K10" s="69">
        <f t="shared" si="0"/>
        <v>23970</v>
      </c>
      <c r="L10" s="17"/>
    </row>
    <row r="11" spans="1:12" x14ac:dyDescent="0.35">
      <c r="A11" s="8"/>
      <c r="B11" s="9"/>
      <c r="C11" s="119" t="s">
        <v>18</v>
      </c>
      <c r="D11" s="13"/>
      <c r="E11" s="119"/>
      <c r="F11" s="9" t="s">
        <v>19</v>
      </c>
      <c r="G11" s="70">
        <v>732233</v>
      </c>
      <c r="H11" s="16" t="s">
        <v>15</v>
      </c>
      <c r="I11" s="70">
        <v>732233</v>
      </c>
      <c r="J11" s="70">
        <v>0</v>
      </c>
      <c r="K11" s="69">
        <f t="shared" si="0"/>
        <v>732233</v>
      </c>
      <c r="L11" s="17"/>
    </row>
    <row r="12" spans="1:12" x14ac:dyDescent="0.35">
      <c r="A12" s="8"/>
      <c r="B12" s="9"/>
      <c r="C12" s="119" t="s">
        <v>20</v>
      </c>
      <c r="D12" s="13"/>
      <c r="E12" s="119"/>
      <c r="F12" s="9" t="s">
        <v>21</v>
      </c>
      <c r="G12" s="70"/>
      <c r="H12" s="16"/>
      <c r="I12" s="70"/>
      <c r="J12" s="70"/>
      <c r="K12" s="69">
        <f t="shared" si="0"/>
        <v>0</v>
      </c>
      <c r="L12" s="17"/>
    </row>
    <row r="13" spans="1:12" x14ac:dyDescent="0.35">
      <c r="A13" s="8"/>
      <c r="B13" s="9"/>
      <c r="C13" s="119" t="s">
        <v>22</v>
      </c>
      <c r="D13" s="13"/>
      <c r="E13" s="119"/>
      <c r="F13" s="9" t="s">
        <v>23</v>
      </c>
      <c r="G13" s="70"/>
      <c r="H13" s="16"/>
      <c r="I13" s="70"/>
      <c r="J13" s="70"/>
      <c r="K13" s="69">
        <f t="shared" si="0"/>
        <v>0</v>
      </c>
      <c r="L13" s="17"/>
    </row>
    <row r="14" spans="1:12" x14ac:dyDescent="0.35">
      <c r="A14" s="8"/>
      <c r="B14" s="9"/>
      <c r="C14" s="119" t="s">
        <v>25</v>
      </c>
      <c r="D14" s="13"/>
      <c r="E14" s="119"/>
      <c r="F14" s="9" t="s">
        <v>26</v>
      </c>
      <c r="G14" s="70"/>
      <c r="H14" s="16"/>
      <c r="I14" s="70"/>
      <c r="J14" s="70"/>
      <c r="K14" s="69">
        <f t="shared" si="0"/>
        <v>0</v>
      </c>
      <c r="L14" s="17"/>
    </row>
    <row r="15" spans="1:12" x14ac:dyDescent="0.35">
      <c r="A15" s="8"/>
      <c r="B15" s="9"/>
      <c r="C15" s="119" t="s">
        <v>27</v>
      </c>
      <c r="D15" s="13"/>
      <c r="E15" s="119"/>
      <c r="F15" s="9" t="s">
        <v>28</v>
      </c>
      <c r="G15" s="70">
        <v>106251</v>
      </c>
      <c r="H15" s="16" t="s">
        <v>15</v>
      </c>
      <c r="I15" s="70">
        <v>106251</v>
      </c>
      <c r="J15" s="70"/>
      <c r="K15" s="69">
        <f t="shared" si="0"/>
        <v>106251</v>
      </c>
      <c r="L15" s="17"/>
    </row>
    <row r="16" spans="1:12" x14ac:dyDescent="0.35">
      <c r="A16" s="8"/>
      <c r="B16" s="9"/>
      <c r="C16" s="119" t="s">
        <v>29</v>
      </c>
      <c r="D16" s="13"/>
      <c r="E16" s="119"/>
      <c r="F16" s="9" t="s">
        <v>30</v>
      </c>
      <c r="G16" s="70"/>
      <c r="H16" s="16"/>
      <c r="I16" s="70"/>
      <c r="J16" s="70"/>
      <c r="K16" s="69">
        <f t="shared" si="0"/>
        <v>0</v>
      </c>
      <c r="L16" s="17"/>
    </row>
    <row r="17" spans="1:12" x14ac:dyDescent="0.35">
      <c r="A17" s="8"/>
      <c r="B17" s="9"/>
      <c r="C17" s="119" t="s">
        <v>31</v>
      </c>
      <c r="D17" s="13"/>
      <c r="E17" s="119"/>
      <c r="F17" s="9" t="s">
        <v>32</v>
      </c>
      <c r="G17" s="70"/>
      <c r="H17" s="16"/>
      <c r="I17" s="70"/>
      <c r="J17" s="70"/>
      <c r="K17" s="69">
        <f t="shared" si="0"/>
        <v>0</v>
      </c>
      <c r="L17" s="17"/>
    </row>
    <row r="18" spans="1:12" x14ac:dyDescent="0.35">
      <c r="A18" s="8"/>
      <c r="B18" s="9"/>
      <c r="C18" s="119" t="s">
        <v>33</v>
      </c>
      <c r="D18" s="13"/>
      <c r="E18" s="119"/>
      <c r="F18" s="9" t="s">
        <v>34</v>
      </c>
      <c r="G18" s="70">
        <v>658122</v>
      </c>
      <c r="H18" s="16" t="s">
        <v>24</v>
      </c>
      <c r="I18" s="70"/>
      <c r="J18" s="70">
        <v>658122</v>
      </c>
      <c r="K18" s="69">
        <f t="shared" si="0"/>
        <v>658122</v>
      </c>
      <c r="L18" s="17"/>
    </row>
    <row r="19" spans="1:12" x14ac:dyDescent="0.35">
      <c r="A19" s="8"/>
      <c r="B19" s="9"/>
      <c r="C19" s="119" t="s">
        <v>35</v>
      </c>
      <c r="D19" s="13"/>
      <c r="E19" s="119"/>
      <c r="F19" s="9" t="s">
        <v>36</v>
      </c>
      <c r="G19" s="71"/>
      <c r="H19" s="16"/>
      <c r="I19" s="71"/>
      <c r="J19" s="71"/>
      <c r="K19" s="69">
        <f t="shared" si="0"/>
        <v>0</v>
      </c>
      <c r="L19" s="17"/>
    </row>
    <row r="20" spans="1:12" x14ac:dyDescent="0.35">
      <c r="A20" s="8"/>
      <c r="B20" s="9"/>
      <c r="C20" s="119" t="s">
        <v>37</v>
      </c>
      <c r="D20" s="13"/>
      <c r="E20" s="119"/>
      <c r="F20" s="9" t="s">
        <v>38</v>
      </c>
      <c r="G20" s="70">
        <v>212218</v>
      </c>
      <c r="H20" s="16" t="s">
        <v>24</v>
      </c>
      <c r="I20" s="70"/>
      <c r="J20" s="70">
        <v>212218</v>
      </c>
      <c r="K20" s="69">
        <f t="shared" si="0"/>
        <v>212218</v>
      </c>
      <c r="L20" s="17"/>
    </row>
    <row r="21" spans="1:12" x14ac:dyDescent="0.35">
      <c r="A21" s="8"/>
      <c r="B21" s="9"/>
      <c r="C21" s="119" t="s">
        <v>39</v>
      </c>
      <c r="D21" s="13"/>
      <c r="E21" s="119"/>
      <c r="F21" s="9" t="s">
        <v>40</v>
      </c>
      <c r="G21" s="70"/>
      <c r="H21" s="16"/>
      <c r="I21" s="70"/>
      <c r="J21" s="70"/>
      <c r="K21" s="69">
        <f t="shared" si="0"/>
        <v>0</v>
      </c>
      <c r="L21" s="17"/>
    </row>
    <row r="22" spans="1:12" x14ac:dyDescent="0.35">
      <c r="A22" s="8"/>
      <c r="B22" s="9"/>
      <c r="C22" s="119" t="s">
        <v>41</v>
      </c>
      <c r="D22" s="13"/>
      <c r="E22" s="119"/>
      <c r="F22" s="9" t="s">
        <v>42</v>
      </c>
      <c r="G22" s="70"/>
      <c r="H22" s="16"/>
      <c r="I22" s="70"/>
      <c r="J22" s="70"/>
      <c r="K22" s="69">
        <f t="shared" si="0"/>
        <v>0</v>
      </c>
      <c r="L22" s="17"/>
    </row>
    <row r="23" spans="1:12" x14ac:dyDescent="0.35">
      <c r="A23" s="8"/>
      <c r="B23" s="9"/>
      <c r="C23" s="119" t="s">
        <v>43</v>
      </c>
      <c r="D23" s="13"/>
      <c r="E23" s="119"/>
      <c r="F23" s="9" t="s">
        <v>44</v>
      </c>
      <c r="G23" s="70"/>
      <c r="H23" s="16"/>
      <c r="I23" s="70"/>
      <c r="J23" s="70"/>
      <c r="K23" s="69">
        <f t="shared" si="0"/>
        <v>0</v>
      </c>
      <c r="L23" s="17"/>
    </row>
    <row r="24" spans="1:12" x14ac:dyDescent="0.35">
      <c r="A24" s="9"/>
      <c r="B24" s="9"/>
      <c r="C24" s="120" t="s">
        <v>45</v>
      </c>
      <c r="D24" s="13"/>
      <c r="E24" s="120"/>
      <c r="F24" s="9" t="s">
        <v>46</v>
      </c>
      <c r="G24" s="72"/>
      <c r="H24" s="16"/>
      <c r="I24" s="72"/>
      <c r="J24" s="72"/>
      <c r="K24" s="69">
        <f t="shared" si="0"/>
        <v>0</v>
      </c>
      <c r="L24" s="17"/>
    </row>
    <row r="25" spans="1:12" x14ac:dyDescent="0.35">
      <c r="A25" s="8"/>
      <c r="B25" s="9" t="s">
        <v>47</v>
      </c>
      <c r="C25" s="119"/>
      <c r="D25" s="13"/>
      <c r="E25" s="9" t="s">
        <v>48</v>
      </c>
      <c r="F25" s="119"/>
      <c r="G25" s="69">
        <f>SUM(G26:G41)</f>
        <v>6409656</v>
      </c>
      <c r="H25" s="9"/>
      <c r="I25" s="69">
        <f>SUM(I26:I41)</f>
        <v>1392142</v>
      </c>
      <c r="J25" s="69">
        <f>SUM(J26:J41)</f>
        <v>5017514</v>
      </c>
      <c r="K25" s="69"/>
      <c r="L25" s="14"/>
    </row>
    <row r="26" spans="1:12" x14ac:dyDescent="0.35">
      <c r="A26" s="8"/>
      <c r="B26" s="9"/>
      <c r="C26" s="119" t="s">
        <v>49</v>
      </c>
      <c r="D26" s="13"/>
      <c r="E26" s="119"/>
      <c r="F26" s="9" t="s">
        <v>50</v>
      </c>
      <c r="G26" s="70"/>
      <c r="H26" s="16"/>
      <c r="I26" s="70"/>
      <c r="J26" s="70"/>
      <c r="K26" s="69">
        <f t="shared" si="0"/>
        <v>0</v>
      </c>
      <c r="L26" s="17"/>
    </row>
    <row r="27" spans="1:12" x14ac:dyDescent="0.35">
      <c r="A27" s="8"/>
      <c r="B27" s="9"/>
      <c r="C27" s="119" t="s">
        <v>51</v>
      </c>
      <c r="D27" s="13"/>
      <c r="E27" s="119"/>
      <c r="F27" s="9" t="s">
        <v>52</v>
      </c>
      <c r="G27" s="70"/>
      <c r="H27" s="16"/>
      <c r="I27" s="70"/>
      <c r="J27" s="70"/>
      <c r="K27" s="69">
        <f t="shared" si="0"/>
        <v>0</v>
      </c>
      <c r="L27" s="17"/>
    </row>
    <row r="28" spans="1:12" x14ac:dyDescent="0.35">
      <c r="A28" s="8"/>
      <c r="B28" s="9"/>
      <c r="C28" s="119" t="s">
        <v>53</v>
      </c>
      <c r="D28" s="13"/>
      <c r="E28" s="119"/>
      <c r="F28" s="9" t="s">
        <v>54</v>
      </c>
      <c r="G28" s="70"/>
      <c r="H28" s="16"/>
      <c r="I28" s="70"/>
      <c r="J28" s="70"/>
      <c r="K28" s="69">
        <f t="shared" si="0"/>
        <v>0</v>
      </c>
      <c r="L28" s="17"/>
    </row>
    <row r="29" spans="1:12" x14ac:dyDescent="0.35">
      <c r="A29" s="8"/>
      <c r="B29" s="9"/>
      <c r="C29" s="119" t="s">
        <v>55</v>
      </c>
      <c r="D29" s="13"/>
      <c r="E29" s="119"/>
      <c r="F29" s="9" t="s">
        <v>56</v>
      </c>
      <c r="G29" s="70">
        <v>57658</v>
      </c>
      <c r="H29" s="16" t="s">
        <v>15</v>
      </c>
      <c r="I29" s="70">
        <v>57658</v>
      </c>
      <c r="J29" s="70"/>
      <c r="K29" s="69">
        <f t="shared" si="0"/>
        <v>57658</v>
      </c>
      <c r="L29" s="17"/>
    </row>
    <row r="30" spans="1:12" x14ac:dyDescent="0.35">
      <c r="A30" s="8"/>
      <c r="B30" s="9"/>
      <c r="C30" s="119" t="s">
        <v>57</v>
      </c>
      <c r="D30" s="13"/>
      <c r="E30" s="119"/>
      <c r="F30" s="9" t="s">
        <v>58</v>
      </c>
      <c r="G30" s="70">
        <f>6148315+11227</f>
        <v>6159542</v>
      </c>
      <c r="H30" s="16" t="s">
        <v>59</v>
      </c>
      <c r="I30" s="70">
        <v>1334484</v>
      </c>
      <c r="J30" s="70">
        <v>4825058</v>
      </c>
      <c r="K30" s="69">
        <f t="shared" si="0"/>
        <v>6159542</v>
      </c>
      <c r="L30" s="17"/>
    </row>
    <row r="31" spans="1:12" x14ac:dyDescent="0.35">
      <c r="A31" s="8"/>
      <c r="B31" s="9"/>
      <c r="C31" s="119" t="s">
        <v>60</v>
      </c>
      <c r="D31" s="13"/>
      <c r="E31" s="119"/>
      <c r="F31" s="9" t="s">
        <v>61</v>
      </c>
      <c r="G31" s="70"/>
      <c r="H31" s="16"/>
      <c r="I31" s="70"/>
      <c r="J31" s="70"/>
      <c r="K31" s="69">
        <f t="shared" si="0"/>
        <v>0</v>
      </c>
      <c r="L31" s="17"/>
    </row>
    <row r="32" spans="1:12" x14ac:dyDescent="0.35">
      <c r="A32" s="8"/>
      <c r="B32" s="9"/>
      <c r="C32" s="119" t="s">
        <v>62</v>
      </c>
      <c r="D32" s="13"/>
      <c r="E32" s="119"/>
      <c r="F32" s="9" t="s">
        <v>63</v>
      </c>
      <c r="G32" s="70"/>
      <c r="H32" s="16"/>
      <c r="I32" s="70"/>
      <c r="J32" s="70"/>
      <c r="K32" s="69">
        <f t="shared" si="0"/>
        <v>0</v>
      </c>
      <c r="L32" s="17"/>
    </row>
    <row r="33" spans="1:12" x14ac:dyDescent="0.35">
      <c r="A33" s="9"/>
      <c r="B33" s="9"/>
      <c r="C33" s="119" t="s">
        <v>64</v>
      </c>
      <c r="D33" s="9"/>
      <c r="E33" s="119"/>
      <c r="F33" s="9" t="s">
        <v>65</v>
      </c>
      <c r="G33" s="70">
        <v>192456</v>
      </c>
      <c r="H33" s="16" t="s">
        <v>24</v>
      </c>
      <c r="I33" s="70"/>
      <c r="J33" s="70">
        <v>192456</v>
      </c>
      <c r="K33" s="69">
        <f t="shared" si="0"/>
        <v>192456</v>
      </c>
      <c r="L33" s="17"/>
    </row>
    <row r="34" spans="1:12" x14ac:dyDescent="0.35">
      <c r="A34" s="9"/>
      <c r="B34" s="9"/>
      <c r="C34" s="119" t="s">
        <v>66</v>
      </c>
      <c r="D34" s="9"/>
      <c r="E34" s="9"/>
      <c r="F34" s="9" t="s">
        <v>67</v>
      </c>
      <c r="G34" s="70"/>
      <c r="H34" s="16"/>
      <c r="I34" s="70"/>
      <c r="J34" s="70"/>
      <c r="K34" s="69">
        <f t="shared" si="0"/>
        <v>0</v>
      </c>
      <c r="L34" s="17"/>
    </row>
    <row r="35" spans="1:12" x14ac:dyDescent="0.35">
      <c r="A35" s="9"/>
      <c r="B35" s="9"/>
      <c r="C35" s="119" t="s">
        <v>68</v>
      </c>
      <c r="D35" s="9"/>
      <c r="E35" s="119"/>
      <c r="F35" s="9" t="s">
        <v>69</v>
      </c>
      <c r="G35" s="70"/>
      <c r="H35" s="16"/>
      <c r="I35" s="70"/>
      <c r="J35" s="70"/>
      <c r="K35" s="69">
        <f t="shared" si="0"/>
        <v>0</v>
      </c>
      <c r="L35" s="17"/>
    </row>
    <row r="36" spans="1:12" x14ac:dyDescent="0.35">
      <c r="A36" s="9"/>
      <c r="B36" s="9"/>
      <c r="C36" s="119" t="s">
        <v>70</v>
      </c>
      <c r="D36" s="9"/>
      <c r="E36" s="9"/>
      <c r="F36" s="9" t="s">
        <v>71</v>
      </c>
      <c r="G36" s="70"/>
      <c r="H36" s="16"/>
      <c r="I36" s="70"/>
      <c r="J36" s="70"/>
      <c r="K36" s="69">
        <f t="shared" si="0"/>
        <v>0</v>
      </c>
      <c r="L36" s="17"/>
    </row>
    <row r="37" spans="1:12" x14ac:dyDescent="0.35">
      <c r="A37" s="9"/>
      <c r="B37" s="9"/>
      <c r="C37" s="119" t="s">
        <v>72</v>
      </c>
      <c r="D37" s="9"/>
      <c r="E37" s="121"/>
      <c r="F37" s="9" t="s">
        <v>73</v>
      </c>
      <c r="G37" s="70"/>
      <c r="H37" s="16"/>
      <c r="I37" s="70"/>
      <c r="J37" s="70"/>
      <c r="K37" s="69">
        <f t="shared" si="0"/>
        <v>0</v>
      </c>
      <c r="L37" s="17"/>
    </row>
    <row r="38" spans="1:12" x14ac:dyDescent="0.35">
      <c r="A38" s="9"/>
      <c r="B38" s="9"/>
      <c r="C38" s="119" t="s">
        <v>74</v>
      </c>
      <c r="D38" s="9"/>
      <c r="E38" s="9"/>
      <c r="F38" s="9" t="s">
        <v>75</v>
      </c>
      <c r="G38" s="70"/>
      <c r="H38" s="16"/>
      <c r="I38" s="70"/>
      <c r="J38" s="70"/>
      <c r="K38" s="69">
        <f t="shared" si="0"/>
        <v>0</v>
      </c>
      <c r="L38" s="17"/>
    </row>
    <row r="39" spans="1:12" x14ac:dyDescent="0.35">
      <c r="A39" s="9"/>
      <c r="B39" s="9"/>
      <c r="C39" s="119" t="s">
        <v>76</v>
      </c>
      <c r="D39" s="9"/>
      <c r="E39" s="9"/>
      <c r="F39" s="9" t="s">
        <v>77</v>
      </c>
      <c r="G39" s="70"/>
      <c r="H39" s="16"/>
      <c r="I39" s="70"/>
      <c r="J39" s="70"/>
      <c r="K39" s="69">
        <f t="shared" si="0"/>
        <v>0</v>
      </c>
      <c r="L39" s="17"/>
    </row>
    <row r="40" spans="1:12" x14ac:dyDescent="0.35">
      <c r="A40" s="9"/>
      <c r="B40" s="9"/>
      <c r="C40" s="119" t="s">
        <v>78</v>
      </c>
      <c r="D40" s="9"/>
      <c r="E40" s="9"/>
      <c r="F40" s="9" t="s">
        <v>79</v>
      </c>
      <c r="G40" s="70"/>
      <c r="H40" s="16"/>
      <c r="I40" s="70"/>
      <c r="J40" s="70"/>
      <c r="K40" s="69">
        <f t="shared" si="0"/>
        <v>0</v>
      </c>
      <c r="L40" s="17"/>
    </row>
    <row r="41" spans="1:12" x14ac:dyDescent="0.35">
      <c r="A41" s="9"/>
      <c r="B41" s="9"/>
      <c r="C41" s="119" t="s">
        <v>80</v>
      </c>
      <c r="D41" s="9"/>
      <c r="E41" s="9"/>
      <c r="F41" s="9" t="s">
        <v>81</v>
      </c>
      <c r="G41" s="70"/>
      <c r="H41" s="16"/>
      <c r="I41" s="70"/>
      <c r="J41" s="70"/>
      <c r="K41" s="69">
        <f t="shared" si="0"/>
        <v>0</v>
      </c>
      <c r="L41" s="17"/>
    </row>
    <row r="42" spans="1:12" x14ac:dyDescent="0.35">
      <c r="A42" s="9"/>
      <c r="B42" s="9" t="s">
        <v>82</v>
      </c>
      <c r="C42" s="119"/>
      <c r="D42" s="9"/>
      <c r="E42" s="9" t="s">
        <v>83</v>
      </c>
      <c r="F42" s="9"/>
      <c r="G42" s="69">
        <f>SUM(G43:G63)</f>
        <v>9666650</v>
      </c>
      <c r="H42" s="9"/>
      <c r="I42" s="69">
        <f>SUM(I43:I63)</f>
        <v>1207371</v>
      </c>
      <c r="J42" s="69">
        <f>SUM(J43:J63)</f>
        <v>8459279</v>
      </c>
      <c r="K42" s="69"/>
      <c r="L42" s="14"/>
    </row>
    <row r="43" spans="1:12" x14ac:dyDescent="0.35">
      <c r="A43" s="9"/>
      <c r="B43" s="9"/>
      <c r="C43" s="119" t="s">
        <v>84</v>
      </c>
      <c r="D43" s="9"/>
      <c r="E43" s="9"/>
      <c r="F43" s="9" t="s">
        <v>85</v>
      </c>
      <c r="G43" s="70">
        <v>4703103</v>
      </c>
      <c r="H43" s="16" t="s">
        <v>24</v>
      </c>
      <c r="I43" s="70"/>
      <c r="J43" s="70">
        <v>4703103</v>
      </c>
      <c r="K43" s="69">
        <f t="shared" si="0"/>
        <v>4703103</v>
      </c>
      <c r="L43" s="17"/>
    </row>
    <row r="44" spans="1:12" x14ac:dyDescent="0.35">
      <c r="A44" s="9"/>
      <c r="B44" s="9"/>
      <c r="C44" s="119" t="s">
        <v>86</v>
      </c>
      <c r="D44" s="9"/>
      <c r="E44" s="9"/>
      <c r="F44" s="9" t="s">
        <v>87</v>
      </c>
      <c r="G44" s="70"/>
      <c r="H44" s="16"/>
      <c r="I44" s="70"/>
      <c r="J44" s="70"/>
      <c r="K44" s="69">
        <f t="shared" si="0"/>
        <v>0</v>
      </c>
      <c r="L44" s="17"/>
    </row>
    <row r="45" spans="1:12" x14ac:dyDescent="0.35">
      <c r="A45" s="9"/>
      <c r="B45" s="9"/>
      <c r="C45" s="119" t="s">
        <v>88</v>
      </c>
      <c r="D45" s="9"/>
      <c r="E45" s="9"/>
      <c r="F45" s="9" t="s">
        <v>89</v>
      </c>
      <c r="G45" s="70"/>
      <c r="H45" s="16"/>
      <c r="I45" s="70"/>
      <c r="J45" s="70"/>
      <c r="K45" s="69">
        <f t="shared" si="0"/>
        <v>0</v>
      </c>
      <c r="L45" s="17"/>
    </row>
    <row r="46" spans="1:12" x14ac:dyDescent="0.35">
      <c r="A46" s="9"/>
      <c r="B46" s="9"/>
      <c r="C46" s="119" t="s">
        <v>90</v>
      </c>
      <c r="D46" s="9"/>
      <c r="E46" s="9"/>
      <c r="F46" s="9" t="s">
        <v>91</v>
      </c>
      <c r="G46" s="70"/>
      <c r="H46" s="16"/>
      <c r="I46" s="70"/>
      <c r="J46" s="70"/>
      <c r="K46" s="69">
        <f t="shared" si="0"/>
        <v>0</v>
      </c>
      <c r="L46" s="17"/>
    </row>
    <row r="47" spans="1:12" x14ac:dyDescent="0.35">
      <c r="A47" s="9"/>
      <c r="B47" s="9"/>
      <c r="C47" s="119" t="s">
        <v>92</v>
      </c>
      <c r="D47" s="9"/>
      <c r="E47" s="9"/>
      <c r="F47" s="9" t="s">
        <v>93</v>
      </c>
      <c r="G47" s="70">
        <v>1105706</v>
      </c>
      <c r="H47" s="16" t="s">
        <v>15</v>
      </c>
      <c r="I47" s="70">
        <v>1105706</v>
      </c>
      <c r="J47" s="70"/>
      <c r="K47" s="69">
        <f t="shared" si="0"/>
        <v>1105706</v>
      </c>
      <c r="L47" s="17"/>
    </row>
    <row r="48" spans="1:12" x14ac:dyDescent="0.35">
      <c r="A48" s="9"/>
      <c r="B48" s="9"/>
      <c r="C48" s="119" t="s">
        <v>94</v>
      </c>
      <c r="D48" s="9"/>
      <c r="E48" s="9"/>
      <c r="F48" s="9" t="s">
        <v>95</v>
      </c>
      <c r="G48" s="70"/>
      <c r="H48" s="16"/>
      <c r="I48" s="70"/>
      <c r="J48" s="70"/>
      <c r="K48" s="69">
        <f t="shared" si="0"/>
        <v>0</v>
      </c>
      <c r="L48" s="17"/>
    </row>
    <row r="49" spans="1:12" x14ac:dyDescent="0.35">
      <c r="A49" s="9"/>
      <c r="B49" s="9"/>
      <c r="C49" s="119" t="s">
        <v>96</v>
      </c>
      <c r="D49" s="9"/>
      <c r="E49" s="9"/>
      <c r="F49" s="9" t="s">
        <v>97</v>
      </c>
      <c r="G49" s="70">
        <v>100976</v>
      </c>
      <c r="H49" s="16" t="s">
        <v>15</v>
      </c>
      <c r="I49" s="70">
        <v>100976</v>
      </c>
      <c r="J49" s="70"/>
      <c r="K49" s="69">
        <f t="shared" si="0"/>
        <v>100976</v>
      </c>
      <c r="L49" s="17"/>
    </row>
    <row r="50" spans="1:12" x14ac:dyDescent="0.35">
      <c r="A50" s="9"/>
      <c r="B50" s="9"/>
      <c r="C50" s="119" t="s">
        <v>98</v>
      </c>
      <c r="D50" s="9"/>
      <c r="E50" s="9"/>
      <c r="F50" s="9" t="s">
        <v>99</v>
      </c>
      <c r="G50" s="70"/>
      <c r="H50" s="16"/>
      <c r="I50" s="70"/>
      <c r="J50" s="70"/>
      <c r="K50" s="69">
        <f t="shared" si="0"/>
        <v>0</v>
      </c>
      <c r="L50" s="17"/>
    </row>
    <row r="51" spans="1:12" x14ac:dyDescent="0.35">
      <c r="A51" s="9"/>
      <c r="B51" s="9"/>
      <c r="C51" s="119" t="s">
        <v>100</v>
      </c>
      <c r="D51" s="9"/>
      <c r="E51" s="9"/>
      <c r="F51" s="9" t="s">
        <v>101</v>
      </c>
      <c r="G51" s="70"/>
      <c r="H51" s="16"/>
      <c r="I51" s="70"/>
      <c r="J51" s="70"/>
      <c r="K51" s="69">
        <f t="shared" si="0"/>
        <v>0</v>
      </c>
      <c r="L51" s="17"/>
    </row>
    <row r="52" spans="1:12" x14ac:dyDescent="0.35">
      <c r="A52" s="9"/>
      <c r="B52" s="9"/>
      <c r="C52" s="119" t="s">
        <v>102</v>
      </c>
      <c r="D52" s="9"/>
      <c r="E52" s="9"/>
      <c r="F52" s="9" t="s">
        <v>103</v>
      </c>
      <c r="G52" s="70"/>
      <c r="H52" s="16"/>
      <c r="I52" s="70"/>
      <c r="J52" s="70"/>
      <c r="K52" s="69">
        <f t="shared" si="0"/>
        <v>0</v>
      </c>
      <c r="L52" s="17"/>
    </row>
    <row r="53" spans="1:12" x14ac:dyDescent="0.35">
      <c r="A53" s="9"/>
      <c r="B53" s="9"/>
      <c r="C53" s="119" t="s">
        <v>104</v>
      </c>
      <c r="D53" s="9"/>
      <c r="E53" s="9"/>
      <c r="F53" s="9" t="s">
        <v>105</v>
      </c>
      <c r="G53" s="70"/>
      <c r="H53" s="16"/>
      <c r="I53" s="70"/>
      <c r="J53" s="70"/>
      <c r="K53" s="69">
        <f t="shared" si="0"/>
        <v>0</v>
      </c>
      <c r="L53" s="17"/>
    </row>
    <row r="54" spans="1:12" x14ac:dyDescent="0.35">
      <c r="A54" s="9"/>
      <c r="B54" s="9"/>
      <c r="C54" s="119" t="s">
        <v>106</v>
      </c>
      <c r="D54" s="9"/>
      <c r="E54" s="9"/>
      <c r="F54" s="9" t="s">
        <v>107</v>
      </c>
      <c r="G54" s="70">
        <v>158741</v>
      </c>
      <c r="H54" s="16" t="s">
        <v>24</v>
      </c>
      <c r="I54" s="70"/>
      <c r="J54" s="70">
        <v>158741</v>
      </c>
      <c r="K54" s="69">
        <f t="shared" si="0"/>
        <v>158741</v>
      </c>
      <c r="L54" s="17"/>
    </row>
    <row r="55" spans="1:12" x14ac:dyDescent="0.35">
      <c r="A55" s="9"/>
      <c r="B55" s="9"/>
      <c r="C55" s="119" t="s">
        <v>108</v>
      </c>
      <c r="D55" s="9"/>
      <c r="E55" s="9"/>
      <c r="F55" s="9" t="s">
        <v>109</v>
      </c>
      <c r="G55" s="70">
        <v>615680</v>
      </c>
      <c r="H55" s="16" t="s">
        <v>24</v>
      </c>
      <c r="I55" s="70"/>
      <c r="J55" s="70">
        <v>615680</v>
      </c>
      <c r="K55" s="69">
        <f t="shared" si="0"/>
        <v>615680</v>
      </c>
      <c r="L55" s="17"/>
    </row>
    <row r="56" spans="1:12" x14ac:dyDescent="0.35">
      <c r="A56" s="9"/>
      <c r="B56" s="9"/>
      <c r="C56" s="119" t="s">
        <v>110</v>
      </c>
      <c r="D56" s="9"/>
      <c r="E56" s="9"/>
      <c r="F56" s="9" t="s">
        <v>111</v>
      </c>
      <c r="G56" s="70"/>
      <c r="H56" s="16"/>
      <c r="I56" s="70"/>
      <c r="J56" s="70"/>
      <c r="K56" s="69">
        <f t="shared" si="0"/>
        <v>0</v>
      </c>
      <c r="L56" s="17"/>
    </row>
    <row r="57" spans="1:12" x14ac:dyDescent="0.35">
      <c r="A57" s="9"/>
      <c r="B57" s="9"/>
      <c r="C57" s="119" t="s">
        <v>112</v>
      </c>
      <c r="D57" s="9"/>
      <c r="E57" s="9"/>
      <c r="F57" s="9" t="s">
        <v>113</v>
      </c>
      <c r="G57" s="70"/>
      <c r="H57" s="16"/>
      <c r="I57" s="70"/>
      <c r="J57" s="70"/>
      <c r="K57" s="69">
        <f t="shared" si="0"/>
        <v>0</v>
      </c>
      <c r="L57" s="17"/>
    </row>
    <row r="58" spans="1:12" x14ac:dyDescent="0.35">
      <c r="A58" s="9"/>
      <c r="B58" s="9"/>
      <c r="C58" s="119" t="s">
        <v>114</v>
      </c>
      <c r="D58" s="9"/>
      <c r="E58" s="9"/>
      <c r="F58" s="9" t="s">
        <v>115</v>
      </c>
      <c r="G58" s="70"/>
      <c r="H58" s="16"/>
      <c r="I58" s="70"/>
      <c r="J58" s="70"/>
      <c r="K58" s="69">
        <f t="shared" si="0"/>
        <v>0</v>
      </c>
      <c r="L58" s="17"/>
    </row>
    <row r="59" spans="1:12" x14ac:dyDescent="0.35">
      <c r="A59" s="9"/>
      <c r="B59" s="9"/>
      <c r="C59" s="119" t="s">
        <v>116</v>
      </c>
      <c r="D59" s="9"/>
      <c r="E59" s="9"/>
      <c r="F59" s="9" t="s">
        <v>117</v>
      </c>
      <c r="G59" s="86">
        <f>2776642-11227</f>
        <v>2765415</v>
      </c>
      <c r="H59" s="16" t="s">
        <v>24</v>
      </c>
      <c r="I59" s="70"/>
      <c r="J59" s="70">
        <v>2765415</v>
      </c>
      <c r="K59" s="69">
        <f t="shared" si="0"/>
        <v>2765415</v>
      </c>
      <c r="L59" s="17"/>
    </row>
    <row r="60" spans="1:12" x14ac:dyDescent="0.35">
      <c r="A60" s="9"/>
      <c r="B60" s="9"/>
      <c r="C60" s="119" t="s">
        <v>118</v>
      </c>
      <c r="D60" s="9"/>
      <c r="E60" s="9"/>
      <c r="F60" s="9" t="s">
        <v>119</v>
      </c>
      <c r="G60" s="70"/>
      <c r="H60" s="16"/>
      <c r="I60" s="70"/>
      <c r="J60" s="70"/>
      <c r="K60" s="69">
        <f t="shared" si="0"/>
        <v>0</v>
      </c>
      <c r="L60" s="17"/>
    </row>
    <row r="61" spans="1:12" x14ac:dyDescent="0.35">
      <c r="A61" s="9"/>
      <c r="B61" s="9"/>
      <c r="C61" s="119" t="s">
        <v>120</v>
      </c>
      <c r="D61" s="9"/>
      <c r="E61" s="9"/>
      <c r="F61" s="9" t="s">
        <v>121</v>
      </c>
      <c r="G61" s="70">
        <v>216340</v>
      </c>
      <c r="H61" s="16" t="s">
        <v>24</v>
      </c>
      <c r="I61" s="70"/>
      <c r="J61" s="70">
        <v>216340</v>
      </c>
      <c r="K61" s="69">
        <f t="shared" si="0"/>
        <v>216340</v>
      </c>
      <c r="L61" s="17"/>
    </row>
    <row r="62" spans="1:12" x14ac:dyDescent="0.35">
      <c r="A62" s="9"/>
      <c r="B62" s="9"/>
      <c r="C62" s="119" t="s">
        <v>122</v>
      </c>
      <c r="D62" s="9"/>
      <c r="E62" s="9"/>
      <c r="F62" s="9" t="s">
        <v>123</v>
      </c>
      <c r="G62" s="70">
        <v>689</v>
      </c>
      <c r="H62" s="16" t="s">
        <v>15</v>
      </c>
      <c r="I62" s="70">
        <v>689</v>
      </c>
      <c r="J62" s="70"/>
      <c r="K62" s="69">
        <f t="shared" si="0"/>
        <v>689</v>
      </c>
      <c r="L62" s="17"/>
    </row>
    <row r="63" spans="1:12" x14ac:dyDescent="0.35">
      <c r="A63" s="9"/>
      <c r="B63" s="9"/>
      <c r="C63" s="119" t="s">
        <v>124</v>
      </c>
      <c r="D63" s="9"/>
      <c r="E63" s="9"/>
      <c r="F63" s="9" t="s">
        <v>125</v>
      </c>
      <c r="G63" s="70"/>
      <c r="H63" s="16"/>
      <c r="I63" s="70"/>
      <c r="J63" s="70"/>
      <c r="K63" s="69">
        <f t="shared" si="0"/>
        <v>0</v>
      </c>
      <c r="L63" s="17"/>
    </row>
    <row r="64" spans="1:12" hidden="1" x14ac:dyDescent="0.35">
      <c r="A64" s="9"/>
      <c r="B64" s="9" t="s">
        <v>126</v>
      </c>
      <c r="C64" s="119"/>
      <c r="D64" s="9"/>
      <c r="E64" s="9" t="s">
        <v>127</v>
      </c>
      <c r="F64" s="9"/>
      <c r="G64" s="69"/>
      <c r="H64" s="9"/>
      <c r="I64" s="69"/>
      <c r="J64" s="69"/>
      <c r="K64" s="69"/>
      <c r="L64" s="14"/>
    </row>
    <row r="65" spans="1:12" hidden="1" x14ac:dyDescent="0.35">
      <c r="A65" s="9"/>
      <c r="B65" s="9" t="s">
        <v>128</v>
      </c>
      <c r="C65" s="119"/>
      <c r="D65" s="9"/>
      <c r="E65" s="9" t="s">
        <v>127</v>
      </c>
      <c r="F65" s="9"/>
      <c r="G65" s="69"/>
      <c r="H65" s="9"/>
      <c r="I65" s="69"/>
      <c r="J65" s="69"/>
      <c r="K65" s="69"/>
      <c r="L65" s="14"/>
    </row>
    <row r="66" spans="1:12" x14ac:dyDescent="0.35">
      <c r="A66" s="9"/>
      <c r="B66" s="9" t="s">
        <v>129</v>
      </c>
      <c r="C66" s="119"/>
      <c r="D66" s="9"/>
      <c r="E66" s="9" t="s">
        <v>130</v>
      </c>
      <c r="F66" s="9"/>
      <c r="G66" s="69">
        <f>SUM(G67:G69)</f>
        <v>41677</v>
      </c>
      <c r="H66" s="9"/>
      <c r="I66" s="69">
        <f>SUM(I67:I69)</f>
        <v>0</v>
      </c>
      <c r="J66" s="69">
        <f>SUM(J67:J69)</f>
        <v>41677</v>
      </c>
      <c r="K66" s="69"/>
      <c r="L66" s="14"/>
    </row>
    <row r="67" spans="1:12" x14ac:dyDescent="0.35">
      <c r="A67" s="9"/>
      <c r="B67" s="9"/>
      <c r="C67" s="119" t="s">
        <v>131</v>
      </c>
      <c r="D67" s="9"/>
      <c r="E67" s="9"/>
      <c r="F67" s="9" t="s">
        <v>132</v>
      </c>
      <c r="G67" s="70">
        <v>41677</v>
      </c>
      <c r="H67" s="16" t="s">
        <v>24</v>
      </c>
      <c r="I67" s="70"/>
      <c r="J67" s="70">
        <v>41677</v>
      </c>
      <c r="K67" s="69">
        <f t="shared" ref="K67:K69" si="1">I67+J67</f>
        <v>41677</v>
      </c>
      <c r="L67" s="17"/>
    </row>
    <row r="68" spans="1:12" x14ac:dyDescent="0.35">
      <c r="A68" s="9"/>
      <c r="B68" s="9"/>
      <c r="C68" s="119" t="s">
        <v>133</v>
      </c>
      <c r="D68" s="9"/>
      <c r="E68" s="9"/>
      <c r="F68" s="9" t="s">
        <v>134</v>
      </c>
      <c r="G68" s="70"/>
      <c r="H68" s="16"/>
      <c r="I68" s="70"/>
      <c r="J68" s="70"/>
      <c r="K68" s="69">
        <f t="shared" si="1"/>
        <v>0</v>
      </c>
      <c r="L68" s="17"/>
    </row>
    <row r="69" spans="1:12" x14ac:dyDescent="0.35">
      <c r="A69" s="9"/>
      <c r="B69" s="9"/>
      <c r="C69" s="119" t="s">
        <v>135</v>
      </c>
      <c r="D69" s="9"/>
      <c r="E69" s="9"/>
      <c r="F69" s="9" t="s">
        <v>136</v>
      </c>
      <c r="G69" s="70"/>
      <c r="H69" s="16"/>
      <c r="I69" s="70"/>
      <c r="J69" s="70"/>
      <c r="K69" s="69">
        <f t="shared" si="1"/>
        <v>0</v>
      </c>
      <c r="L69" s="17"/>
    </row>
    <row r="70" spans="1:12" x14ac:dyDescent="0.35">
      <c r="A70" s="9"/>
      <c r="B70" s="9" t="s">
        <v>137</v>
      </c>
      <c r="C70" s="119"/>
      <c r="D70" s="9"/>
      <c r="E70" s="9" t="s">
        <v>138</v>
      </c>
      <c r="F70" s="9"/>
      <c r="G70" s="69">
        <f>SUM(G71:G73)</f>
        <v>1577877</v>
      </c>
      <c r="H70" s="9"/>
      <c r="I70" s="69">
        <f>SUM(I71:I73)</f>
        <v>497543</v>
      </c>
      <c r="J70" s="69">
        <f>SUM(J71:J73)</f>
        <v>1080334</v>
      </c>
      <c r="K70" s="69"/>
      <c r="L70" s="14"/>
    </row>
    <row r="71" spans="1:12" x14ac:dyDescent="0.35">
      <c r="A71" s="9"/>
      <c r="B71" s="9"/>
      <c r="C71" s="119" t="s">
        <v>139</v>
      </c>
      <c r="D71" s="9"/>
      <c r="E71" s="9"/>
      <c r="F71" s="9" t="s">
        <v>140</v>
      </c>
      <c r="G71" s="70"/>
      <c r="H71" s="16"/>
      <c r="I71" s="70"/>
      <c r="J71" s="70"/>
      <c r="K71" s="69">
        <f t="shared" ref="K71:K73" si="2">I71+J71</f>
        <v>0</v>
      </c>
      <c r="L71" s="17"/>
    </row>
    <row r="72" spans="1:12" x14ac:dyDescent="0.35">
      <c r="A72" s="9"/>
      <c r="B72" s="9"/>
      <c r="C72" s="119" t="s">
        <v>141</v>
      </c>
      <c r="D72" s="9"/>
      <c r="E72" s="9"/>
      <c r="F72" s="9" t="s">
        <v>142</v>
      </c>
      <c r="G72" s="70">
        <v>995086</v>
      </c>
      <c r="H72" s="16" t="s">
        <v>59</v>
      </c>
      <c r="I72" s="70">
        <v>497543</v>
      </c>
      <c r="J72" s="70">
        <v>497543</v>
      </c>
      <c r="K72" s="69">
        <f t="shared" si="2"/>
        <v>995086</v>
      </c>
      <c r="L72" s="17"/>
    </row>
    <row r="73" spans="1:12" x14ac:dyDescent="0.35">
      <c r="A73" s="9"/>
      <c r="B73" s="9"/>
      <c r="C73" s="119" t="s">
        <v>143</v>
      </c>
      <c r="D73" s="9"/>
      <c r="E73" s="9"/>
      <c r="F73" s="9" t="s">
        <v>144</v>
      </c>
      <c r="G73" s="70">
        <v>582791</v>
      </c>
      <c r="H73" s="16" t="s">
        <v>24</v>
      </c>
      <c r="I73" s="70"/>
      <c r="J73" s="70">
        <v>582791</v>
      </c>
      <c r="K73" s="69">
        <f t="shared" si="2"/>
        <v>582791</v>
      </c>
      <c r="L73" s="17"/>
    </row>
    <row r="74" spans="1:12" hidden="1" x14ac:dyDescent="0.35">
      <c r="A74" s="9"/>
      <c r="B74" s="9" t="s">
        <v>145</v>
      </c>
      <c r="C74" s="119"/>
      <c r="D74" s="9"/>
      <c r="E74" s="9" t="s">
        <v>127</v>
      </c>
      <c r="F74" s="9"/>
      <c r="G74" s="69"/>
      <c r="H74" s="9"/>
      <c r="I74" s="69"/>
      <c r="J74" s="69"/>
      <c r="K74" s="69"/>
      <c r="L74" s="14"/>
    </row>
    <row r="75" spans="1:12" hidden="1" x14ac:dyDescent="0.35">
      <c r="A75" s="9"/>
      <c r="B75" s="9" t="s">
        <v>146</v>
      </c>
      <c r="C75" s="119"/>
      <c r="D75" s="9"/>
      <c r="E75" s="9" t="s">
        <v>127</v>
      </c>
      <c r="F75" s="9"/>
      <c r="G75" s="69"/>
      <c r="H75" s="9"/>
      <c r="I75" s="69"/>
      <c r="J75" s="69"/>
      <c r="K75" s="69"/>
      <c r="L75" s="14"/>
    </row>
    <row r="76" spans="1:12" s="7" customFormat="1" x14ac:dyDescent="0.35">
      <c r="A76" s="4" t="s">
        <v>147</v>
      </c>
      <c r="B76" s="4"/>
      <c r="C76" s="122"/>
      <c r="D76" s="4"/>
      <c r="E76" s="4"/>
      <c r="F76" s="4"/>
      <c r="G76" s="138">
        <f>G8+G25+G42+G66+G70</f>
        <v>19428654</v>
      </c>
      <c r="H76" s="88"/>
      <c r="I76" s="138">
        <f>I8+I25+I42+I66+I70</f>
        <v>3959510</v>
      </c>
      <c r="J76" s="138">
        <f>J8+J25+J42+J66+J70</f>
        <v>15469144</v>
      </c>
      <c r="K76" s="69">
        <f t="shared" ref="K76" si="3">I76+J76</f>
        <v>19428654</v>
      </c>
      <c r="L76" s="25"/>
    </row>
    <row r="77" spans="1:12" x14ac:dyDescent="0.35">
      <c r="F77" s="139" t="s">
        <v>200</v>
      </c>
      <c r="G77" s="140">
        <f>'[24]CA2 Detail'!L173</f>
        <v>19428654</v>
      </c>
      <c r="H77" s="13"/>
      <c r="I77" s="89">
        <f>I76/G76</f>
        <v>0.20379744268439801</v>
      </c>
      <c r="J77" s="89">
        <f>J76/G76</f>
        <v>0.79620255731560197</v>
      </c>
      <c r="K77" s="27"/>
    </row>
    <row r="79" spans="1:12" x14ac:dyDescent="0.35">
      <c r="F79" s="142" t="s">
        <v>201</v>
      </c>
    </row>
    <row r="80" spans="1:12" hidden="1" x14ac:dyDescent="0.35">
      <c r="H80" t="s">
        <v>15</v>
      </c>
    </row>
    <row r="81" spans="3:11" hidden="1" x14ac:dyDescent="0.35">
      <c r="C81"/>
      <c r="H81" t="s">
        <v>24</v>
      </c>
    </row>
    <row r="82" spans="3:11" hidden="1" x14ac:dyDescent="0.35">
      <c r="C82"/>
      <c r="H82" t="s">
        <v>59</v>
      </c>
    </row>
    <row r="83" spans="3:11" x14ac:dyDescent="0.35">
      <c r="C83"/>
      <c r="H83" s="139" t="s">
        <v>202</v>
      </c>
      <c r="I83" s="69">
        <f>'[24]CA2 Detail'!W121-'[24]CA2 Detail'!J203</f>
        <v>67932868.148563236</v>
      </c>
      <c r="J83" s="161">
        <f>I76/I83</f>
        <v>5.8285629738772375E-2</v>
      </c>
      <c r="K83" s="142" t="s">
        <v>203</v>
      </c>
    </row>
    <row r="97" spans="3:3" x14ac:dyDescent="0.35">
      <c r="C97"/>
    </row>
    <row r="98" spans="3:3" x14ac:dyDescent="0.35">
      <c r="C98"/>
    </row>
    <row r="99" spans="3:3" x14ac:dyDescent="0.35">
      <c r="C99"/>
    </row>
    <row r="100" spans="3:3" x14ac:dyDescent="0.35">
      <c r="C100"/>
    </row>
    <row r="101" spans="3:3" x14ac:dyDescent="0.35">
      <c r="C101"/>
    </row>
    <row r="102" spans="3:3" x14ac:dyDescent="0.35">
      <c r="C102"/>
    </row>
    <row r="103" spans="3:3" x14ac:dyDescent="0.35">
      <c r="C103"/>
    </row>
    <row r="104" spans="3:3" x14ac:dyDescent="0.35">
      <c r="C104"/>
    </row>
    <row r="105" spans="3:3" x14ac:dyDescent="0.35">
      <c r="C105"/>
    </row>
    <row r="106" spans="3:3" x14ac:dyDescent="0.35">
      <c r="C106"/>
    </row>
    <row r="107" spans="3:3" x14ac:dyDescent="0.35">
      <c r="C107"/>
    </row>
    <row r="108" spans="3:3" x14ac:dyDescent="0.35">
      <c r="C108"/>
    </row>
    <row r="109" spans="3:3" x14ac:dyDescent="0.35">
      <c r="C109"/>
    </row>
    <row r="112" spans="3:3" ht="15" hidden="1" customHeight="1" x14ac:dyDescent="0.35"/>
    <row r="113" ht="15" hidden="1" customHeight="1" x14ac:dyDescent="0.35"/>
    <row r="114" ht="15" hidden="1" customHeight="1" x14ac:dyDescent="0.35"/>
    <row r="115" ht="15" hidden="1" customHeight="1" x14ac:dyDescent="0.35"/>
    <row r="116" ht="15" hidden="1" customHeight="1" x14ac:dyDescent="0.35"/>
    <row r="117" ht="15" hidden="1" customHeight="1" x14ac:dyDescent="0.35"/>
    <row r="118" ht="15" hidden="1" customHeight="1" x14ac:dyDescent="0.35"/>
    <row r="119" ht="15" hidden="1" customHeight="1" x14ac:dyDescent="0.35"/>
    <row r="120" ht="15" hidden="1" customHeight="1" x14ac:dyDescent="0.35"/>
    <row r="121" ht="15" hidden="1" customHeight="1" x14ac:dyDescent="0.35"/>
    <row r="122" ht="15" hidden="1" customHeight="1" x14ac:dyDescent="0.35"/>
    <row r="123" ht="15" hidden="1" customHeight="1" x14ac:dyDescent="0.35"/>
    <row r="124" ht="15" hidden="1" customHeight="1" x14ac:dyDescent="0.35"/>
    <row r="125" ht="15" hidden="1" customHeight="1" x14ac:dyDescent="0.35"/>
    <row r="126" ht="15" hidden="1" customHeight="1" x14ac:dyDescent="0.35"/>
    <row r="127" ht="15" hidden="1" customHeight="1" x14ac:dyDescent="0.35"/>
    <row r="128" ht="15" hidden="1" customHeight="1" x14ac:dyDescent="0.35"/>
    <row r="129" ht="15" hidden="1" customHeight="1" x14ac:dyDescent="0.35"/>
    <row r="130" ht="15" hidden="1" customHeight="1" x14ac:dyDescent="0.35"/>
    <row r="131" ht="15" hidden="1" customHeight="1" x14ac:dyDescent="0.35"/>
    <row r="132" ht="15" hidden="1" customHeight="1" x14ac:dyDescent="0.35"/>
    <row r="133" ht="15" hidden="1" customHeight="1" x14ac:dyDescent="0.35"/>
    <row r="134" ht="15" hidden="1" customHeight="1" x14ac:dyDescent="0.35"/>
    <row r="135" ht="15" hidden="1" customHeight="1" x14ac:dyDescent="0.35"/>
    <row r="136" ht="15" hidden="1" customHeight="1" x14ac:dyDescent="0.35"/>
    <row r="137" ht="15" hidden="1" customHeight="1" x14ac:dyDescent="0.35"/>
    <row r="138" ht="15" hidden="1" customHeight="1" x14ac:dyDescent="0.35"/>
    <row r="139" ht="15" hidden="1" customHeight="1" x14ac:dyDescent="0.35"/>
    <row r="140" ht="15" hidden="1" customHeight="1" x14ac:dyDescent="0.35"/>
  </sheetData>
  <conditionalFormatting sqref="G76">
    <cfRule type="cellIs" dxfId="27" priority="1" operator="notEqual">
      <formula>$G$77</formula>
    </cfRule>
    <cfRule type="cellIs" dxfId="26" priority="2" operator="equal">
      <formula>$G$77</formula>
    </cfRule>
  </conditionalFormatting>
  <conditionalFormatting sqref="K9:K24">
    <cfRule type="cellIs" dxfId="25" priority="13" operator="notEqual">
      <formula>G9</formula>
    </cfRule>
    <cfRule type="cellIs" dxfId="24" priority="14" operator="equal">
      <formula>G9</formula>
    </cfRule>
  </conditionalFormatting>
  <conditionalFormatting sqref="K26:K41">
    <cfRule type="cellIs" dxfId="23" priority="11" operator="notEqual">
      <formula>G26</formula>
    </cfRule>
    <cfRule type="cellIs" dxfId="22" priority="12" operator="equal">
      <formula>G26</formula>
    </cfRule>
  </conditionalFormatting>
  <conditionalFormatting sqref="K43:K63">
    <cfRule type="cellIs" dxfId="21" priority="9" operator="notEqual">
      <formula>G43</formula>
    </cfRule>
    <cfRule type="cellIs" dxfId="20" priority="10" operator="equal">
      <formula>G43</formula>
    </cfRule>
  </conditionalFormatting>
  <conditionalFormatting sqref="K67:K69">
    <cfRule type="cellIs" dxfId="19" priority="7" operator="notEqual">
      <formula>G67</formula>
    </cfRule>
    <cfRule type="cellIs" dxfId="18" priority="8" operator="equal">
      <formula>G67</formula>
    </cfRule>
  </conditionalFormatting>
  <conditionalFormatting sqref="K71:K73">
    <cfRule type="cellIs" dxfId="17" priority="5" operator="notEqual">
      <formula>G71</formula>
    </cfRule>
    <cfRule type="cellIs" dxfId="16" priority="6" operator="equal">
      <formula>G71</formula>
    </cfRule>
  </conditionalFormatting>
  <conditionalFormatting sqref="K76">
    <cfRule type="cellIs" dxfId="15" priority="3" operator="notEqual">
      <formula>G76</formula>
    </cfRule>
    <cfRule type="cellIs" dxfId="14" priority="4" operator="equal">
      <formula>G76</formula>
    </cfRule>
  </conditionalFormatting>
  <dataValidations count="1">
    <dataValidation type="list" allowBlank="1" showInputMessage="1" showErrorMessage="1" sqref="H9:H75" xr:uid="{52FDB79E-8692-4FF0-9905-4C11ED190CF7}">
      <formula1>$H$80:$H$82</formula1>
    </dataValidation>
  </dataValidations>
  <pageMargins left="0.7" right="0.7" top="0.75" bottom="0.75" header="0.3" footer="0.3"/>
  <pageSetup scale="39" orientation="landscape" r:id="rId1"/>
  <legacy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>
    <tabColor rgb="FF00B0F0"/>
    <pageSetUpPr fitToPage="1"/>
  </sheetPr>
  <dimension ref="A1:L140"/>
  <sheetViews>
    <sheetView workbookViewId="0"/>
  </sheetViews>
  <sheetFormatPr defaultRowHeight="14.5" x14ac:dyDescent="0.35"/>
  <cols>
    <col min="1" max="2" width="2.81640625" customWidth="1"/>
    <col min="3" max="3" width="10.453125" style="123" bestFit="1" customWidth="1"/>
    <col min="4" max="5" width="2.81640625" customWidth="1"/>
    <col min="6" max="6" width="80.7265625" bestFit="1" customWidth="1"/>
    <col min="7" max="7" width="27.81640625" customWidth="1"/>
    <col min="8" max="8" width="15.26953125" bestFit="1" customWidth="1"/>
    <col min="9" max="9" width="27.26953125" customWidth="1"/>
    <col min="10" max="10" width="26.81640625" customWidth="1"/>
    <col min="11" max="11" width="25.81640625" customWidth="1"/>
    <col min="12" max="12" width="82.54296875" customWidth="1"/>
  </cols>
  <sheetData>
    <row r="1" spans="1:12" x14ac:dyDescent="0.35">
      <c r="A1" s="7"/>
      <c r="B1" s="7"/>
      <c r="C1" s="7"/>
      <c r="D1" s="7"/>
      <c r="E1" s="7"/>
      <c r="F1" s="7"/>
      <c r="G1" s="7"/>
      <c r="H1" s="7"/>
      <c r="I1" s="7" t="s">
        <v>0</v>
      </c>
      <c r="J1" s="7"/>
      <c r="K1" s="7"/>
      <c r="L1" s="7"/>
    </row>
    <row r="2" spans="1:12" x14ac:dyDescent="0.35">
      <c r="A2" s="7"/>
      <c r="B2" s="7"/>
      <c r="C2" s="7"/>
      <c r="D2" s="7"/>
      <c r="E2" s="7"/>
      <c r="F2" s="7"/>
      <c r="G2" s="7"/>
      <c r="H2" s="7"/>
      <c r="I2" s="132" t="s">
        <v>197</v>
      </c>
      <c r="J2" s="7"/>
      <c r="K2" s="7"/>
      <c r="L2" s="7"/>
    </row>
    <row r="3" spans="1:12" x14ac:dyDescent="0.35">
      <c r="A3" s="136" t="s">
        <v>198</v>
      </c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</row>
    <row r="4" spans="1:12" ht="19.5" customHeight="1" x14ac:dyDescent="0.35">
      <c r="A4" s="137" t="str">
        <f>'[25]Data Entry - CA2'!A2</f>
        <v>Valencia College</v>
      </c>
      <c r="C4"/>
    </row>
    <row r="5" spans="1:12" x14ac:dyDescent="0.35">
      <c r="C5"/>
    </row>
    <row r="6" spans="1:12" s="7" customFormat="1" x14ac:dyDescent="0.35">
      <c r="A6" s="3" t="s">
        <v>2</v>
      </c>
      <c r="B6" s="4"/>
      <c r="C6" s="4"/>
      <c r="D6" s="3" t="s">
        <v>3</v>
      </c>
      <c r="E6" s="4"/>
      <c r="F6" s="4"/>
      <c r="G6" s="118" t="s">
        <v>274</v>
      </c>
      <c r="H6" s="6" t="s">
        <v>4</v>
      </c>
      <c r="I6" s="6" t="s">
        <v>5</v>
      </c>
      <c r="J6" s="6" t="s">
        <v>6</v>
      </c>
      <c r="K6" s="6" t="s">
        <v>7</v>
      </c>
      <c r="L6" s="6" t="s">
        <v>199</v>
      </c>
    </row>
    <row r="7" spans="1:12" x14ac:dyDescent="0.35">
      <c r="A7" s="8" t="s">
        <v>9</v>
      </c>
      <c r="B7" s="9"/>
      <c r="C7" s="119"/>
      <c r="D7" s="11" t="s">
        <v>10</v>
      </c>
      <c r="E7" s="119"/>
      <c r="F7" s="119"/>
      <c r="G7" s="69"/>
      <c r="H7" s="9"/>
      <c r="I7" s="69"/>
      <c r="J7" s="69"/>
      <c r="K7" s="69"/>
      <c r="L7" s="11"/>
    </row>
    <row r="8" spans="1:12" x14ac:dyDescent="0.35">
      <c r="A8" s="8"/>
      <c r="B8" s="9" t="s">
        <v>11</v>
      </c>
      <c r="C8" s="119"/>
      <c r="D8" s="13"/>
      <c r="E8" s="9" t="s">
        <v>12</v>
      </c>
      <c r="F8" s="119"/>
      <c r="G8" s="69">
        <f>SUM(G9:G24)</f>
        <v>6653922.2300000004</v>
      </c>
      <c r="H8" s="9"/>
      <c r="I8" s="69">
        <f>SUM(I9:I24)</f>
        <v>3583701.1099999994</v>
      </c>
      <c r="J8" s="69">
        <f>SUM(J9:J24)</f>
        <v>3070221.1199999996</v>
      </c>
      <c r="K8" s="69"/>
      <c r="L8" s="14"/>
    </row>
    <row r="9" spans="1:12" x14ac:dyDescent="0.35">
      <c r="A9" s="8"/>
      <c r="B9" s="9"/>
      <c r="C9" s="119" t="s">
        <v>13</v>
      </c>
      <c r="D9" s="13"/>
      <c r="E9" s="119"/>
      <c r="F9" s="9" t="s">
        <v>14</v>
      </c>
      <c r="G9" s="70"/>
      <c r="H9" s="16"/>
      <c r="I9" s="70"/>
      <c r="J9" s="70"/>
      <c r="K9" s="69">
        <f t="shared" ref="K9:K63" si="0">I9+J9</f>
        <v>0</v>
      </c>
      <c r="L9" s="17"/>
    </row>
    <row r="10" spans="1:12" x14ac:dyDescent="0.35">
      <c r="A10" s="8"/>
      <c r="B10" s="9"/>
      <c r="C10" s="119" t="s">
        <v>16</v>
      </c>
      <c r="D10" s="13"/>
      <c r="E10" s="119"/>
      <c r="F10" s="9" t="s">
        <v>17</v>
      </c>
      <c r="G10" s="70">
        <v>21370.95</v>
      </c>
      <c r="H10" s="16" t="s">
        <v>15</v>
      </c>
      <c r="I10" s="70">
        <v>21370.95</v>
      </c>
      <c r="J10" s="70"/>
      <c r="K10" s="69">
        <f t="shared" si="0"/>
        <v>21370.95</v>
      </c>
      <c r="L10" s="17"/>
    </row>
    <row r="11" spans="1:12" x14ac:dyDescent="0.35">
      <c r="A11" s="8"/>
      <c r="B11" s="9"/>
      <c r="C11" s="119" t="s">
        <v>18</v>
      </c>
      <c r="D11" s="13"/>
      <c r="E11" s="119"/>
      <c r="F11" s="9" t="s">
        <v>19</v>
      </c>
      <c r="G11" s="70">
        <v>548433.38</v>
      </c>
      <c r="H11" s="16" t="s">
        <v>15</v>
      </c>
      <c r="I11" s="70">
        <v>548433.38</v>
      </c>
      <c r="J11" s="70">
        <v>0</v>
      </c>
      <c r="K11" s="69">
        <f t="shared" si="0"/>
        <v>548433.38</v>
      </c>
      <c r="L11" s="17"/>
    </row>
    <row r="12" spans="1:12" x14ac:dyDescent="0.35">
      <c r="A12" s="8"/>
      <c r="B12" s="9"/>
      <c r="C12" s="119" t="s">
        <v>20</v>
      </c>
      <c r="D12" s="13"/>
      <c r="E12" s="119"/>
      <c r="F12" s="9" t="s">
        <v>21</v>
      </c>
      <c r="G12" s="70"/>
      <c r="H12" s="16"/>
      <c r="I12" s="70"/>
      <c r="J12" s="70"/>
      <c r="K12" s="69">
        <f t="shared" si="0"/>
        <v>0</v>
      </c>
      <c r="L12" s="17"/>
    </row>
    <row r="13" spans="1:12" x14ac:dyDescent="0.35">
      <c r="A13" s="8"/>
      <c r="B13" s="9"/>
      <c r="C13" s="119" t="s">
        <v>22</v>
      </c>
      <c r="D13" s="13"/>
      <c r="E13" s="119"/>
      <c r="F13" s="9" t="s">
        <v>23</v>
      </c>
      <c r="G13" s="70">
        <f>636006.76+1443776.35-334979.23+0.22</f>
        <v>1744804.1</v>
      </c>
      <c r="H13" s="16" t="s">
        <v>15</v>
      </c>
      <c r="I13" s="86">
        <f>1744803.88+0.22</f>
        <v>1744804.0999999999</v>
      </c>
      <c r="J13" s="70"/>
      <c r="K13" s="69">
        <f t="shared" si="0"/>
        <v>1744804.0999999999</v>
      </c>
      <c r="L13" s="17"/>
    </row>
    <row r="14" spans="1:12" x14ac:dyDescent="0.35">
      <c r="A14" s="8"/>
      <c r="B14" s="9"/>
      <c r="C14" s="119" t="s">
        <v>25</v>
      </c>
      <c r="D14" s="13"/>
      <c r="E14" s="119"/>
      <c r="F14" s="9" t="s">
        <v>26</v>
      </c>
      <c r="G14" s="70">
        <f>3880413.99+34319.35-2905383.99</f>
        <v>1009349.3500000001</v>
      </c>
      <c r="H14" s="16" t="s">
        <v>24</v>
      </c>
      <c r="I14" s="70"/>
      <c r="J14" s="70">
        <v>1009349.35</v>
      </c>
      <c r="K14" s="69">
        <f t="shared" si="0"/>
        <v>1009349.35</v>
      </c>
      <c r="L14" s="93" t="s">
        <v>238</v>
      </c>
    </row>
    <row r="15" spans="1:12" x14ac:dyDescent="0.35">
      <c r="A15" s="8"/>
      <c r="B15" s="9"/>
      <c r="C15" s="119" t="s">
        <v>27</v>
      </c>
      <c r="D15" s="13"/>
      <c r="E15" s="119"/>
      <c r="F15" s="9" t="s">
        <v>28</v>
      </c>
      <c r="G15" s="70"/>
      <c r="H15" s="16"/>
      <c r="I15" s="70"/>
      <c r="J15" s="70"/>
      <c r="K15" s="69">
        <f t="shared" si="0"/>
        <v>0</v>
      </c>
      <c r="L15" s="17"/>
    </row>
    <row r="16" spans="1:12" x14ac:dyDescent="0.35">
      <c r="A16" s="8"/>
      <c r="B16" s="9"/>
      <c r="C16" s="119" t="s">
        <v>29</v>
      </c>
      <c r="D16" s="13"/>
      <c r="E16" s="119"/>
      <c r="F16" s="9" t="s">
        <v>30</v>
      </c>
      <c r="G16" s="70">
        <v>142422.78</v>
      </c>
      <c r="H16" s="16" t="s">
        <v>15</v>
      </c>
      <c r="I16" s="70">
        <v>142422.78</v>
      </c>
      <c r="J16" s="70"/>
      <c r="K16" s="69">
        <f t="shared" si="0"/>
        <v>142422.78</v>
      </c>
      <c r="L16" s="17"/>
    </row>
    <row r="17" spans="1:12" x14ac:dyDescent="0.35">
      <c r="A17" s="8"/>
      <c r="B17" s="9"/>
      <c r="C17" s="119" t="s">
        <v>31</v>
      </c>
      <c r="D17" s="13"/>
      <c r="E17" s="119"/>
      <c r="F17" s="9" t="s">
        <v>32</v>
      </c>
      <c r="G17" s="70"/>
      <c r="H17" s="16"/>
      <c r="I17" s="70"/>
      <c r="J17" s="70"/>
      <c r="K17" s="69">
        <f t="shared" si="0"/>
        <v>0</v>
      </c>
      <c r="L17" s="17"/>
    </row>
    <row r="18" spans="1:12" x14ac:dyDescent="0.35">
      <c r="A18" s="8"/>
      <c r="B18" s="9"/>
      <c r="C18" s="119" t="s">
        <v>33</v>
      </c>
      <c r="D18" s="13"/>
      <c r="E18" s="119"/>
      <c r="F18" s="9" t="s">
        <v>34</v>
      </c>
      <c r="G18" s="86">
        <f>1872458.56+94047.89</f>
        <v>1966506.45</v>
      </c>
      <c r="H18" s="16" t="s">
        <v>24</v>
      </c>
      <c r="I18" s="70"/>
      <c r="J18" s="70">
        <v>1966506.45</v>
      </c>
      <c r="K18" s="69">
        <f t="shared" si="0"/>
        <v>1966506.45</v>
      </c>
      <c r="L18" s="93" t="s">
        <v>232</v>
      </c>
    </row>
    <row r="19" spans="1:12" x14ac:dyDescent="0.35">
      <c r="A19" s="8"/>
      <c r="B19" s="9"/>
      <c r="C19" s="119" t="s">
        <v>35</v>
      </c>
      <c r="D19" s="13"/>
      <c r="E19" s="119"/>
      <c r="F19" s="9" t="s">
        <v>36</v>
      </c>
      <c r="G19" s="71"/>
      <c r="H19" s="16"/>
      <c r="I19" s="71"/>
      <c r="J19" s="71"/>
      <c r="K19" s="69">
        <f t="shared" si="0"/>
        <v>0</v>
      </c>
      <c r="L19" s="17"/>
    </row>
    <row r="20" spans="1:12" x14ac:dyDescent="0.35">
      <c r="A20" s="8"/>
      <c r="B20" s="9"/>
      <c r="C20" s="119" t="s">
        <v>37</v>
      </c>
      <c r="D20" s="13"/>
      <c r="E20" s="119"/>
      <c r="F20" s="9" t="s">
        <v>38</v>
      </c>
      <c r="G20" s="70">
        <v>1126669.8999999999</v>
      </c>
      <c r="H20" s="16" t="s">
        <v>15</v>
      </c>
      <c r="I20" s="70">
        <v>1126669.8999999999</v>
      </c>
      <c r="J20" s="70"/>
      <c r="K20" s="69">
        <f t="shared" si="0"/>
        <v>1126669.8999999999</v>
      </c>
      <c r="L20" s="17"/>
    </row>
    <row r="21" spans="1:12" x14ac:dyDescent="0.35">
      <c r="A21" s="8"/>
      <c r="B21" s="9"/>
      <c r="C21" s="119" t="s">
        <v>39</v>
      </c>
      <c r="D21" s="13"/>
      <c r="E21" s="119"/>
      <c r="F21" s="9" t="s">
        <v>40</v>
      </c>
      <c r="G21" s="70"/>
      <c r="H21" s="16"/>
      <c r="I21" s="70"/>
      <c r="J21" s="70"/>
      <c r="K21" s="69">
        <f t="shared" si="0"/>
        <v>0</v>
      </c>
      <c r="L21" s="17"/>
    </row>
    <row r="22" spans="1:12" x14ac:dyDescent="0.35">
      <c r="A22" s="8"/>
      <c r="B22" s="9"/>
      <c r="C22" s="119" t="s">
        <v>41</v>
      </c>
      <c r="D22" s="13"/>
      <c r="E22" s="119"/>
      <c r="F22" s="9" t="s">
        <v>42</v>
      </c>
      <c r="G22" s="70">
        <v>94365.32</v>
      </c>
      <c r="H22" s="16" t="s">
        <v>24</v>
      </c>
      <c r="I22" s="70"/>
      <c r="J22" s="70">
        <v>94365.32</v>
      </c>
      <c r="K22" s="69">
        <f t="shared" si="0"/>
        <v>94365.32</v>
      </c>
      <c r="L22" s="17" t="s">
        <v>232</v>
      </c>
    </row>
    <row r="23" spans="1:12" x14ac:dyDescent="0.35">
      <c r="A23" s="8"/>
      <c r="B23" s="9"/>
      <c r="C23" s="119" t="s">
        <v>43</v>
      </c>
      <c r="D23" s="13"/>
      <c r="E23" s="119"/>
      <c r="F23" s="9" t="s">
        <v>44</v>
      </c>
      <c r="G23" s="70"/>
      <c r="H23" s="16"/>
      <c r="I23" s="70"/>
      <c r="J23" s="70"/>
      <c r="K23" s="69">
        <f t="shared" si="0"/>
        <v>0</v>
      </c>
      <c r="L23" s="17"/>
    </row>
    <row r="24" spans="1:12" x14ac:dyDescent="0.35">
      <c r="A24" s="9"/>
      <c r="B24" s="9"/>
      <c r="C24" s="120" t="s">
        <v>45</v>
      </c>
      <c r="D24" s="13"/>
      <c r="E24" s="120"/>
      <c r="F24" s="9" t="s">
        <v>46</v>
      </c>
      <c r="G24" s="72"/>
      <c r="H24" s="16"/>
      <c r="I24" s="72"/>
      <c r="J24" s="72"/>
      <c r="K24" s="69">
        <f t="shared" si="0"/>
        <v>0</v>
      </c>
      <c r="L24" s="17"/>
    </row>
    <row r="25" spans="1:12" x14ac:dyDescent="0.35">
      <c r="A25" s="8"/>
      <c r="B25" s="9" t="s">
        <v>47</v>
      </c>
      <c r="C25" s="119"/>
      <c r="D25" s="13"/>
      <c r="E25" s="9" t="s">
        <v>48</v>
      </c>
      <c r="F25" s="119"/>
      <c r="G25" s="69">
        <f>SUM(G26:G41)</f>
        <v>4510454.1900000004</v>
      </c>
      <c r="H25" s="9"/>
      <c r="I25" s="69">
        <f>SUM(I26:I41)</f>
        <v>2059530.62</v>
      </c>
      <c r="J25" s="69">
        <f>SUM(J26:J41)</f>
        <v>2450923.5699999998</v>
      </c>
      <c r="K25" s="69"/>
      <c r="L25" s="14"/>
    </row>
    <row r="26" spans="1:12" x14ac:dyDescent="0.35">
      <c r="A26" s="8"/>
      <c r="B26" s="9"/>
      <c r="C26" s="119" t="s">
        <v>49</v>
      </c>
      <c r="D26" s="13"/>
      <c r="E26" s="119"/>
      <c r="F26" s="9" t="s">
        <v>50</v>
      </c>
      <c r="G26" s="70"/>
      <c r="H26" s="16"/>
      <c r="I26" s="70"/>
      <c r="J26" s="70"/>
      <c r="K26" s="69">
        <f t="shared" si="0"/>
        <v>0</v>
      </c>
      <c r="L26" s="17"/>
    </row>
    <row r="27" spans="1:12" x14ac:dyDescent="0.35">
      <c r="A27" s="8"/>
      <c r="B27" s="9"/>
      <c r="C27" s="119" t="s">
        <v>51</v>
      </c>
      <c r="D27" s="13"/>
      <c r="E27" s="119"/>
      <c r="F27" s="9" t="s">
        <v>52</v>
      </c>
      <c r="G27" s="70"/>
      <c r="H27" s="16"/>
      <c r="I27" s="70"/>
      <c r="J27" s="70"/>
      <c r="K27" s="69">
        <f t="shared" si="0"/>
        <v>0</v>
      </c>
      <c r="L27" s="17"/>
    </row>
    <row r="28" spans="1:12" x14ac:dyDescent="0.35">
      <c r="A28" s="8"/>
      <c r="B28" s="9"/>
      <c r="C28" s="119" t="s">
        <v>53</v>
      </c>
      <c r="D28" s="13"/>
      <c r="E28" s="119"/>
      <c r="F28" s="9" t="s">
        <v>54</v>
      </c>
      <c r="G28" s="70">
        <v>1203137.02</v>
      </c>
      <c r="H28" s="16" t="s">
        <v>15</v>
      </c>
      <c r="I28" s="70">
        <v>1203137.02</v>
      </c>
      <c r="J28" s="70"/>
      <c r="K28" s="69">
        <f t="shared" si="0"/>
        <v>1203137.02</v>
      </c>
      <c r="L28" s="17"/>
    </row>
    <row r="29" spans="1:12" x14ac:dyDescent="0.35">
      <c r="A29" s="8"/>
      <c r="B29" s="9"/>
      <c r="C29" s="119" t="s">
        <v>55</v>
      </c>
      <c r="D29" s="13"/>
      <c r="E29" s="119"/>
      <c r="F29" s="9" t="s">
        <v>56</v>
      </c>
      <c r="G29" s="70">
        <v>544706.48</v>
      </c>
      <c r="H29" s="16" t="s">
        <v>15</v>
      </c>
      <c r="I29" s="70">
        <v>544706.48</v>
      </c>
      <c r="J29" s="70"/>
      <c r="K29" s="69">
        <f t="shared" si="0"/>
        <v>544706.48</v>
      </c>
      <c r="L29" s="17"/>
    </row>
    <row r="30" spans="1:12" x14ac:dyDescent="0.35">
      <c r="A30" s="8"/>
      <c r="B30" s="9"/>
      <c r="C30" s="119" t="s">
        <v>57</v>
      </c>
      <c r="D30" s="13"/>
      <c r="E30" s="119"/>
      <c r="F30" s="9" t="s">
        <v>58</v>
      </c>
      <c r="G30" s="70"/>
      <c r="H30" s="16"/>
      <c r="I30" s="70"/>
      <c r="J30" s="70"/>
      <c r="K30" s="69">
        <f t="shared" si="0"/>
        <v>0</v>
      </c>
      <c r="L30" s="17"/>
    </row>
    <row r="31" spans="1:12" x14ac:dyDescent="0.35">
      <c r="A31" s="8"/>
      <c r="B31" s="9"/>
      <c r="C31" s="119" t="s">
        <v>60</v>
      </c>
      <c r="D31" s="13"/>
      <c r="E31" s="119"/>
      <c r="F31" s="9" t="s">
        <v>61</v>
      </c>
      <c r="G31" s="70">
        <v>311687.12</v>
      </c>
      <c r="H31" s="16" t="s">
        <v>15</v>
      </c>
      <c r="I31" s="70">
        <v>311687.12</v>
      </c>
      <c r="J31" s="70"/>
      <c r="K31" s="69">
        <f t="shared" si="0"/>
        <v>311687.12</v>
      </c>
      <c r="L31" s="17"/>
    </row>
    <row r="32" spans="1:12" x14ac:dyDescent="0.35">
      <c r="A32" s="8"/>
      <c r="B32" s="9"/>
      <c r="C32" s="119" t="s">
        <v>62</v>
      </c>
      <c r="D32" s="13"/>
      <c r="E32" s="119"/>
      <c r="F32" s="9" t="s">
        <v>63</v>
      </c>
      <c r="G32" s="70">
        <v>373862.97</v>
      </c>
      <c r="H32" s="16" t="s">
        <v>24</v>
      </c>
      <c r="I32" s="70"/>
      <c r="J32" s="70">
        <v>373862.97</v>
      </c>
      <c r="K32" s="69">
        <f t="shared" si="0"/>
        <v>373862.97</v>
      </c>
      <c r="L32" s="93" t="s">
        <v>233</v>
      </c>
    </row>
    <row r="33" spans="1:12" x14ac:dyDescent="0.35">
      <c r="A33" s="9"/>
      <c r="B33" s="9"/>
      <c r="C33" s="119" t="s">
        <v>64</v>
      </c>
      <c r="D33" s="9"/>
      <c r="E33" s="119"/>
      <c r="F33" s="9" t="s">
        <v>65</v>
      </c>
      <c r="G33" s="70">
        <v>504514.66</v>
      </c>
      <c r="H33" s="16" t="s">
        <v>24</v>
      </c>
      <c r="I33" s="70"/>
      <c r="J33" s="70">
        <v>504514.66</v>
      </c>
      <c r="K33" s="69">
        <f t="shared" si="0"/>
        <v>504514.66</v>
      </c>
      <c r="L33" s="17" t="s">
        <v>233</v>
      </c>
    </row>
    <row r="34" spans="1:12" x14ac:dyDescent="0.35">
      <c r="A34" s="9"/>
      <c r="B34" s="9"/>
      <c r="C34" s="119" t="s">
        <v>66</v>
      </c>
      <c r="D34" s="9"/>
      <c r="E34" s="9"/>
      <c r="F34" s="9" t="s">
        <v>67</v>
      </c>
      <c r="G34" s="70"/>
      <c r="H34" s="16"/>
      <c r="I34" s="70"/>
      <c r="J34" s="70"/>
      <c r="K34" s="69">
        <f t="shared" si="0"/>
        <v>0</v>
      </c>
      <c r="L34" s="17"/>
    </row>
    <row r="35" spans="1:12" x14ac:dyDescent="0.35">
      <c r="A35" s="9"/>
      <c r="B35" s="9"/>
      <c r="C35" s="119" t="s">
        <v>68</v>
      </c>
      <c r="D35" s="9"/>
      <c r="E35" s="119"/>
      <c r="F35" s="9" t="s">
        <v>69</v>
      </c>
      <c r="G35" s="70"/>
      <c r="H35" s="16"/>
      <c r="I35" s="70"/>
      <c r="J35" s="70"/>
      <c r="K35" s="69">
        <f t="shared" si="0"/>
        <v>0</v>
      </c>
      <c r="L35" s="17"/>
    </row>
    <row r="36" spans="1:12" x14ac:dyDescent="0.35">
      <c r="A36" s="9"/>
      <c r="B36" s="9"/>
      <c r="C36" s="119" t="s">
        <v>70</v>
      </c>
      <c r="D36" s="9"/>
      <c r="E36" s="9"/>
      <c r="F36" s="9" t="s">
        <v>71</v>
      </c>
      <c r="G36" s="70"/>
      <c r="H36" s="16"/>
      <c r="I36" s="70"/>
      <c r="J36" s="70"/>
      <c r="K36" s="69">
        <f t="shared" si="0"/>
        <v>0</v>
      </c>
      <c r="L36" s="17"/>
    </row>
    <row r="37" spans="1:12" x14ac:dyDescent="0.35">
      <c r="A37" s="9"/>
      <c r="B37" s="9"/>
      <c r="C37" s="119" t="s">
        <v>72</v>
      </c>
      <c r="D37" s="9"/>
      <c r="E37" s="121"/>
      <c r="F37" s="9" t="s">
        <v>73</v>
      </c>
      <c r="G37" s="70">
        <v>633518.53</v>
      </c>
      <c r="H37" s="16" t="s">
        <v>24</v>
      </c>
      <c r="I37" s="70"/>
      <c r="J37" s="70">
        <v>633518.53</v>
      </c>
      <c r="K37" s="69">
        <f t="shared" si="0"/>
        <v>633518.53</v>
      </c>
      <c r="L37" s="93" t="s">
        <v>239</v>
      </c>
    </row>
    <row r="38" spans="1:12" x14ac:dyDescent="0.35">
      <c r="A38" s="9"/>
      <c r="B38" s="9"/>
      <c r="C38" s="119" t="s">
        <v>74</v>
      </c>
      <c r="D38" s="9"/>
      <c r="E38" s="9"/>
      <c r="F38" s="9" t="s">
        <v>75</v>
      </c>
      <c r="G38" s="70"/>
      <c r="H38" s="16"/>
      <c r="I38" s="70"/>
      <c r="J38" s="70"/>
      <c r="K38" s="69">
        <f t="shared" si="0"/>
        <v>0</v>
      </c>
      <c r="L38" s="17"/>
    </row>
    <row r="39" spans="1:12" x14ac:dyDescent="0.35">
      <c r="A39" s="9"/>
      <c r="B39" s="9"/>
      <c r="C39" s="119" t="s">
        <v>76</v>
      </c>
      <c r="D39" s="9"/>
      <c r="E39" s="9"/>
      <c r="F39" s="9" t="s">
        <v>77</v>
      </c>
      <c r="G39" s="70"/>
      <c r="H39" s="16"/>
      <c r="I39" s="70"/>
      <c r="J39" s="70"/>
      <c r="K39" s="69">
        <f t="shared" si="0"/>
        <v>0</v>
      </c>
      <c r="L39" s="17"/>
    </row>
    <row r="40" spans="1:12" x14ac:dyDescent="0.35">
      <c r="A40" s="9"/>
      <c r="B40" s="9"/>
      <c r="C40" s="119" t="s">
        <v>78</v>
      </c>
      <c r="D40" s="9"/>
      <c r="E40" s="9"/>
      <c r="F40" s="9" t="s">
        <v>79</v>
      </c>
      <c r="G40" s="70">
        <v>624067.44999999995</v>
      </c>
      <c r="H40" s="16" t="s">
        <v>24</v>
      </c>
      <c r="I40" s="70"/>
      <c r="J40" s="70">
        <v>624067.44999999995</v>
      </c>
      <c r="K40" s="69">
        <f t="shared" si="0"/>
        <v>624067.44999999995</v>
      </c>
      <c r="L40" s="93" t="s">
        <v>291</v>
      </c>
    </row>
    <row r="41" spans="1:12" x14ac:dyDescent="0.35">
      <c r="A41" s="9"/>
      <c r="B41" s="9"/>
      <c r="C41" s="119" t="s">
        <v>80</v>
      </c>
      <c r="D41" s="9"/>
      <c r="E41" s="9"/>
      <c r="F41" s="9" t="s">
        <v>81</v>
      </c>
      <c r="G41" s="70">
        <v>314959.96000000002</v>
      </c>
      <c r="H41" s="16" t="s">
        <v>24</v>
      </c>
      <c r="I41" s="70"/>
      <c r="J41" s="70">
        <v>314959.96000000002</v>
      </c>
      <c r="K41" s="69">
        <f t="shared" si="0"/>
        <v>314959.96000000002</v>
      </c>
      <c r="L41" s="93" t="s">
        <v>292</v>
      </c>
    </row>
    <row r="42" spans="1:12" x14ac:dyDescent="0.35">
      <c r="A42" s="9"/>
      <c r="B42" s="9" t="s">
        <v>82</v>
      </c>
      <c r="C42" s="119"/>
      <c r="D42" s="9"/>
      <c r="E42" s="9" t="s">
        <v>83</v>
      </c>
      <c r="F42" s="9"/>
      <c r="G42" s="69">
        <f>SUM(G43:G63)</f>
        <v>13928938.92</v>
      </c>
      <c r="H42" s="9"/>
      <c r="I42" s="69">
        <f>SUM(I43:I63)</f>
        <v>4975735.12</v>
      </c>
      <c r="J42" s="69">
        <f>SUM(J43:J63)</f>
        <v>8953203.7999999989</v>
      </c>
      <c r="K42" s="69"/>
      <c r="L42" s="14"/>
    </row>
    <row r="43" spans="1:12" x14ac:dyDescent="0.35">
      <c r="A43" s="9"/>
      <c r="B43" s="9"/>
      <c r="C43" s="119" t="s">
        <v>84</v>
      </c>
      <c r="D43" s="9"/>
      <c r="E43" s="9"/>
      <c r="F43" s="9" t="s">
        <v>85</v>
      </c>
      <c r="G43" s="70"/>
      <c r="H43" s="16"/>
      <c r="I43" s="70"/>
      <c r="J43" s="70"/>
      <c r="K43" s="69">
        <f t="shared" si="0"/>
        <v>0</v>
      </c>
      <c r="L43" s="17"/>
    </row>
    <row r="44" spans="1:12" ht="29" x14ac:dyDescent="0.35">
      <c r="A44" s="9"/>
      <c r="B44" s="9"/>
      <c r="C44" s="119" t="s">
        <v>86</v>
      </c>
      <c r="D44" s="9"/>
      <c r="E44" s="9"/>
      <c r="F44" s="9" t="s">
        <v>87</v>
      </c>
      <c r="G44" s="86">
        <f>6588326.95+0.1</f>
        <v>6588327.0499999998</v>
      </c>
      <c r="H44" s="16" t="s">
        <v>24</v>
      </c>
      <c r="I44" s="70"/>
      <c r="J44" s="70">
        <f>G44</f>
        <v>6588327.0499999998</v>
      </c>
      <c r="K44" s="69">
        <f t="shared" si="0"/>
        <v>6588327.0499999998</v>
      </c>
      <c r="L44" s="17" t="s">
        <v>219</v>
      </c>
    </row>
    <row r="45" spans="1:12" x14ac:dyDescent="0.35">
      <c r="A45" s="9"/>
      <c r="B45" s="9"/>
      <c r="C45" s="119" t="s">
        <v>88</v>
      </c>
      <c r="D45" s="9"/>
      <c r="E45" s="9"/>
      <c r="F45" s="9" t="s">
        <v>89</v>
      </c>
      <c r="G45" s="70"/>
      <c r="H45" s="16"/>
      <c r="I45" s="70"/>
      <c r="J45" s="70"/>
      <c r="K45" s="69">
        <f t="shared" si="0"/>
        <v>0</v>
      </c>
      <c r="L45" s="17"/>
    </row>
    <row r="46" spans="1:12" x14ac:dyDescent="0.35">
      <c r="A46" s="9"/>
      <c r="B46" s="9"/>
      <c r="C46" s="119" t="s">
        <v>90</v>
      </c>
      <c r="D46" s="9"/>
      <c r="E46" s="9"/>
      <c r="F46" s="9" t="s">
        <v>91</v>
      </c>
      <c r="G46" s="70"/>
      <c r="H46" s="16"/>
      <c r="I46" s="70"/>
      <c r="J46" s="70"/>
      <c r="K46" s="69">
        <f t="shared" si="0"/>
        <v>0</v>
      </c>
      <c r="L46" s="17"/>
    </row>
    <row r="47" spans="1:12" x14ac:dyDescent="0.35">
      <c r="A47" s="9"/>
      <c r="B47" s="9"/>
      <c r="C47" s="119" t="s">
        <v>92</v>
      </c>
      <c r="D47" s="9"/>
      <c r="E47" s="9"/>
      <c r="F47" s="9" t="s">
        <v>93</v>
      </c>
      <c r="G47" s="70">
        <v>4206491.2300000004</v>
      </c>
      <c r="H47" s="16" t="s">
        <v>15</v>
      </c>
      <c r="I47" s="70">
        <f>G47</f>
        <v>4206491.2300000004</v>
      </c>
      <c r="J47" s="70"/>
      <c r="K47" s="69">
        <f t="shared" si="0"/>
        <v>4206491.2300000004</v>
      </c>
      <c r="L47" s="17"/>
    </row>
    <row r="48" spans="1:12" x14ac:dyDescent="0.35">
      <c r="A48" s="9"/>
      <c r="B48" s="9"/>
      <c r="C48" s="119" t="s">
        <v>94</v>
      </c>
      <c r="D48" s="9"/>
      <c r="E48" s="9"/>
      <c r="F48" s="9" t="s">
        <v>95</v>
      </c>
      <c r="G48" s="70"/>
      <c r="H48" s="16"/>
      <c r="I48" s="70"/>
      <c r="J48" s="70"/>
      <c r="K48" s="69">
        <f t="shared" si="0"/>
        <v>0</v>
      </c>
      <c r="L48" s="17"/>
    </row>
    <row r="49" spans="1:12" x14ac:dyDescent="0.35">
      <c r="A49" s="9"/>
      <c r="B49" s="9"/>
      <c r="C49" s="119" t="s">
        <v>96</v>
      </c>
      <c r="D49" s="9"/>
      <c r="E49" s="9"/>
      <c r="F49" s="9" t="s">
        <v>97</v>
      </c>
      <c r="G49" s="70">
        <v>520549.58</v>
      </c>
      <c r="H49" s="16" t="s">
        <v>15</v>
      </c>
      <c r="I49" s="70">
        <f>G49</f>
        <v>520549.58</v>
      </c>
      <c r="J49" s="70"/>
      <c r="K49" s="69">
        <f t="shared" si="0"/>
        <v>520549.58</v>
      </c>
      <c r="L49" s="17"/>
    </row>
    <row r="50" spans="1:12" x14ac:dyDescent="0.35">
      <c r="A50" s="9"/>
      <c r="B50" s="9"/>
      <c r="C50" s="119" t="s">
        <v>98</v>
      </c>
      <c r="D50" s="9"/>
      <c r="E50" s="9"/>
      <c r="F50" s="9" t="s">
        <v>99</v>
      </c>
      <c r="G50" s="70"/>
      <c r="H50" s="16"/>
      <c r="I50" s="70"/>
      <c r="J50" s="70"/>
      <c r="K50" s="69">
        <f t="shared" si="0"/>
        <v>0</v>
      </c>
      <c r="L50" s="17"/>
    </row>
    <row r="51" spans="1:12" x14ac:dyDescent="0.35">
      <c r="A51" s="9"/>
      <c r="B51" s="9"/>
      <c r="C51" s="119" t="s">
        <v>100</v>
      </c>
      <c r="D51" s="9"/>
      <c r="E51" s="9"/>
      <c r="F51" s="9" t="s">
        <v>101</v>
      </c>
      <c r="G51" s="70"/>
      <c r="H51" s="16"/>
      <c r="I51" s="70"/>
      <c r="J51" s="70"/>
      <c r="K51" s="69">
        <f t="shared" si="0"/>
        <v>0</v>
      </c>
      <c r="L51" s="17"/>
    </row>
    <row r="52" spans="1:12" x14ac:dyDescent="0.35">
      <c r="A52" s="9"/>
      <c r="B52" s="9"/>
      <c r="C52" s="119" t="s">
        <v>102</v>
      </c>
      <c r="D52" s="9"/>
      <c r="E52" s="9"/>
      <c r="F52" s="9" t="s">
        <v>103</v>
      </c>
      <c r="G52" s="70"/>
      <c r="H52" s="16"/>
      <c r="I52" s="70"/>
      <c r="J52" s="70"/>
      <c r="K52" s="69">
        <f t="shared" si="0"/>
        <v>0</v>
      </c>
      <c r="L52" s="17"/>
    </row>
    <row r="53" spans="1:12" x14ac:dyDescent="0.35">
      <c r="A53" s="9"/>
      <c r="B53" s="9"/>
      <c r="C53" s="119" t="s">
        <v>104</v>
      </c>
      <c r="D53" s="9"/>
      <c r="E53" s="9"/>
      <c r="F53" s="9" t="s">
        <v>105</v>
      </c>
      <c r="G53" s="70">
        <v>83592.81</v>
      </c>
      <c r="H53" s="16" t="s">
        <v>15</v>
      </c>
      <c r="I53" s="70">
        <f>G53</f>
        <v>83592.81</v>
      </c>
      <c r="J53" s="70"/>
      <c r="K53" s="69">
        <f t="shared" si="0"/>
        <v>83592.81</v>
      </c>
      <c r="L53" s="17"/>
    </row>
    <row r="54" spans="1:12" x14ac:dyDescent="0.35">
      <c r="A54" s="9"/>
      <c r="B54" s="9"/>
      <c r="C54" s="119" t="s">
        <v>106</v>
      </c>
      <c r="D54" s="9"/>
      <c r="E54" s="9"/>
      <c r="F54" s="9" t="s">
        <v>107</v>
      </c>
      <c r="G54" s="70">
        <v>765093.7</v>
      </c>
      <c r="H54" s="16" t="s">
        <v>24</v>
      </c>
      <c r="I54" s="70"/>
      <c r="J54" s="70">
        <f>G54</f>
        <v>765093.7</v>
      </c>
      <c r="K54" s="69">
        <f t="shared" si="0"/>
        <v>765093.7</v>
      </c>
      <c r="L54" s="17" t="s">
        <v>224</v>
      </c>
    </row>
    <row r="55" spans="1:12" x14ac:dyDescent="0.35">
      <c r="A55" s="9"/>
      <c r="B55" s="9"/>
      <c r="C55" s="119" t="s">
        <v>108</v>
      </c>
      <c r="D55" s="9"/>
      <c r="E55" s="9"/>
      <c r="F55" s="9" t="s">
        <v>109</v>
      </c>
      <c r="G55" s="70"/>
      <c r="H55" s="16"/>
      <c r="I55" s="70"/>
      <c r="J55" s="70"/>
      <c r="K55" s="69">
        <f t="shared" si="0"/>
        <v>0</v>
      </c>
      <c r="L55" s="17"/>
    </row>
    <row r="56" spans="1:12" x14ac:dyDescent="0.35">
      <c r="A56" s="9"/>
      <c r="B56" s="9"/>
      <c r="C56" s="119" t="s">
        <v>110</v>
      </c>
      <c r="D56" s="9"/>
      <c r="E56" s="9"/>
      <c r="F56" s="9" t="s">
        <v>111</v>
      </c>
      <c r="G56" s="70"/>
      <c r="H56" s="16"/>
      <c r="I56" s="70"/>
      <c r="J56" s="70"/>
      <c r="K56" s="69">
        <f t="shared" si="0"/>
        <v>0</v>
      </c>
      <c r="L56" s="17"/>
    </row>
    <row r="57" spans="1:12" x14ac:dyDescent="0.35">
      <c r="A57" s="9"/>
      <c r="B57" s="9"/>
      <c r="C57" s="119" t="s">
        <v>112</v>
      </c>
      <c r="D57" s="9"/>
      <c r="E57" s="9"/>
      <c r="F57" s="9" t="s">
        <v>113</v>
      </c>
      <c r="G57" s="70">
        <v>328790.53000000003</v>
      </c>
      <c r="H57" s="16" t="s">
        <v>24</v>
      </c>
      <c r="I57" s="70"/>
      <c r="J57" s="70">
        <f>G57</f>
        <v>328790.53000000003</v>
      </c>
      <c r="K57" s="69">
        <f t="shared" si="0"/>
        <v>328790.53000000003</v>
      </c>
      <c r="L57" s="17" t="s">
        <v>240</v>
      </c>
    </row>
    <row r="58" spans="1:12" x14ac:dyDescent="0.35">
      <c r="A58" s="9"/>
      <c r="B58" s="9"/>
      <c r="C58" s="119" t="s">
        <v>114</v>
      </c>
      <c r="D58" s="9"/>
      <c r="E58" s="9"/>
      <c r="F58" s="9" t="s">
        <v>115</v>
      </c>
      <c r="G58" s="70"/>
      <c r="H58" s="16"/>
      <c r="I58" s="70"/>
      <c r="J58" s="70"/>
      <c r="K58" s="69">
        <f t="shared" si="0"/>
        <v>0</v>
      </c>
      <c r="L58" s="17"/>
    </row>
    <row r="59" spans="1:12" x14ac:dyDescent="0.35">
      <c r="A59" s="9"/>
      <c r="B59" s="9"/>
      <c r="C59" s="119" t="s">
        <v>116</v>
      </c>
      <c r="D59" s="9"/>
      <c r="E59" s="9"/>
      <c r="F59" s="9" t="s">
        <v>117</v>
      </c>
      <c r="G59" s="70">
        <f>662455.47+469220.95</f>
        <v>1131676.42</v>
      </c>
      <c r="H59" s="16" t="s">
        <v>24</v>
      </c>
      <c r="I59" s="70"/>
      <c r="J59" s="70">
        <f>G59</f>
        <v>1131676.42</v>
      </c>
      <c r="K59" s="69">
        <f t="shared" si="0"/>
        <v>1131676.42</v>
      </c>
      <c r="L59" s="93" t="s">
        <v>293</v>
      </c>
    </row>
    <row r="60" spans="1:12" x14ac:dyDescent="0.35">
      <c r="A60" s="9"/>
      <c r="B60" s="9"/>
      <c r="C60" s="119" t="s">
        <v>118</v>
      </c>
      <c r="D60" s="9"/>
      <c r="E60" s="9"/>
      <c r="F60" s="9" t="s">
        <v>119</v>
      </c>
      <c r="G60" s="70"/>
      <c r="H60" s="16"/>
      <c r="I60" s="70"/>
      <c r="J60" s="70"/>
      <c r="K60" s="69">
        <f t="shared" si="0"/>
        <v>0</v>
      </c>
      <c r="L60" s="17"/>
    </row>
    <row r="61" spans="1:12" x14ac:dyDescent="0.35">
      <c r="A61" s="9"/>
      <c r="B61" s="9"/>
      <c r="C61" s="119" t="s">
        <v>120</v>
      </c>
      <c r="D61" s="9"/>
      <c r="E61" s="9"/>
      <c r="F61" s="9" t="s">
        <v>121</v>
      </c>
      <c r="G61" s="70">
        <v>165101.5</v>
      </c>
      <c r="H61" s="16" t="s">
        <v>15</v>
      </c>
      <c r="I61" s="70">
        <f>G61</f>
        <v>165101.5</v>
      </c>
      <c r="J61" s="70"/>
      <c r="K61" s="69">
        <f t="shared" si="0"/>
        <v>165101.5</v>
      </c>
      <c r="L61" s="17"/>
    </row>
    <row r="62" spans="1:12" x14ac:dyDescent="0.35">
      <c r="A62" s="9"/>
      <c r="B62" s="9"/>
      <c r="C62" s="119" t="s">
        <v>122</v>
      </c>
      <c r="D62" s="9"/>
      <c r="E62" s="9"/>
      <c r="F62" s="9" t="s">
        <v>123</v>
      </c>
      <c r="G62" s="70">
        <f>4215711.1-4076395</f>
        <v>139316.09999999963</v>
      </c>
      <c r="H62" s="16" t="s">
        <v>24</v>
      </c>
      <c r="I62" s="70"/>
      <c r="J62" s="70">
        <f>G62</f>
        <v>139316.09999999963</v>
      </c>
      <c r="K62" s="69">
        <f t="shared" si="0"/>
        <v>139316.09999999963</v>
      </c>
      <c r="L62" s="17" t="s">
        <v>234</v>
      </c>
    </row>
    <row r="63" spans="1:12" x14ac:dyDescent="0.35">
      <c r="A63" s="9"/>
      <c r="B63" s="9"/>
      <c r="C63" s="119" t="s">
        <v>124</v>
      </c>
      <c r="D63" s="9"/>
      <c r="E63" s="9"/>
      <c r="F63" s="9" t="s">
        <v>125</v>
      </c>
      <c r="G63" s="70"/>
      <c r="H63" s="16"/>
      <c r="I63" s="70"/>
      <c r="J63" s="70"/>
      <c r="K63" s="69">
        <f t="shared" si="0"/>
        <v>0</v>
      </c>
      <c r="L63" s="17"/>
    </row>
    <row r="64" spans="1:12" hidden="1" x14ac:dyDescent="0.35">
      <c r="A64" s="9"/>
      <c r="B64" s="9" t="s">
        <v>126</v>
      </c>
      <c r="C64" s="119"/>
      <c r="D64" s="9"/>
      <c r="E64" s="9" t="s">
        <v>127</v>
      </c>
      <c r="F64" s="9"/>
      <c r="G64" s="69"/>
      <c r="H64" s="9"/>
      <c r="I64" s="69"/>
      <c r="J64" s="69"/>
      <c r="K64" s="69"/>
      <c r="L64" s="14"/>
    </row>
    <row r="65" spans="1:12" hidden="1" x14ac:dyDescent="0.35">
      <c r="A65" s="9"/>
      <c r="B65" s="9" t="s">
        <v>128</v>
      </c>
      <c r="C65" s="119"/>
      <c r="D65" s="9"/>
      <c r="E65" s="9" t="s">
        <v>127</v>
      </c>
      <c r="F65" s="9"/>
      <c r="G65" s="69"/>
      <c r="H65" s="9"/>
      <c r="I65" s="69"/>
      <c r="J65" s="69"/>
      <c r="K65" s="69"/>
      <c r="L65" s="14"/>
    </row>
    <row r="66" spans="1:12" x14ac:dyDescent="0.35">
      <c r="A66" s="9"/>
      <c r="B66" s="9" t="s">
        <v>129</v>
      </c>
      <c r="C66" s="119"/>
      <c r="D66" s="9"/>
      <c r="E66" s="9" t="s">
        <v>130</v>
      </c>
      <c r="F66" s="9"/>
      <c r="G66" s="69">
        <f>SUM(G67:G69)</f>
        <v>3153024.87</v>
      </c>
      <c r="H66" s="9"/>
      <c r="I66" s="69">
        <f>SUM(I67:I69)</f>
        <v>1072076.67</v>
      </c>
      <c r="J66" s="69">
        <f>SUM(J67:J69)</f>
        <v>2080948.2000000002</v>
      </c>
      <c r="K66" s="69"/>
      <c r="L66" s="14"/>
    </row>
    <row r="67" spans="1:12" x14ac:dyDescent="0.35">
      <c r="A67" s="9"/>
      <c r="B67" s="9"/>
      <c r="C67" s="119" t="s">
        <v>131</v>
      </c>
      <c r="D67" s="9"/>
      <c r="E67" s="9"/>
      <c r="F67" s="9" t="s">
        <v>132</v>
      </c>
      <c r="G67" s="70">
        <v>1072076.67</v>
      </c>
      <c r="H67" s="16" t="s">
        <v>15</v>
      </c>
      <c r="I67" s="70">
        <f>G67</f>
        <v>1072076.67</v>
      </c>
      <c r="J67" s="70">
        <v>0</v>
      </c>
      <c r="K67" s="69">
        <f t="shared" ref="K67:K69" si="1">I67+J67</f>
        <v>1072076.67</v>
      </c>
      <c r="L67" s="17"/>
    </row>
    <row r="68" spans="1:12" x14ac:dyDescent="0.35">
      <c r="A68" s="9"/>
      <c r="B68" s="9"/>
      <c r="C68" s="119" t="s">
        <v>133</v>
      </c>
      <c r="D68" s="9"/>
      <c r="E68" s="9"/>
      <c r="F68" s="9" t="s">
        <v>134</v>
      </c>
      <c r="G68" s="70"/>
      <c r="H68" s="16"/>
      <c r="I68" s="70"/>
      <c r="J68" s="70"/>
      <c r="K68" s="69">
        <f t="shared" si="1"/>
        <v>0</v>
      </c>
      <c r="L68" s="17"/>
    </row>
    <row r="69" spans="1:12" x14ac:dyDescent="0.35">
      <c r="A69" s="9"/>
      <c r="B69" s="9"/>
      <c r="C69" s="119" t="s">
        <v>135</v>
      </c>
      <c r="D69" s="9"/>
      <c r="E69" s="9"/>
      <c r="F69" s="9" t="s">
        <v>136</v>
      </c>
      <c r="G69" s="70">
        <f>1503897.86+577050.34</f>
        <v>2080948.2000000002</v>
      </c>
      <c r="H69" s="16" t="s">
        <v>24</v>
      </c>
      <c r="I69" s="70"/>
      <c r="J69" s="70">
        <f>G69</f>
        <v>2080948.2000000002</v>
      </c>
      <c r="K69" s="69">
        <f t="shared" si="1"/>
        <v>2080948.2000000002</v>
      </c>
      <c r="L69" s="93" t="s">
        <v>294</v>
      </c>
    </row>
    <row r="70" spans="1:12" x14ac:dyDescent="0.35">
      <c r="A70" s="9"/>
      <c r="B70" s="9" t="s">
        <v>137</v>
      </c>
      <c r="C70" s="119"/>
      <c r="D70" s="9"/>
      <c r="E70" s="9" t="s">
        <v>138</v>
      </c>
      <c r="F70" s="9"/>
      <c r="G70" s="69">
        <f>SUM(G71:G73)</f>
        <v>6309564.6399999997</v>
      </c>
      <c r="H70" s="9"/>
      <c r="I70" s="69">
        <f>SUM(I71:I73)</f>
        <v>4349796.92</v>
      </c>
      <c r="J70" s="69">
        <f>SUM(J71:J73)</f>
        <v>1959767.72</v>
      </c>
      <c r="K70" s="69"/>
      <c r="L70" s="14"/>
    </row>
    <row r="71" spans="1:12" x14ac:dyDescent="0.35">
      <c r="A71" s="9"/>
      <c r="B71" s="9"/>
      <c r="C71" s="119" t="s">
        <v>139</v>
      </c>
      <c r="D71" s="9"/>
      <c r="E71" s="9"/>
      <c r="F71" s="9" t="s">
        <v>140</v>
      </c>
      <c r="G71" s="70"/>
      <c r="H71" s="16"/>
      <c r="I71" s="70"/>
      <c r="J71" s="70"/>
      <c r="K71" s="69">
        <f t="shared" ref="K71:K73" si="2">I71+J71</f>
        <v>0</v>
      </c>
      <c r="L71" s="17"/>
    </row>
    <row r="72" spans="1:12" x14ac:dyDescent="0.35">
      <c r="A72" s="9"/>
      <c r="B72" s="9"/>
      <c r="C72" s="119" t="s">
        <v>141</v>
      </c>
      <c r="D72" s="9"/>
      <c r="E72" s="9"/>
      <c r="F72" s="9" t="s">
        <v>142</v>
      </c>
      <c r="G72" s="70">
        <v>6016713.0499999998</v>
      </c>
      <c r="H72" s="16" t="s">
        <v>59</v>
      </c>
      <c r="I72" s="70">
        <f>G72-J72</f>
        <v>4056945.33</v>
      </c>
      <c r="J72" s="70">
        <v>1959767.72</v>
      </c>
      <c r="K72" s="69">
        <f t="shared" si="2"/>
        <v>6016713.0499999998</v>
      </c>
      <c r="L72" s="93" t="s">
        <v>295</v>
      </c>
    </row>
    <row r="73" spans="1:12" x14ac:dyDescent="0.35">
      <c r="A73" s="9"/>
      <c r="B73" s="9"/>
      <c r="C73" s="119" t="s">
        <v>143</v>
      </c>
      <c r="D73" s="9"/>
      <c r="E73" s="9"/>
      <c r="F73" s="9" t="s">
        <v>144</v>
      </c>
      <c r="G73" s="70">
        <f>334131.83-41280.24</f>
        <v>292851.59000000003</v>
      </c>
      <c r="H73" s="16" t="s">
        <v>15</v>
      </c>
      <c r="I73" s="70">
        <f>G73</f>
        <v>292851.59000000003</v>
      </c>
      <c r="J73" s="70"/>
      <c r="K73" s="69">
        <f t="shared" si="2"/>
        <v>292851.59000000003</v>
      </c>
      <c r="L73" s="17"/>
    </row>
    <row r="74" spans="1:12" hidden="1" x14ac:dyDescent="0.35">
      <c r="A74" s="9"/>
      <c r="B74" s="9" t="s">
        <v>145</v>
      </c>
      <c r="C74" s="119"/>
      <c r="D74" s="9"/>
      <c r="E74" s="9" t="s">
        <v>127</v>
      </c>
      <c r="F74" s="9"/>
      <c r="G74" s="69"/>
      <c r="H74" s="9"/>
      <c r="I74" s="69"/>
      <c r="J74" s="69"/>
      <c r="K74" s="69"/>
      <c r="L74" s="14"/>
    </row>
    <row r="75" spans="1:12" hidden="1" x14ac:dyDescent="0.35">
      <c r="A75" s="9"/>
      <c r="B75" s="9" t="s">
        <v>146</v>
      </c>
      <c r="C75" s="119"/>
      <c r="D75" s="9"/>
      <c r="E75" s="9" t="s">
        <v>127</v>
      </c>
      <c r="F75" s="9"/>
      <c r="G75" s="69"/>
      <c r="H75" s="9"/>
      <c r="I75" s="69"/>
      <c r="J75" s="69"/>
      <c r="K75" s="69"/>
      <c r="L75" s="14"/>
    </row>
    <row r="76" spans="1:12" s="7" customFormat="1" x14ac:dyDescent="0.35">
      <c r="A76" s="4" t="s">
        <v>147</v>
      </c>
      <c r="B76" s="4"/>
      <c r="C76" s="122"/>
      <c r="D76" s="4"/>
      <c r="E76" s="4"/>
      <c r="F76" s="4"/>
      <c r="G76" s="138">
        <f>G8+G25+G42+G66+G70</f>
        <v>34555904.850000001</v>
      </c>
      <c r="H76" s="88"/>
      <c r="I76" s="138">
        <f>I8+I25+I42+I66+I70</f>
        <v>16040840.439999999</v>
      </c>
      <c r="J76" s="138">
        <f>J8+J25+J42+J66+J70</f>
        <v>18515064.409999996</v>
      </c>
      <c r="K76" s="69">
        <f t="shared" ref="K76" si="3">I76+J76</f>
        <v>34555904.849999994</v>
      </c>
      <c r="L76" s="25"/>
    </row>
    <row r="77" spans="1:12" x14ac:dyDescent="0.35">
      <c r="F77" s="139" t="s">
        <v>200</v>
      </c>
      <c r="G77" s="140">
        <f>'[25]CA2 Detail'!L173</f>
        <v>34555904.850000001</v>
      </c>
      <c r="H77" s="13"/>
      <c r="I77" s="89">
        <f>I76/G76</f>
        <v>0.46419969350042933</v>
      </c>
      <c r="J77" s="89">
        <f>J76/G76</f>
        <v>0.53580030649957056</v>
      </c>
      <c r="K77" s="27"/>
    </row>
    <row r="79" spans="1:12" x14ac:dyDescent="0.35">
      <c r="F79" s="142" t="s">
        <v>201</v>
      </c>
    </row>
    <row r="80" spans="1:12" hidden="1" x14ac:dyDescent="0.35">
      <c r="H80" t="s">
        <v>15</v>
      </c>
    </row>
    <row r="81" spans="3:11" hidden="1" x14ac:dyDescent="0.35">
      <c r="C81"/>
      <c r="H81" t="s">
        <v>24</v>
      </c>
    </row>
    <row r="82" spans="3:11" hidden="1" x14ac:dyDescent="0.35">
      <c r="C82"/>
      <c r="H82" t="s">
        <v>59</v>
      </c>
    </row>
    <row r="83" spans="3:11" x14ac:dyDescent="0.35">
      <c r="C83"/>
      <c r="H83" s="139" t="s">
        <v>202</v>
      </c>
      <c r="I83" s="69">
        <f>'[25]CA2 Detail'!W121-'[25]CA2 Detail'!J203</f>
        <v>234355394.79999995</v>
      </c>
      <c r="J83" s="161">
        <f>I76/I83</f>
        <v>6.8446644694009851E-2</v>
      </c>
      <c r="K83" s="142" t="s">
        <v>203</v>
      </c>
    </row>
    <row r="97" spans="3:3" x14ac:dyDescent="0.35">
      <c r="C97"/>
    </row>
    <row r="98" spans="3:3" x14ac:dyDescent="0.35">
      <c r="C98"/>
    </row>
    <row r="99" spans="3:3" x14ac:dyDescent="0.35">
      <c r="C99"/>
    </row>
    <row r="100" spans="3:3" x14ac:dyDescent="0.35">
      <c r="C100"/>
    </row>
    <row r="101" spans="3:3" x14ac:dyDescent="0.35">
      <c r="C101"/>
    </row>
    <row r="102" spans="3:3" x14ac:dyDescent="0.35">
      <c r="C102"/>
    </row>
    <row r="103" spans="3:3" x14ac:dyDescent="0.35">
      <c r="C103"/>
    </row>
    <row r="104" spans="3:3" x14ac:dyDescent="0.35">
      <c r="C104"/>
    </row>
    <row r="105" spans="3:3" x14ac:dyDescent="0.35">
      <c r="C105"/>
    </row>
    <row r="106" spans="3:3" x14ac:dyDescent="0.35">
      <c r="C106"/>
    </row>
    <row r="107" spans="3:3" x14ac:dyDescent="0.35">
      <c r="C107"/>
    </row>
    <row r="108" spans="3:3" x14ac:dyDescent="0.35">
      <c r="C108"/>
    </row>
    <row r="109" spans="3:3" x14ac:dyDescent="0.35">
      <c r="C109"/>
    </row>
    <row r="112" spans="3:3" ht="15" hidden="1" customHeight="1" x14ac:dyDescent="0.35"/>
    <row r="113" ht="15" hidden="1" customHeight="1" x14ac:dyDescent="0.35"/>
    <row r="114" ht="15" hidden="1" customHeight="1" x14ac:dyDescent="0.35"/>
    <row r="115" ht="15" hidden="1" customHeight="1" x14ac:dyDescent="0.35"/>
    <row r="116" ht="15" hidden="1" customHeight="1" x14ac:dyDescent="0.35"/>
    <row r="117" ht="15" hidden="1" customHeight="1" x14ac:dyDescent="0.35"/>
    <row r="118" ht="15" hidden="1" customHeight="1" x14ac:dyDescent="0.35"/>
    <row r="119" ht="15" hidden="1" customHeight="1" x14ac:dyDescent="0.35"/>
    <row r="120" ht="15" hidden="1" customHeight="1" x14ac:dyDescent="0.35"/>
    <row r="121" ht="15" hidden="1" customHeight="1" x14ac:dyDescent="0.35"/>
    <row r="122" ht="15" hidden="1" customHeight="1" x14ac:dyDescent="0.35"/>
    <row r="123" ht="15" hidden="1" customHeight="1" x14ac:dyDescent="0.35"/>
    <row r="124" ht="15" hidden="1" customHeight="1" x14ac:dyDescent="0.35"/>
    <row r="125" ht="15" hidden="1" customHeight="1" x14ac:dyDescent="0.35"/>
    <row r="126" ht="15" hidden="1" customHeight="1" x14ac:dyDescent="0.35"/>
    <row r="127" ht="15" hidden="1" customHeight="1" x14ac:dyDescent="0.35"/>
    <row r="128" ht="15" hidden="1" customHeight="1" x14ac:dyDescent="0.35"/>
    <row r="129" ht="15" hidden="1" customHeight="1" x14ac:dyDescent="0.35"/>
    <row r="130" ht="15" hidden="1" customHeight="1" x14ac:dyDescent="0.35"/>
    <row r="131" ht="15" hidden="1" customHeight="1" x14ac:dyDescent="0.35"/>
    <row r="132" ht="15" hidden="1" customHeight="1" x14ac:dyDescent="0.35"/>
    <row r="133" ht="15" hidden="1" customHeight="1" x14ac:dyDescent="0.35"/>
    <row r="134" ht="15" hidden="1" customHeight="1" x14ac:dyDescent="0.35"/>
    <row r="135" ht="15" hidden="1" customHeight="1" x14ac:dyDescent="0.35"/>
    <row r="136" ht="15" hidden="1" customHeight="1" x14ac:dyDescent="0.35"/>
    <row r="137" ht="15" hidden="1" customHeight="1" x14ac:dyDescent="0.35"/>
    <row r="138" ht="15" hidden="1" customHeight="1" x14ac:dyDescent="0.35"/>
    <row r="139" ht="15" hidden="1" customHeight="1" x14ac:dyDescent="0.35"/>
    <row r="140" ht="15" hidden="1" customHeight="1" x14ac:dyDescent="0.35"/>
  </sheetData>
  <conditionalFormatting sqref="G76">
    <cfRule type="cellIs" dxfId="13" priority="1" operator="notEqual">
      <formula>$G$77</formula>
    </cfRule>
    <cfRule type="cellIs" dxfId="12" priority="2" operator="equal">
      <formula>$G$77</formula>
    </cfRule>
  </conditionalFormatting>
  <conditionalFormatting sqref="K9:K24">
    <cfRule type="cellIs" dxfId="11" priority="13" operator="notEqual">
      <formula>G9</formula>
    </cfRule>
    <cfRule type="cellIs" dxfId="10" priority="14" operator="equal">
      <formula>G9</formula>
    </cfRule>
  </conditionalFormatting>
  <conditionalFormatting sqref="K26:K41">
    <cfRule type="cellIs" dxfId="9" priority="11" operator="notEqual">
      <formula>G26</formula>
    </cfRule>
    <cfRule type="cellIs" dxfId="8" priority="12" operator="equal">
      <formula>G26</formula>
    </cfRule>
  </conditionalFormatting>
  <conditionalFormatting sqref="K43:K63">
    <cfRule type="cellIs" dxfId="7" priority="9" operator="notEqual">
      <formula>G43</formula>
    </cfRule>
    <cfRule type="cellIs" dxfId="6" priority="10" operator="equal">
      <formula>G43</formula>
    </cfRule>
  </conditionalFormatting>
  <conditionalFormatting sqref="K67:K69">
    <cfRule type="cellIs" dxfId="5" priority="7" operator="notEqual">
      <formula>G67</formula>
    </cfRule>
    <cfRule type="cellIs" dxfId="4" priority="8" operator="equal">
      <formula>G67</formula>
    </cfRule>
  </conditionalFormatting>
  <conditionalFormatting sqref="K71:K73">
    <cfRule type="cellIs" dxfId="3" priority="5" operator="notEqual">
      <formula>G71</formula>
    </cfRule>
    <cfRule type="cellIs" dxfId="2" priority="6" operator="equal">
      <formula>G71</formula>
    </cfRule>
  </conditionalFormatting>
  <conditionalFormatting sqref="K76">
    <cfRule type="cellIs" dxfId="1" priority="3" operator="notEqual">
      <formula>G76</formula>
    </cfRule>
    <cfRule type="cellIs" dxfId="0" priority="4" operator="equal">
      <formula>G76</formula>
    </cfRule>
  </conditionalFormatting>
  <dataValidations count="1">
    <dataValidation type="list" allowBlank="1" showInputMessage="1" showErrorMessage="1" sqref="H9:H75" xr:uid="{2D00DCCF-0BA4-468D-8D8C-14FCAF751A74}">
      <formula1>$H$80:$H$82</formula1>
    </dataValidation>
  </dataValidations>
  <pageMargins left="0.7" right="0.7" top="0.75" bottom="0.75" header="0.3" footer="0.3"/>
  <pageSetup scale="39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110"/>
  <sheetViews>
    <sheetView zoomScaleNormal="100" workbookViewId="0">
      <selection activeCell="I6" sqref="I6"/>
    </sheetView>
  </sheetViews>
  <sheetFormatPr defaultRowHeight="14.5" x14ac:dyDescent="0.35"/>
  <cols>
    <col min="1" max="2" width="2.81640625" customWidth="1"/>
    <col min="3" max="3" width="14.26953125" style="26" bestFit="1" customWidth="1"/>
    <col min="4" max="5" width="2.81640625" customWidth="1"/>
    <col min="6" max="6" width="69.81640625" customWidth="1"/>
    <col min="7" max="7" width="16.26953125" bestFit="1" customWidth="1"/>
    <col min="8" max="8" width="18" hidden="1" customWidth="1"/>
    <col min="9" max="9" width="22.1796875" bestFit="1" customWidth="1"/>
    <col min="10" max="10" width="16.7265625" bestFit="1" customWidth="1"/>
    <col min="11" max="11" width="16.26953125" hidden="1" customWidth="1"/>
    <col min="12" max="12" width="82.54296875" hidden="1" customWidth="1"/>
    <col min="14" max="14" width="9.1796875" customWidth="1"/>
    <col min="15" max="15" width="2.453125" customWidth="1"/>
  </cols>
  <sheetData>
    <row r="1" spans="1:12" ht="15.5" x14ac:dyDescent="0.35">
      <c r="A1" s="115" t="s">
        <v>0</v>
      </c>
      <c r="B1" s="112"/>
      <c r="C1" s="113"/>
      <c r="D1" s="112"/>
      <c r="E1" s="112"/>
      <c r="F1" s="114"/>
      <c r="G1" s="112"/>
      <c r="H1" s="112"/>
      <c r="I1" s="112"/>
      <c r="J1" s="112"/>
      <c r="K1" s="112"/>
      <c r="L1" s="112"/>
    </row>
    <row r="2" spans="1:12" ht="15.5" x14ac:dyDescent="0.35">
      <c r="A2" s="112" t="s">
        <v>1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</row>
    <row r="3" spans="1:12" ht="15.5" x14ac:dyDescent="0.35">
      <c r="A3" s="1" t="s">
        <v>198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spans="1:12" ht="19.5" customHeight="1" thickBot="1" x14ac:dyDescent="0.5">
      <c r="A4" s="116" t="s">
        <v>173</v>
      </c>
      <c r="B4" s="117"/>
      <c r="C4" s="117"/>
      <c r="D4" s="117"/>
      <c r="E4" s="117"/>
      <c r="F4" s="117"/>
    </row>
    <row r="5" spans="1:12" x14ac:dyDescent="0.35">
      <c r="C5"/>
    </row>
    <row r="6" spans="1:12" s="7" customFormat="1" x14ac:dyDescent="0.35">
      <c r="A6" s="3" t="s">
        <v>2</v>
      </c>
      <c r="B6" s="4"/>
      <c r="C6" s="4"/>
      <c r="D6" s="3" t="s">
        <v>3</v>
      </c>
      <c r="E6" s="4"/>
      <c r="F6" s="4"/>
      <c r="G6" s="5" t="s">
        <v>274</v>
      </c>
      <c r="H6" s="6" t="s">
        <v>4</v>
      </c>
      <c r="I6" s="6" t="s">
        <v>5</v>
      </c>
      <c r="J6" s="6" t="s">
        <v>6</v>
      </c>
      <c r="K6" s="6" t="s">
        <v>7</v>
      </c>
      <c r="L6" s="6" t="s">
        <v>8</v>
      </c>
    </row>
    <row r="7" spans="1:12" x14ac:dyDescent="0.35">
      <c r="A7" s="8" t="s">
        <v>9</v>
      </c>
      <c r="B7" s="9"/>
      <c r="C7" s="10"/>
      <c r="D7" s="11" t="s">
        <v>10</v>
      </c>
      <c r="E7" s="10"/>
      <c r="F7" s="10"/>
      <c r="G7" s="12"/>
      <c r="H7" s="9"/>
      <c r="I7" s="12"/>
      <c r="J7" s="12"/>
      <c r="K7" s="12"/>
      <c r="L7" s="11"/>
    </row>
    <row r="8" spans="1:12" x14ac:dyDescent="0.35">
      <c r="A8" s="8"/>
      <c r="B8" s="9" t="s">
        <v>11</v>
      </c>
      <c r="C8" s="10"/>
      <c r="D8" s="13"/>
      <c r="E8" s="9" t="s">
        <v>12</v>
      </c>
      <c r="F8" s="10"/>
      <c r="G8" s="12">
        <f>ROUND(SUM(EASTERN:VALENCIA!G8),0)</f>
        <v>100835467</v>
      </c>
      <c r="H8" s="9"/>
      <c r="I8" s="12">
        <f>ROUND(SUM(EASTERN:VALENCIA!I8),0)</f>
        <v>59706246</v>
      </c>
      <c r="J8" s="12">
        <f>ROUND(SUM(EASTERN:VALENCIA!J8),0)</f>
        <v>41129221</v>
      </c>
      <c r="K8" s="12">
        <f>ROUND(SUM(EASTERN:VALENCIA!K8),0)</f>
        <v>0</v>
      </c>
      <c r="L8" s="14"/>
    </row>
    <row r="9" spans="1:12" x14ac:dyDescent="0.35">
      <c r="A9" s="8"/>
      <c r="B9" s="9"/>
      <c r="C9" s="10" t="s">
        <v>13</v>
      </c>
      <c r="D9" s="13"/>
      <c r="E9" s="10"/>
      <c r="F9" s="9" t="s">
        <v>14</v>
      </c>
      <c r="G9" s="15">
        <f>ROUND(SUM(EASTERN:VALENCIA!G9),0)</f>
        <v>2194740</v>
      </c>
      <c r="H9" s="16"/>
      <c r="I9" s="15">
        <f>ROUND(SUM(EASTERN:VALENCIA!I9),0)</f>
        <v>399025</v>
      </c>
      <c r="J9" s="15">
        <f>ROUND(SUM(EASTERN:VALENCIA!J9),0)</f>
        <v>1795715</v>
      </c>
      <c r="K9" s="12">
        <f>ROUND(SUM(EASTERN:VALENCIA!K9),0)</f>
        <v>2194740</v>
      </c>
      <c r="L9" s="17"/>
    </row>
    <row r="10" spans="1:12" x14ac:dyDescent="0.35">
      <c r="A10" s="8"/>
      <c r="B10" s="9"/>
      <c r="C10" s="10" t="s">
        <v>16</v>
      </c>
      <c r="D10" s="13"/>
      <c r="E10" s="10"/>
      <c r="F10" s="9" t="s">
        <v>17</v>
      </c>
      <c r="G10" s="15">
        <f>ROUND(SUM(EASTERN:VALENCIA!G10),0)</f>
        <v>495901</v>
      </c>
      <c r="H10" s="16"/>
      <c r="I10" s="15">
        <f>ROUND(SUM(EASTERN:VALENCIA!I10),0)</f>
        <v>495901</v>
      </c>
      <c r="J10" s="15">
        <f>ROUND(SUM(EASTERN:VALENCIA!J10),0)</f>
        <v>0</v>
      </c>
      <c r="K10" s="12">
        <f>ROUND(SUM(EASTERN:VALENCIA!K10),0)</f>
        <v>495901</v>
      </c>
      <c r="L10" s="17"/>
    </row>
    <row r="11" spans="1:12" x14ac:dyDescent="0.35">
      <c r="A11" s="8"/>
      <c r="B11" s="9"/>
      <c r="C11" s="10" t="s">
        <v>18</v>
      </c>
      <c r="D11" s="13"/>
      <c r="E11" s="10"/>
      <c r="F11" s="9" t="s">
        <v>19</v>
      </c>
      <c r="G11" s="15">
        <f>ROUND(SUM(EASTERN:VALENCIA!G11),0)</f>
        <v>22191732</v>
      </c>
      <c r="H11" s="16"/>
      <c r="I11" s="15">
        <f>ROUND(SUM(EASTERN:VALENCIA!I11),0)</f>
        <v>20168470</v>
      </c>
      <c r="J11" s="15">
        <f>ROUND(SUM(EASTERN:VALENCIA!J11),0)</f>
        <v>2023263</v>
      </c>
      <c r="K11" s="12">
        <f>ROUND(SUM(EASTERN:VALENCIA!K11),0)</f>
        <v>22191732</v>
      </c>
      <c r="L11" s="17"/>
    </row>
    <row r="12" spans="1:12" x14ac:dyDescent="0.35">
      <c r="A12" s="8"/>
      <c r="B12" s="9"/>
      <c r="C12" s="10" t="s">
        <v>20</v>
      </c>
      <c r="D12" s="13"/>
      <c r="E12" s="10"/>
      <c r="F12" s="9" t="s">
        <v>21</v>
      </c>
      <c r="G12" s="15">
        <f>ROUND(SUM(EASTERN:VALENCIA!G12),0)</f>
        <v>1486348</v>
      </c>
      <c r="H12" s="16"/>
      <c r="I12" s="15">
        <f>ROUND(SUM(EASTERN:VALENCIA!I12),0)</f>
        <v>1087876</v>
      </c>
      <c r="J12" s="15">
        <f>ROUND(SUM(EASTERN:VALENCIA!J12),0)</f>
        <v>398472</v>
      </c>
      <c r="K12" s="12">
        <f>ROUND(SUM(EASTERN:VALENCIA!K12),0)</f>
        <v>1486348</v>
      </c>
      <c r="L12" s="17"/>
    </row>
    <row r="13" spans="1:12" x14ac:dyDescent="0.35">
      <c r="A13" s="8"/>
      <c r="B13" s="9"/>
      <c r="C13" s="10" t="s">
        <v>22</v>
      </c>
      <c r="D13" s="13"/>
      <c r="E13" s="10"/>
      <c r="F13" s="9" t="s">
        <v>23</v>
      </c>
      <c r="G13" s="15">
        <f>ROUND(SUM(EASTERN:VALENCIA!G13),0)</f>
        <v>24986166</v>
      </c>
      <c r="H13" s="16"/>
      <c r="I13" s="15">
        <f>ROUND(SUM(EASTERN:VALENCIA!I13),0)</f>
        <v>19397683</v>
      </c>
      <c r="J13" s="15">
        <f>ROUND(SUM(EASTERN:VALENCIA!J13),0)</f>
        <v>5588484</v>
      </c>
      <c r="K13" s="12">
        <f>ROUND(SUM(EASTERN:VALENCIA!K13),0)</f>
        <v>24986166</v>
      </c>
      <c r="L13" s="17"/>
    </row>
    <row r="14" spans="1:12" x14ac:dyDescent="0.35">
      <c r="A14" s="8"/>
      <c r="B14" s="9"/>
      <c r="C14" s="10" t="s">
        <v>25</v>
      </c>
      <c r="D14" s="13"/>
      <c r="E14" s="10"/>
      <c r="F14" s="9" t="s">
        <v>26</v>
      </c>
      <c r="G14" s="15">
        <f>ROUND(SUM(EASTERN:VALENCIA!G14),0)</f>
        <v>16144867</v>
      </c>
      <c r="H14" s="16"/>
      <c r="I14" s="15">
        <f>ROUND(SUM(EASTERN:VALENCIA!I14),0)</f>
        <v>733679</v>
      </c>
      <c r="J14" s="15">
        <f>ROUND(SUM(EASTERN:VALENCIA!J14),0)</f>
        <v>15411188</v>
      </c>
      <c r="K14" s="12">
        <f>ROUND(SUM(EASTERN:VALENCIA!K14),0)</f>
        <v>16144867</v>
      </c>
      <c r="L14" s="17"/>
    </row>
    <row r="15" spans="1:12" x14ac:dyDescent="0.35">
      <c r="A15" s="8"/>
      <c r="B15" s="9"/>
      <c r="C15" s="10" t="s">
        <v>27</v>
      </c>
      <c r="D15" s="13"/>
      <c r="E15" s="10"/>
      <c r="F15" s="9" t="s">
        <v>28</v>
      </c>
      <c r="G15" s="15">
        <f>ROUND(SUM(EASTERN:VALENCIA!G15),0)</f>
        <v>1858785</v>
      </c>
      <c r="H15" s="16"/>
      <c r="I15" s="15">
        <f>ROUND(SUM(EASTERN:VALENCIA!I15),0)</f>
        <v>1732271</v>
      </c>
      <c r="J15" s="15">
        <f>ROUND(SUM(EASTERN:VALENCIA!J15),0)</f>
        <v>126514</v>
      </c>
      <c r="K15" s="12">
        <f>ROUND(SUM(EASTERN:VALENCIA!K15),0)</f>
        <v>1858785</v>
      </c>
      <c r="L15" s="17"/>
    </row>
    <row r="16" spans="1:12" x14ac:dyDescent="0.35">
      <c r="A16" s="8"/>
      <c r="B16" s="9"/>
      <c r="C16" s="10" t="s">
        <v>29</v>
      </c>
      <c r="D16" s="13"/>
      <c r="E16" s="10"/>
      <c r="F16" s="9" t="s">
        <v>30</v>
      </c>
      <c r="G16" s="15">
        <f>ROUND(SUM(EASTERN:VALENCIA!G16),0)</f>
        <v>143309</v>
      </c>
      <c r="H16" s="16"/>
      <c r="I16" s="15">
        <f>ROUND(SUM(EASTERN:VALENCIA!I16),0)</f>
        <v>142423</v>
      </c>
      <c r="J16" s="15">
        <f>ROUND(SUM(EASTERN:VALENCIA!J16),0)</f>
        <v>886</v>
      </c>
      <c r="K16" s="12">
        <f>ROUND(SUM(EASTERN:VALENCIA!K16),0)</f>
        <v>143309</v>
      </c>
      <c r="L16" s="17"/>
    </row>
    <row r="17" spans="1:12" x14ac:dyDescent="0.35">
      <c r="A17" s="8"/>
      <c r="B17" s="9"/>
      <c r="C17" s="10" t="s">
        <v>31</v>
      </c>
      <c r="D17" s="13"/>
      <c r="E17" s="10"/>
      <c r="F17" s="9" t="s">
        <v>32</v>
      </c>
      <c r="G17" s="15">
        <f>ROUND(SUM(EASTERN:VALENCIA!G17),0)</f>
        <v>2523197</v>
      </c>
      <c r="H17" s="16"/>
      <c r="I17" s="15">
        <f>ROUND(SUM(EASTERN:VALENCIA!I17),0)</f>
        <v>1861798</v>
      </c>
      <c r="J17" s="15">
        <f>ROUND(SUM(EASTERN:VALENCIA!J17),0)</f>
        <v>661399</v>
      </c>
      <c r="K17" s="12">
        <f>ROUND(SUM(EASTERN:VALENCIA!K17),0)</f>
        <v>2523197</v>
      </c>
      <c r="L17" s="17"/>
    </row>
    <row r="18" spans="1:12" x14ac:dyDescent="0.35">
      <c r="A18" s="8"/>
      <c r="B18" s="9"/>
      <c r="C18" s="10" t="s">
        <v>33</v>
      </c>
      <c r="D18" s="13"/>
      <c r="E18" s="10"/>
      <c r="F18" s="9" t="s">
        <v>34</v>
      </c>
      <c r="G18" s="15">
        <f>ROUND(SUM(EASTERN:VALENCIA!G18),0)</f>
        <v>13803083</v>
      </c>
      <c r="H18" s="16"/>
      <c r="I18" s="15">
        <f>ROUND(SUM(EASTERN:VALENCIA!I18),0)</f>
        <v>1930128</v>
      </c>
      <c r="J18" s="15">
        <f>ROUND(SUM(EASTERN:VALENCIA!J18),0)</f>
        <v>11872955</v>
      </c>
      <c r="K18" s="12">
        <f>ROUND(SUM(EASTERN:VALENCIA!K18),0)</f>
        <v>13803083</v>
      </c>
      <c r="L18" s="17"/>
    </row>
    <row r="19" spans="1:12" x14ac:dyDescent="0.35">
      <c r="A19" s="8"/>
      <c r="B19" s="9"/>
      <c r="C19" s="10" t="s">
        <v>35</v>
      </c>
      <c r="D19" s="13"/>
      <c r="E19" s="10"/>
      <c r="F19" s="9" t="s">
        <v>36</v>
      </c>
      <c r="G19" s="15">
        <f>ROUND(SUM(EASTERN:VALENCIA!G19),0)</f>
        <v>1721369</v>
      </c>
      <c r="H19" s="16"/>
      <c r="I19" s="15">
        <f>ROUND(SUM(EASTERN:VALENCIA!I19),0)</f>
        <v>257081</v>
      </c>
      <c r="J19" s="15">
        <f>ROUND(SUM(EASTERN:VALENCIA!J19),0)</f>
        <v>1464289</v>
      </c>
      <c r="K19" s="12">
        <f>ROUND(SUM(EASTERN:VALENCIA!K19),0)</f>
        <v>1721369</v>
      </c>
      <c r="L19" s="17"/>
    </row>
    <row r="20" spans="1:12" x14ac:dyDescent="0.35">
      <c r="A20" s="8"/>
      <c r="B20" s="9"/>
      <c r="C20" s="10" t="s">
        <v>37</v>
      </c>
      <c r="D20" s="13"/>
      <c r="E20" s="10"/>
      <c r="F20" s="9" t="s">
        <v>38</v>
      </c>
      <c r="G20" s="18">
        <f>ROUND(SUM(EASTERN:VALENCIA!G20),0)</f>
        <v>12349612</v>
      </c>
      <c r="H20" s="16"/>
      <c r="I20" s="18">
        <f>ROUND(SUM(EASTERN:VALENCIA!I20),0)</f>
        <v>11300952</v>
      </c>
      <c r="J20" s="18">
        <f>ROUND(SUM(EASTERN:VALENCIA!J20),0)</f>
        <v>1048661</v>
      </c>
      <c r="K20" s="12">
        <f>ROUND(SUM(EASTERN:VALENCIA!K20),0)</f>
        <v>12349612</v>
      </c>
      <c r="L20" s="17"/>
    </row>
    <row r="21" spans="1:12" x14ac:dyDescent="0.35">
      <c r="A21" s="8"/>
      <c r="B21" s="9"/>
      <c r="C21" s="10" t="s">
        <v>39</v>
      </c>
      <c r="D21" s="13"/>
      <c r="E21" s="10"/>
      <c r="F21" s="9" t="s">
        <v>40</v>
      </c>
      <c r="G21" s="15">
        <f>ROUND(SUM(EASTERN:VALENCIA!G21),0)</f>
        <v>379176</v>
      </c>
      <c r="H21" s="16"/>
      <c r="I21" s="15">
        <f>ROUND(SUM(EASTERN:VALENCIA!I21),0)</f>
        <v>171050</v>
      </c>
      <c r="J21" s="15">
        <f>ROUND(SUM(EASTERN:VALENCIA!J21),0)</f>
        <v>208126</v>
      </c>
      <c r="K21" s="12">
        <f>ROUND(SUM(EASTERN:VALENCIA!K21),0)</f>
        <v>379176</v>
      </c>
      <c r="L21" s="17"/>
    </row>
    <row r="22" spans="1:12" x14ac:dyDescent="0.35">
      <c r="A22" s="8"/>
      <c r="B22" s="9"/>
      <c r="C22" s="10" t="s">
        <v>41</v>
      </c>
      <c r="D22" s="13"/>
      <c r="E22" s="10"/>
      <c r="F22" s="9" t="s">
        <v>42</v>
      </c>
      <c r="G22" s="15">
        <f>ROUND(SUM(EASTERN:VALENCIA!G22),0)</f>
        <v>98311</v>
      </c>
      <c r="H22" s="16"/>
      <c r="I22" s="15">
        <f>ROUND(SUM(EASTERN:VALENCIA!I22),0)</f>
        <v>0</v>
      </c>
      <c r="J22" s="15">
        <f>ROUND(SUM(EASTERN:VALENCIA!J22),0)</f>
        <v>98311</v>
      </c>
      <c r="K22" s="12">
        <f>ROUND(SUM(EASTERN:VALENCIA!K22),0)</f>
        <v>98311</v>
      </c>
      <c r="L22" s="17"/>
    </row>
    <row r="23" spans="1:12" x14ac:dyDescent="0.35">
      <c r="A23" s="8"/>
      <c r="B23" s="9"/>
      <c r="C23" s="10" t="s">
        <v>43</v>
      </c>
      <c r="D23" s="13"/>
      <c r="E23" s="10"/>
      <c r="F23" s="9" t="s">
        <v>44</v>
      </c>
      <c r="G23" s="15">
        <f>ROUND(SUM(EASTERN:VALENCIA!G23),0)</f>
        <v>434561</v>
      </c>
      <c r="H23" s="16"/>
      <c r="I23" s="15">
        <f>ROUND(SUM(EASTERN:VALENCIA!I23),0)</f>
        <v>4119</v>
      </c>
      <c r="J23" s="15">
        <f>ROUND(SUM(EASTERN:VALENCIA!J23),0)</f>
        <v>430442</v>
      </c>
      <c r="K23" s="12">
        <f>ROUND(SUM(EASTERN:VALENCIA!K23),0)</f>
        <v>434561</v>
      </c>
      <c r="L23" s="17"/>
    </row>
    <row r="24" spans="1:12" x14ac:dyDescent="0.35">
      <c r="A24" s="9"/>
      <c r="B24" s="9"/>
      <c r="C24" s="19" t="s">
        <v>45</v>
      </c>
      <c r="D24" s="13"/>
      <c r="E24" s="19"/>
      <c r="F24" s="9" t="s">
        <v>46</v>
      </c>
      <c r="G24" s="20">
        <f>ROUND(SUM(EASTERN:VALENCIA!G24),0)</f>
        <v>24309</v>
      </c>
      <c r="H24" s="16"/>
      <c r="I24" s="20">
        <f>ROUND(SUM(EASTERN:VALENCIA!I24),0)</f>
        <v>23792</v>
      </c>
      <c r="J24" s="20">
        <f>ROUND(SUM(EASTERN:VALENCIA!J24),0)</f>
        <v>517</v>
      </c>
      <c r="K24" s="12">
        <f>ROUND(SUM(EASTERN:VALENCIA!K24),0)</f>
        <v>24309</v>
      </c>
      <c r="L24" s="17"/>
    </row>
    <row r="25" spans="1:12" x14ac:dyDescent="0.35">
      <c r="A25" s="8"/>
      <c r="B25" s="9" t="s">
        <v>47</v>
      </c>
      <c r="C25" s="10"/>
      <c r="D25" s="13"/>
      <c r="E25" s="9" t="s">
        <v>48</v>
      </c>
      <c r="F25" s="10"/>
      <c r="G25" s="12">
        <f>ROUND(SUM(EASTERN:VALENCIA!G25),0)</f>
        <v>75776463</v>
      </c>
      <c r="H25" s="9"/>
      <c r="I25" s="12">
        <f>ROUND(SUM(EASTERN:VALENCIA!I25),0)</f>
        <v>44118165</v>
      </c>
      <c r="J25" s="12">
        <f>ROUND(SUM(EASTERN:VALENCIA!J25),0)</f>
        <v>31658299</v>
      </c>
      <c r="K25" s="12">
        <f>ROUND(SUM(EASTERN:VALENCIA!K25),0)</f>
        <v>0</v>
      </c>
      <c r="L25" s="14"/>
    </row>
    <row r="26" spans="1:12" x14ac:dyDescent="0.35">
      <c r="A26" s="8"/>
      <c r="B26" s="9"/>
      <c r="C26" s="10" t="s">
        <v>49</v>
      </c>
      <c r="D26" s="13"/>
      <c r="E26" s="10"/>
      <c r="F26" s="9" t="s">
        <v>50</v>
      </c>
      <c r="G26" s="15">
        <f>ROUND(SUM(EASTERN:VALENCIA!G26),0)</f>
        <v>5016721</v>
      </c>
      <c r="H26" s="16"/>
      <c r="I26" s="15">
        <f>ROUND(SUM(EASTERN:VALENCIA!I26),0)</f>
        <v>3168174</v>
      </c>
      <c r="J26" s="15">
        <f>ROUND(SUM(EASTERN:VALENCIA!J26),0)</f>
        <v>1848547</v>
      </c>
      <c r="K26" s="12">
        <f>ROUND(SUM(EASTERN:VALENCIA!K26),0)</f>
        <v>5016721</v>
      </c>
      <c r="L26" s="17"/>
    </row>
    <row r="27" spans="1:12" x14ac:dyDescent="0.35">
      <c r="A27" s="8"/>
      <c r="B27" s="9"/>
      <c r="C27" s="10" t="s">
        <v>51</v>
      </c>
      <c r="D27" s="13"/>
      <c r="E27" s="10"/>
      <c r="F27" s="9" t="s">
        <v>52</v>
      </c>
      <c r="G27" s="15">
        <f>ROUND(SUM(EASTERN:VALENCIA!G27),0)</f>
        <v>3468365</v>
      </c>
      <c r="H27" s="16"/>
      <c r="I27" s="15">
        <f>ROUND(SUM(EASTERN:VALENCIA!I27),0)</f>
        <v>2882033</v>
      </c>
      <c r="J27" s="15">
        <f>ROUND(SUM(EASTERN:VALENCIA!J27),0)</f>
        <v>586332</v>
      </c>
      <c r="K27" s="12">
        <f>ROUND(SUM(EASTERN:VALENCIA!K27),0)</f>
        <v>3468365</v>
      </c>
      <c r="L27" s="17"/>
    </row>
    <row r="28" spans="1:12" x14ac:dyDescent="0.35">
      <c r="A28" s="8"/>
      <c r="B28" s="9"/>
      <c r="C28" s="10" t="s">
        <v>53</v>
      </c>
      <c r="D28" s="13"/>
      <c r="E28" s="10"/>
      <c r="F28" s="9" t="s">
        <v>54</v>
      </c>
      <c r="G28" s="15">
        <f>ROUND(SUM(EASTERN:VALENCIA!G28),0)</f>
        <v>10417068</v>
      </c>
      <c r="H28" s="16"/>
      <c r="I28" s="15">
        <f>ROUND(SUM(EASTERN:VALENCIA!I28),0)</f>
        <v>9292040</v>
      </c>
      <c r="J28" s="15">
        <f>ROUND(SUM(EASTERN:VALENCIA!J28),0)</f>
        <v>1125028</v>
      </c>
      <c r="K28" s="12">
        <f>ROUND(SUM(EASTERN:VALENCIA!K28),0)</f>
        <v>10417068</v>
      </c>
      <c r="L28" s="17"/>
    </row>
    <row r="29" spans="1:12" x14ac:dyDescent="0.35">
      <c r="A29" s="8"/>
      <c r="B29" s="9"/>
      <c r="C29" s="10" t="s">
        <v>55</v>
      </c>
      <c r="D29" s="13"/>
      <c r="E29" s="10"/>
      <c r="F29" s="9" t="s">
        <v>56</v>
      </c>
      <c r="G29" s="15">
        <f>ROUND(SUM(EASTERN:VALENCIA!G29),0)</f>
        <v>8629681</v>
      </c>
      <c r="H29" s="16"/>
      <c r="I29" s="15">
        <f>ROUND(SUM(EASTERN:VALENCIA!I29),0)</f>
        <v>4490630</v>
      </c>
      <c r="J29" s="15">
        <f>ROUND(SUM(EASTERN:VALENCIA!J29),0)</f>
        <v>4139051</v>
      </c>
      <c r="K29" s="12">
        <f>ROUND(SUM(EASTERN:VALENCIA!K29),0)</f>
        <v>8629681</v>
      </c>
      <c r="L29" s="17"/>
    </row>
    <row r="30" spans="1:12" x14ac:dyDescent="0.35">
      <c r="A30" s="8"/>
      <c r="B30" s="9"/>
      <c r="C30" s="10" t="s">
        <v>57</v>
      </c>
      <c r="D30" s="13"/>
      <c r="E30" s="10"/>
      <c r="F30" s="9" t="s">
        <v>58</v>
      </c>
      <c r="G30" s="15">
        <f>ROUND(SUM(EASTERN:VALENCIA!G30),0)</f>
        <v>19088886</v>
      </c>
      <c r="H30" s="16"/>
      <c r="I30" s="15">
        <f>ROUND(SUM(EASTERN:VALENCIA!I30),0)</f>
        <v>11510687</v>
      </c>
      <c r="J30" s="15">
        <f>ROUND(SUM(EASTERN:VALENCIA!J30),0)</f>
        <v>7578199</v>
      </c>
      <c r="K30" s="12">
        <f>ROUND(SUM(EASTERN:VALENCIA!K30),0)</f>
        <v>19088886</v>
      </c>
      <c r="L30" s="17"/>
    </row>
    <row r="31" spans="1:12" x14ac:dyDescent="0.35">
      <c r="A31" s="8"/>
      <c r="B31" s="9"/>
      <c r="C31" s="10" t="s">
        <v>60</v>
      </c>
      <c r="D31" s="13"/>
      <c r="E31" s="10"/>
      <c r="F31" s="9" t="s">
        <v>61</v>
      </c>
      <c r="G31" s="15">
        <f>ROUND(SUM(EASTERN:VALENCIA!G31),0)</f>
        <v>4489050</v>
      </c>
      <c r="H31" s="16"/>
      <c r="I31" s="15">
        <f>ROUND(SUM(EASTERN:VALENCIA!I31),0)</f>
        <v>4205013</v>
      </c>
      <c r="J31" s="15">
        <f>ROUND(SUM(EASTERN:VALENCIA!J31),0)</f>
        <v>284037</v>
      </c>
      <c r="K31" s="12">
        <f>ROUND(SUM(EASTERN:VALENCIA!K31),0)</f>
        <v>4489050</v>
      </c>
      <c r="L31" s="17"/>
    </row>
    <row r="32" spans="1:12" x14ac:dyDescent="0.35">
      <c r="A32" s="8"/>
      <c r="B32" s="9"/>
      <c r="C32" s="10" t="s">
        <v>62</v>
      </c>
      <c r="D32" s="13"/>
      <c r="E32" s="10"/>
      <c r="F32" s="9" t="s">
        <v>63</v>
      </c>
      <c r="G32" s="15">
        <f>ROUND(SUM(EASTERN:VALENCIA!G32),0)</f>
        <v>6870138</v>
      </c>
      <c r="H32" s="16"/>
      <c r="I32" s="15">
        <f>ROUND(SUM(EASTERN:VALENCIA!I32),0)</f>
        <v>553664</v>
      </c>
      <c r="J32" s="15">
        <f>ROUND(SUM(EASTERN:VALENCIA!J32),0)</f>
        <v>6316474</v>
      </c>
      <c r="K32" s="12">
        <f>ROUND(SUM(EASTERN:VALENCIA!K32),0)</f>
        <v>6870138</v>
      </c>
      <c r="L32" s="17"/>
    </row>
    <row r="33" spans="1:12" x14ac:dyDescent="0.35">
      <c r="A33" s="9"/>
      <c r="B33" s="9"/>
      <c r="C33" s="10" t="s">
        <v>64</v>
      </c>
      <c r="D33" s="9"/>
      <c r="E33" s="10"/>
      <c r="F33" s="9" t="s">
        <v>65</v>
      </c>
      <c r="G33" s="15">
        <f>ROUND(SUM(EASTERN:VALENCIA!G33),0)</f>
        <v>2083291</v>
      </c>
      <c r="H33" s="16"/>
      <c r="I33" s="15">
        <f>ROUND(SUM(EASTERN:VALENCIA!I33),0)</f>
        <v>177810</v>
      </c>
      <c r="J33" s="15">
        <f>ROUND(SUM(EASTERN:VALENCIA!J33),0)</f>
        <v>1905481</v>
      </c>
      <c r="K33" s="12">
        <f>ROUND(SUM(EASTERN:VALENCIA!K33),0)</f>
        <v>2083291</v>
      </c>
      <c r="L33" s="17"/>
    </row>
    <row r="34" spans="1:12" x14ac:dyDescent="0.35">
      <c r="A34" s="9"/>
      <c r="B34" s="9"/>
      <c r="C34" s="10" t="s">
        <v>66</v>
      </c>
      <c r="D34" s="9"/>
      <c r="E34" s="9"/>
      <c r="F34" s="9" t="s">
        <v>67</v>
      </c>
      <c r="G34" s="15">
        <f>ROUND(SUM(EASTERN:VALENCIA!G34),0)</f>
        <v>2012396</v>
      </c>
      <c r="H34" s="16"/>
      <c r="I34" s="15">
        <f>ROUND(SUM(EASTERN:VALENCIA!I34),0)</f>
        <v>1629619</v>
      </c>
      <c r="J34" s="15">
        <f>ROUND(SUM(EASTERN:VALENCIA!J34),0)</f>
        <v>382777</v>
      </c>
      <c r="K34" s="12">
        <f>ROUND(SUM(EASTERN:VALENCIA!K34),0)</f>
        <v>2012396</v>
      </c>
      <c r="L34" s="17"/>
    </row>
    <row r="35" spans="1:12" x14ac:dyDescent="0.35">
      <c r="A35" s="9"/>
      <c r="B35" s="9"/>
      <c r="C35" s="10">
        <v>16225000</v>
      </c>
      <c r="D35" s="9"/>
      <c r="E35" s="10"/>
      <c r="F35" s="9" t="s">
        <v>69</v>
      </c>
      <c r="G35" s="15">
        <f>ROUND(SUM(EASTERN:VALENCIA!G35),0)</f>
        <v>6037736</v>
      </c>
      <c r="H35" s="16"/>
      <c r="I35" s="15">
        <f>ROUND(SUM(EASTERN:VALENCIA!I35),0)</f>
        <v>4129651</v>
      </c>
      <c r="J35" s="15">
        <f>ROUND(SUM(EASTERN:VALENCIA!J35),0)</f>
        <v>1908085</v>
      </c>
      <c r="K35" s="12">
        <f>ROUND(SUM(EASTERN:VALENCIA!K35),0)</f>
        <v>6037736</v>
      </c>
      <c r="L35" s="17"/>
    </row>
    <row r="36" spans="1:12" x14ac:dyDescent="0.35">
      <c r="A36" s="9"/>
      <c r="B36" s="9"/>
      <c r="C36" s="10" t="s">
        <v>70</v>
      </c>
      <c r="D36" s="9"/>
      <c r="E36" s="9"/>
      <c r="F36" s="9" t="s">
        <v>71</v>
      </c>
      <c r="G36" s="15">
        <f>ROUND(SUM(EASTERN:VALENCIA!G36),0)</f>
        <v>234634</v>
      </c>
      <c r="H36" s="16"/>
      <c r="I36" s="15">
        <f>ROUND(SUM(EASTERN:VALENCIA!I36),0)</f>
        <v>234634</v>
      </c>
      <c r="J36" s="15">
        <f>ROUND(SUM(EASTERN:VALENCIA!J36),0)</f>
        <v>0</v>
      </c>
      <c r="K36" s="12">
        <f>ROUND(SUM(EASTERN:VALENCIA!K36),0)</f>
        <v>234634</v>
      </c>
      <c r="L36" s="17"/>
    </row>
    <row r="37" spans="1:12" x14ac:dyDescent="0.35">
      <c r="A37" s="9"/>
      <c r="B37" s="9"/>
      <c r="C37" s="10" t="s">
        <v>72</v>
      </c>
      <c r="D37" s="9"/>
      <c r="E37" s="21"/>
      <c r="F37" s="9" t="s">
        <v>73</v>
      </c>
      <c r="G37" s="15">
        <f>ROUND(SUM(EASTERN:VALENCIA!G37),0)</f>
        <v>1364367</v>
      </c>
      <c r="H37" s="16"/>
      <c r="I37" s="15">
        <f>ROUND(SUM(EASTERN:VALENCIA!I37),0)</f>
        <v>730848</v>
      </c>
      <c r="J37" s="15">
        <f>ROUND(SUM(EASTERN:VALENCIA!J37),0)</f>
        <v>633519</v>
      </c>
      <c r="K37" s="12">
        <f>ROUND(SUM(EASTERN:VALENCIA!K37),0)</f>
        <v>1364367</v>
      </c>
      <c r="L37" s="17"/>
    </row>
    <row r="38" spans="1:12" x14ac:dyDescent="0.35">
      <c r="A38" s="9"/>
      <c r="B38" s="9"/>
      <c r="C38" s="10" t="s">
        <v>74</v>
      </c>
      <c r="D38" s="9"/>
      <c r="E38" s="9"/>
      <c r="F38" s="9" t="s">
        <v>75</v>
      </c>
      <c r="G38" s="15">
        <f>ROUND(SUM(EASTERN:VALENCIA!G38),0)</f>
        <v>0</v>
      </c>
      <c r="H38" s="16"/>
      <c r="I38" s="15">
        <f>ROUND(SUM(EASTERN:VALENCIA!I38),0)</f>
        <v>0</v>
      </c>
      <c r="J38" s="15">
        <f>ROUND(SUM(EASTERN:VALENCIA!J38),0)</f>
        <v>0</v>
      </c>
      <c r="K38" s="12">
        <f>ROUND(SUM(EASTERN:VALENCIA!K38),0)</f>
        <v>0</v>
      </c>
      <c r="L38" s="17"/>
    </row>
    <row r="39" spans="1:12" x14ac:dyDescent="0.35">
      <c r="A39" s="9"/>
      <c r="B39" s="9"/>
      <c r="C39" s="10" t="s">
        <v>76</v>
      </c>
      <c r="D39" s="9"/>
      <c r="E39" s="9"/>
      <c r="F39" s="9" t="s">
        <v>77</v>
      </c>
      <c r="G39" s="15">
        <f>ROUND(SUM(EASTERN:VALENCIA!G39),0)</f>
        <v>312599</v>
      </c>
      <c r="H39" s="16"/>
      <c r="I39" s="15">
        <f>ROUND(SUM(EASTERN:VALENCIA!I39),0)</f>
        <v>175655</v>
      </c>
      <c r="J39" s="15">
        <f>ROUND(SUM(EASTERN:VALENCIA!J39),0)</f>
        <v>136944</v>
      </c>
      <c r="K39" s="12">
        <f>ROUND(SUM(EASTERN:VALENCIA!K39),0)</f>
        <v>312599</v>
      </c>
      <c r="L39" s="17"/>
    </row>
    <row r="40" spans="1:12" x14ac:dyDescent="0.35">
      <c r="A40" s="9"/>
      <c r="B40" s="9"/>
      <c r="C40" s="10" t="s">
        <v>78</v>
      </c>
      <c r="D40" s="9"/>
      <c r="E40" s="9"/>
      <c r="F40" s="9" t="s">
        <v>79</v>
      </c>
      <c r="G40" s="15">
        <f>ROUND(SUM(EASTERN:VALENCIA!G40),0)</f>
        <v>3388590</v>
      </c>
      <c r="H40" s="16"/>
      <c r="I40" s="15">
        <f>ROUND(SUM(EASTERN:VALENCIA!I40),0)</f>
        <v>429241</v>
      </c>
      <c r="J40" s="15">
        <f>ROUND(SUM(EASTERN:VALENCIA!J40),0)</f>
        <v>2959349</v>
      </c>
      <c r="K40" s="12">
        <f>ROUND(SUM(EASTERN:VALENCIA!K40),0)</f>
        <v>3388590</v>
      </c>
      <c r="L40" s="17"/>
    </row>
    <row r="41" spans="1:12" x14ac:dyDescent="0.35">
      <c r="A41" s="9"/>
      <c r="B41" s="9"/>
      <c r="C41" s="10" t="s">
        <v>80</v>
      </c>
      <c r="D41" s="9"/>
      <c r="E41" s="9"/>
      <c r="F41" s="9" t="s">
        <v>81</v>
      </c>
      <c r="G41" s="15">
        <f>ROUND(SUM(EASTERN:VALENCIA!G41),0)</f>
        <v>2362941</v>
      </c>
      <c r="H41" s="16"/>
      <c r="I41" s="15">
        <f>ROUND(SUM(EASTERN:VALENCIA!I41),0)</f>
        <v>508465</v>
      </c>
      <c r="J41" s="15">
        <f>ROUND(SUM(EASTERN:VALENCIA!J41),0)</f>
        <v>1854476</v>
      </c>
      <c r="K41" s="12">
        <f>ROUND(SUM(EASTERN:VALENCIA!K41),0)</f>
        <v>2362941</v>
      </c>
      <c r="L41" s="17"/>
    </row>
    <row r="42" spans="1:12" x14ac:dyDescent="0.35">
      <c r="A42" s="9"/>
      <c r="B42" s="9" t="s">
        <v>82</v>
      </c>
      <c r="C42" s="10"/>
      <c r="D42" s="9"/>
      <c r="E42" s="9" t="s">
        <v>83</v>
      </c>
      <c r="F42" s="9"/>
      <c r="G42" s="12">
        <f>ROUND(SUM(EASTERN:VALENCIA!G42),0)</f>
        <v>229019274</v>
      </c>
      <c r="H42" s="9"/>
      <c r="I42" s="12">
        <f>ROUND(SUM(EASTERN:VALENCIA!I42),0)</f>
        <v>55959326</v>
      </c>
      <c r="J42" s="12">
        <f>ROUND(SUM(EASTERN:VALENCIA!J42),0)</f>
        <v>173059948</v>
      </c>
      <c r="K42" s="12">
        <f>ROUND(SUM(EASTERN:VALENCIA!K42),0)</f>
        <v>0</v>
      </c>
      <c r="L42" s="14"/>
    </row>
    <row r="43" spans="1:12" x14ac:dyDescent="0.35">
      <c r="A43" s="9"/>
      <c r="B43" s="9"/>
      <c r="C43" s="10" t="s">
        <v>84</v>
      </c>
      <c r="D43" s="9"/>
      <c r="E43" s="9"/>
      <c r="F43" s="9" t="s">
        <v>85</v>
      </c>
      <c r="G43" s="15">
        <f>ROUND(SUM(EASTERN:VALENCIA!G43),0)</f>
        <v>53663723</v>
      </c>
      <c r="H43" s="16"/>
      <c r="I43" s="15">
        <f>ROUND(SUM(EASTERN:VALENCIA!I43),0)</f>
        <v>2059478</v>
      </c>
      <c r="J43" s="15">
        <f>ROUND(SUM(EASTERN:VALENCIA!J43),0)</f>
        <v>51604245</v>
      </c>
      <c r="K43" s="12">
        <f>ROUND(SUM(EASTERN:VALENCIA!K43),0)</f>
        <v>53663723</v>
      </c>
      <c r="L43" s="17"/>
    </row>
    <row r="44" spans="1:12" x14ac:dyDescent="0.35">
      <c r="A44" s="9"/>
      <c r="B44" s="9"/>
      <c r="C44" s="10" t="s">
        <v>86</v>
      </c>
      <c r="D44" s="9"/>
      <c r="E44" s="9"/>
      <c r="F44" s="9" t="s">
        <v>87</v>
      </c>
      <c r="G44" s="15">
        <f>ROUND(SUM(EASTERN:VALENCIA!G44),0)</f>
        <v>53933994</v>
      </c>
      <c r="H44" s="16"/>
      <c r="I44" s="15">
        <f>ROUND(SUM(EASTERN:VALENCIA!I44),0)</f>
        <v>6873409</v>
      </c>
      <c r="J44" s="15">
        <f>ROUND(SUM(EASTERN:VALENCIA!J44),0)</f>
        <v>47060585</v>
      </c>
      <c r="K44" s="12">
        <f>ROUND(SUM(EASTERN:VALENCIA!K44),0)</f>
        <v>53933994</v>
      </c>
      <c r="L44" s="17"/>
    </row>
    <row r="45" spans="1:12" x14ac:dyDescent="0.35">
      <c r="A45" s="9"/>
      <c r="B45" s="9"/>
      <c r="C45" s="10" t="s">
        <v>88</v>
      </c>
      <c r="D45" s="9"/>
      <c r="E45" s="9"/>
      <c r="F45" s="9" t="s">
        <v>89</v>
      </c>
      <c r="G45" s="15">
        <f>ROUND(SUM(EASTERN:VALENCIA!G45),0)</f>
        <v>6299913</v>
      </c>
      <c r="H45" s="16"/>
      <c r="I45" s="15">
        <f>ROUND(SUM(EASTERN:VALENCIA!I45),0)</f>
        <v>886828</v>
      </c>
      <c r="J45" s="15">
        <f>ROUND(SUM(EASTERN:VALENCIA!J45),0)</f>
        <v>5413085</v>
      </c>
      <c r="K45" s="12">
        <f>ROUND(SUM(EASTERN:VALENCIA!K45),0)</f>
        <v>6299913</v>
      </c>
      <c r="L45" s="17"/>
    </row>
    <row r="46" spans="1:12" x14ac:dyDescent="0.35">
      <c r="A46" s="9"/>
      <c r="B46" s="9"/>
      <c r="C46" s="10" t="s">
        <v>90</v>
      </c>
      <c r="D46" s="9"/>
      <c r="E46" s="9"/>
      <c r="F46" s="9" t="s">
        <v>91</v>
      </c>
      <c r="G46" s="15">
        <f>ROUND(SUM(EASTERN:VALENCIA!G46),0)</f>
        <v>7875137</v>
      </c>
      <c r="H46" s="16"/>
      <c r="I46" s="15">
        <f>ROUND(SUM(EASTERN:VALENCIA!I46),0)</f>
        <v>932680</v>
      </c>
      <c r="J46" s="15">
        <f>ROUND(SUM(EASTERN:VALENCIA!J46),0)</f>
        <v>6942456</v>
      </c>
      <c r="K46" s="12">
        <f>ROUND(SUM(EASTERN:VALENCIA!K46),0)</f>
        <v>7875137</v>
      </c>
      <c r="L46" s="17"/>
    </row>
    <row r="47" spans="1:12" x14ac:dyDescent="0.35">
      <c r="A47" s="9"/>
      <c r="B47" s="9"/>
      <c r="C47" s="10" t="s">
        <v>92</v>
      </c>
      <c r="D47" s="9"/>
      <c r="E47" s="9"/>
      <c r="F47" s="9" t="s">
        <v>93</v>
      </c>
      <c r="G47" s="15">
        <f>ROUND(SUM(EASTERN:VALENCIA!G47),0)</f>
        <v>33994725</v>
      </c>
      <c r="H47" s="16"/>
      <c r="I47" s="15">
        <f>ROUND(SUM(EASTERN:VALENCIA!I47),0)</f>
        <v>31435408</v>
      </c>
      <c r="J47" s="15">
        <f>ROUND(SUM(EASTERN:VALENCIA!J47),0)</f>
        <v>2559317</v>
      </c>
      <c r="K47" s="12">
        <f>ROUND(SUM(EASTERN:VALENCIA!K47),0)</f>
        <v>33994725</v>
      </c>
      <c r="L47" s="17"/>
    </row>
    <row r="48" spans="1:12" x14ac:dyDescent="0.35">
      <c r="A48" s="9"/>
      <c r="B48" s="9"/>
      <c r="C48" s="10" t="s">
        <v>94</v>
      </c>
      <c r="D48" s="9"/>
      <c r="E48" s="9"/>
      <c r="F48" s="9" t="s">
        <v>95</v>
      </c>
      <c r="G48" s="15">
        <f>ROUND(SUM(EASTERN:VALENCIA!G48),0)</f>
        <v>1588978</v>
      </c>
      <c r="H48" s="16"/>
      <c r="I48" s="15">
        <f>ROUND(SUM(EASTERN:VALENCIA!I48),0)</f>
        <v>877721</v>
      </c>
      <c r="J48" s="15">
        <f>ROUND(SUM(EASTERN:VALENCIA!J48),0)</f>
        <v>711257</v>
      </c>
      <c r="K48" s="12">
        <f>ROUND(SUM(EASTERN:VALENCIA!K48),0)</f>
        <v>1588978</v>
      </c>
      <c r="L48" s="17"/>
    </row>
    <row r="49" spans="1:12" x14ac:dyDescent="0.35">
      <c r="A49" s="9"/>
      <c r="B49" s="9"/>
      <c r="C49" s="10" t="s">
        <v>96</v>
      </c>
      <c r="D49" s="9"/>
      <c r="E49" s="9"/>
      <c r="F49" s="9" t="s">
        <v>97</v>
      </c>
      <c r="G49" s="15">
        <f>ROUND(SUM(EASTERN:VALENCIA!G49),0)</f>
        <v>7803874</v>
      </c>
      <c r="H49" s="16"/>
      <c r="I49" s="15">
        <f>ROUND(SUM(EASTERN:VALENCIA!I49),0)</f>
        <v>7113330</v>
      </c>
      <c r="J49" s="15">
        <f>ROUND(SUM(EASTERN:VALENCIA!J49),0)</f>
        <v>690544</v>
      </c>
      <c r="K49" s="12">
        <f>ROUND(SUM(EASTERN:VALENCIA!K49),0)</f>
        <v>7803874</v>
      </c>
      <c r="L49" s="17"/>
    </row>
    <row r="50" spans="1:12" x14ac:dyDescent="0.35">
      <c r="A50" s="9"/>
      <c r="B50" s="9"/>
      <c r="C50" s="10" t="s">
        <v>98</v>
      </c>
      <c r="D50" s="9"/>
      <c r="E50" s="9"/>
      <c r="F50" s="9" t="s">
        <v>99</v>
      </c>
      <c r="G50" s="15">
        <f>ROUND(SUM(EASTERN:VALENCIA!G50),0)</f>
        <v>1901270</v>
      </c>
      <c r="H50" s="16"/>
      <c r="I50" s="15">
        <f>ROUND(SUM(EASTERN:VALENCIA!I50),0)</f>
        <v>1036276</v>
      </c>
      <c r="J50" s="15">
        <f>ROUND(SUM(EASTERN:VALENCIA!J50),0)</f>
        <v>864995</v>
      </c>
      <c r="K50" s="12">
        <f>ROUND(SUM(EASTERN:VALENCIA!K50),0)</f>
        <v>1901270</v>
      </c>
      <c r="L50" s="17"/>
    </row>
    <row r="51" spans="1:12" x14ac:dyDescent="0.35">
      <c r="A51" s="9"/>
      <c r="B51" s="9"/>
      <c r="C51" s="10" t="s">
        <v>100</v>
      </c>
      <c r="D51" s="9"/>
      <c r="E51" s="9"/>
      <c r="F51" s="9" t="s">
        <v>101</v>
      </c>
      <c r="G51" s="15">
        <f>ROUND(SUM(EASTERN:VALENCIA!G51),0)</f>
        <v>0</v>
      </c>
      <c r="H51" s="16"/>
      <c r="I51" s="15">
        <f>ROUND(SUM(EASTERN:VALENCIA!I51),0)</f>
        <v>0</v>
      </c>
      <c r="J51" s="15">
        <f>ROUND(SUM(EASTERN:VALENCIA!J51),0)</f>
        <v>0</v>
      </c>
      <c r="K51" s="12">
        <f>ROUND(SUM(EASTERN:VALENCIA!K51),0)</f>
        <v>0</v>
      </c>
      <c r="L51" s="17"/>
    </row>
    <row r="52" spans="1:12" x14ac:dyDescent="0.35">
      <c r="A52" s="9"/>
      <c r="B52" s="9"/>
      <c r="C52" s="10" t="s">
        <v>102</v>
      </c>
      <c r="D52" s="9"/>
      <c r="E52" s="9"/>
      <c r="F52" s="9" t="s">
        <v>103</v>
      </c>
      <c r="G52" s="15">
        <f>ROUND(SUM(EASTERN:VALENCIA!G52),0)</f>
        <v>551305</v>
      </c>
      <c r="H52" s="16"/>
      <c r="I52" s="15">
        <f>ROUND(SUM(EASTERN:VALENCIA!I52),0)</f>
        <v>113718</v>
      </c>
      <c r="J52" s="15">
        <f>ROUND(SUM(EASTERN:VALENCIA!J52),0)</f>
        <v>437587</v>
      </c>
      <c r="K52" s="12">
        <f>ROUND(SUM(EASTERN:VALENCIA!K52),0)</f>
        <v>551305</v>
      </c>
      <c r="L52" s="17"/>
    </row>
    <row r="53" spans="1:12" x14ac:dyDescent="0.35">
      <c r="A53" s="9"/>
      <c r="B53" s="9"/>
      <c r="C53" s="10" t="s">
        <v>104</v>
      </c>
      <c r="D53" s="9"/>
      <c r="E53" s="9"/>
      <c r="F53" s="9" t="s">
        <v>105</v>
      </c>
      <c r="G53" s="15">
        <f>ROUND(SUM(EASTERN:VALENCIA!G53),0)</f>
        <v>1209405</v>
      </c>
      <c r="H53" s="16"/>
      <c r="I53" s="15">
        <f>ROUND(SUM(EASTERN:VALENCIA!I53),0)</f>
        <v>1149803</v>
      </c>
      <c r="J53" s="15">
        <f>ROUND(SUM(EASTERN:VALENCIA!J53),0)</f>
        <v>59602</v>
      </c>
      <c r="K53" s="12">
        <f>ROUND(SUM(EASTERN:VALENCIA!K53),0)</f>
        <v>1209405</v>
      </c>
      <c r="L53" s="17"/>
    </row>
    <row r="54" spans="1:12" x14ac:dyDescent="0.35">
      <c r="A54" s="9"/>
      <c r="B54" s="9"/>
      <c r="C54" s="10" t="s">
        <v>106</v>
      </c>
      <c r="D54" s="9"/>
      <c r="E54" s="9"/>
      <c r="F54" s="9" t="s">
        <v>107</v>
      </c>
      <c r="G54" s="15">
        <f>ROUND(SUM(EASTERN:VALENCIA!G54),0)</f>
        <v>3442424</v>
      </c>
      <c r="H54" s="16"/>
      <c r="I54" s="15">
        <f>ROUND(SUM(EASTERN:VALENCIA!I54),0)</f>
        <v>680799</v>
      </c>
      <c r="J54" s="15">
        <f>ROUND(SUM(EASTERN:VALENCIA!J54),0)</f>
        <v>2761625</v>
      </c>
      <c r="K54" s="12">
        <f>ROUND(SUM(EASTERN:VALENCIA!K54),0)</f>
        <v>3442424</v>
      </c>
      <c r="L54" s="17"/>
    </row>
    <row r="55" spans="1:12" x14ac:dyDescent="0.35">
      <c r="A55" s="9"/>
      <c r="B55" s="9"/>
      <c r="C55" s="10" t="s">
        <v>108</v>
      </c>
      <c r="D55" s="9"/>
      <c r="E55" s="9"/>
      <c r="F55" s="9" t="s">
        <v>109</v>
      </c>
      <c r="G55" s="15">
        <f>ROUND(SUM(EASTERN:VALENCIA!G55),0)</f>
        <v>6574405</v>
      </c>
      <c r="H55" s="16"/>
      <c r="I55" s="15">
        <f>ROUND(SUM(EASTERN:VALENCIA!I55),0)</f>
        <v>201726</v>
      </c>
      <c r="J55" s="15">
        <f>ROUND(SUM(EASTERN:VALENCIA!J55),0)</f>
        <v>6372679</v>
      </c>
      <c r="K55" s="12">
        <f>ROUND(SUM(EASTERN:VALENCIA!K55),0)</f>
        <v>6574405</v>
      </c>
      <c r="L55" s="17"/>
    </row>
    <row r="56" spans="1:12" x14ac:dyDescent="0.35">
      <c r="A56" s="9"/>
      <c r="B56" s="9"/>
      <c r="C56" s="10" t="s">
        <v>110</v>
      </c>
      <c r="D56" s="9"/>
      <c r="E56" s="9"/>
      <c r="F56" s="9" t="s">
        <v>111</v>
      </c>
      <c r="G56" s="15">
        <f>ROUND(SUM(EASTERN:VALENCIA!G56),0)</f>
        <v>3103145</v>
      </c>
      <c r="H56" s="16"/>
      <c r="I56" s="15">
        <f>ROUND(SUM(EASTERN:VALENCIA!I56),0)</f>
        <v>449041</v>
      </c>
      <c r="J56" s="15">
        <f>ROUND(SUM(EASTERN:VALENCIA!J56),0)</f>
        <v>2654104</v>
      </c>
      <c r="K56" s="12">
        <f>ROUND(SUM(EASTERN:VALENCIA!K56),0)</f>
        <v>3103145</v>
      </c>
      <c r="L56" s="17"/>
    </row>
    <row r="57" spans="1:12" x14ac:dyDescent="0.35">
      <c r="A57" s="9"/>
      <c r="B57" s="9"/>
      <c r="C57" s="10" t="s">
        <v>112</v>
      </c>
      <c r="D57" s="9"/>
      <c r="E57" s="9"/>
      <c r="F57" s="9" t="s">
        <v>113</v>
      </c>
      <c r="G57" s="15">
        <f>ROUND(SUM(EASTERN:VALENCIA!G57),0)</f>
        <v>2505087</v>
      </c>
      <c r="H57" s="16"/>
      <c r="I57" s="15">
        <f>ROUND(SUM(EASTERN:VALENCIA!I57),0)</f>
        <v>285335</v>
      </c>
      <c r="J57" s="15">
        <f>ROUND(SUM(EASTERN:VALENCIA!J57),0)</f>
        <v>2219752</v>
      </c>
      <c r="K57" s="12">
        <f>ROUND(SUM(EASTERN:VALENCIA!K57),0)</f>
        <v>2505087</v>
      </c>
      <c r="L57" s="17"/>
    </row>
    <row r="58" spans="1:12" x14ac:dyDescent="0.35">
      <c r="A58" s="9"/>
      <c r="B58" s="9"/>
      <c r="C58" s="10" t="s">
        <v>114</v>
      </c>
      <c r="D58" s="9"/>
      <c r="E58" s="9"/>
      <c r="F58" s="9" t="s">
        <v>115</v>
      </c>
      <c r="G58" s="15">
        <f>ROUND(SUM(EASTERN:VALENCIA!G58),0)</f>
        <v>612825</v>
      </c>
      <c r="H58" s="16"/>
      <c r="I58" s="15">
        <f>ROUND(SUM(EASTERN:VALENCIA!I58),0)</f>
        <v>0</v>
      </c>
      <c r="J58" s="15">
        <f>ROUND(SUM(EASTERN:VALENCIA!J58),0)</f>
        <v>612825</v>
      </c>
      <c r="K58" s="12">
        <f>ROUND(SUM(EASTERN:VALENCIA!K58),0)</f>
        <v>612825</v>
      </c>
      <c r="L58" s="17"/>
    </row>
    <row r="59" spans="1:12" x14ac:dyDescent="0.35">
      <c r="A59" s="9"/>
      <c r="B59" s="9"/>
      <c r="C59" s="10" t="s">
        <v>116</v>
      </c>
      <c r="D59" s="9"/>
      <c r="E59" s="9"/>
      <c r="F59" s="9" t="s">
        <v>117</v>
      </c>
      <c r="G59" s="15">
        <f>ROUND(SUM(EASTERN:VALENCIA!G59),0)</f>
        <v>15196249</v>
      </c>
      <c r="H59" s="16"/>
      <c r="I59" s="15">
        <f>ROUND(SUM(EASTERN:VALENCIA!I59),0)</f>
        <v>-130512</v>
      </c>
      <c r="J59" s="15">
        <f>ROUND(SUM(EASTERN:VALENCIA!J59),0)</f>
        <v>15326761</v>
      </c>
      <c r="K59" s="12">
        <f>ROUND(SUM(EASTERN:VALENCIA!K59),0)</f>
        <v>15196249</v>
      </c>
      <c r="L59" s="17"/>
    </row>
    <row r="60" spans="1:12" x14ac:dyDescent="0.35">
      <c r="A60" s="9"/>
      <c r="B60" s="9"/>
      <c r="C60" s="10" t="s">
        <v>118</v>
      </c>
      <c r="D60" s="9"/>
      <c r="E60" s="9"/>
      <c r="F60" s="9" t="s">
        <v>119</v>
      </c>
      <c r="G60" s="15">
        <f>ROUND(SUM(EASTERN:VALENCIA!G60),0)</f>
        <v>1724345</v>
      </c>
      <c r="H60" s="16"/>
      <c r="I60" s="15">
        <f>ROUND(SUM(EASTERN:VALENCIA!I60),0)</f>
        <v>224488</v>
      </c>
      <c r="J60" s="15">
        <f>ROUND(SUM(EASTERN:VALENCIA!J60),0)</f>
        <v>1499857</v>
      </c>
      <c r="K60" s="12">
        <f>ROUND(SUM(EASTERN:VALENCIA!K60),0)</f>
        <v>1724345</v>
      </c>
      <c r="L60" s="17"/>
    </row>
    <row r="61" spans="1:12" x14ac:dyDescent="0.35">
      <c r="A61" s="9"/>
      <c r="B61" s="9"/>
      <c r="C61" s="10" t="s">
        <v>120</v>
      </c>
      <c r="D61" s="9"/>
      <c r="E61" s="9"/>
      <c r="F61" s="9" t="s">
        <v>121</v>
      </c>
      <c r="G61" s="15">
        <f>ROUND(SUM(EASTERN:VALENCIA!G61),0)</f>
        <v>2485265</v>
      </c>
      <c r="H61" s="16"/>
      <c r="I61" s="15">
        <f>ROUND(SUM(EASTERN:VALENCIA!I61),0)</f>
        <v>982287</v>
      </c>
      <c r="J61" s="15">
        <f>ROUND(SUM(EASTERN:VALENCIA!J61),0)</f>
        <v>1502979</v>
      </c>
      <c r="K61" s="12">
        <f>ROUND(SUM(EASTERN:VALENCIA!K61),0)</f>
        <v>2485265</v>
      </c>
      <c r="L61" s="17"/>
    </row>
    <row r="62" spans="1:12" x14ac:dyDescent="0.35">
      <c r="A62" s="9"/>
      <c r="B62" s="9"/>
      <c r="C62" s="10" t="s">
        <v>122</v>
      </c>
      <c r="D62" s="9"/>
      <c r="E62" s="9"/>
      <c r="F62" s="9" t="s">
        <v>123</v>
      </c>
      <c r="G62" s="15">
        <f>ROUND(SUM(EASTERN:VALENCIA!G62),0)</f>
        <v>23276396</v>
      </c>
      <c r="H62" s="16"/>
      <c r="I62" s="15">
        <f>ROUND(SUM(EASTERN:VALENCIA!I62),0)</f>
        <v>610620</v>
      </c>
      <c r="J62" s="15">
        <f>ROUND(SUM(EASTERN:VALENCIA!J62),0)</f>
        <v>22665776</v>
      </c>
      <c r="K62" s="12">
        <f>ROUND(SUM(EASTERN:VALENCIA!K62),0)</f>
        <v>23276396</v>
      </c>
      <c r="L62" s="17"/>
    </row>
    <row r="63" spans="1:12" x14ac:dyDescent="0.35">
      <c r="A63" s="9"/>
      <c r="B63" s="9"/>
      <c r="C63" s="10" t="s">
        <v>124</v>
      </c>
      <c r="D63" s="9"/>
      <c r="E63" s="9"/>
      <c r="F63" s="9" t="s">
        <v>125</v>
      </c>
      <c r="G63" s="15">
        <f>ROUND(SUM(EASTERN:VALENCIA!G63),0)</f>
        <v>1276808</v>
      </c>
      <c r="H63" s="16"/>
      <c r="I63" s="15">
        <f>ROUND(SUM(EASTERN:VALENCIA!I63),0)</f>
        <v>176891</v>
      </c>
      <c r="J63" s="15">
        <f>ROUND(SUM(EASTERN:VALENCIA!J63),0)</f>
        <v>1099917</v>
      </c>
      <c r="K63" s="12">
        <f>ROUND(SUM(EASTERN:VALENCIA!K63),0)</f>
        <v>1276808</v>
      </c>
      <c r="L63" s="17"/>
    </row>
    <row r="64" spans="1:12" hidden="1" x14ac:dyDescent="0.35">
      <c r="A64" s="9"/>
      <c r="B64" s="9" t="s">
        <v>126</v>
      </c>
      <c r="C64" s="10"/>
      <c r="D64" s="9"/>
      <c r="E64" s="9" t="s">
        <v>127</v>
      </c>
      <c r="F64" s="9"/>
      <c r="G64" s="12">
        <f>ROUND(SUM(EASTERN:VALENCIA!G64),0)</f>
        <v>0</v>
      </c>
      <c r="H64" s="9"/>
      <c r="I64" s="12">
        <f>ROUND(SUM(EASTERN:VALENCIA!I64),0)</f>
        <v>0</v>
      </c>
      <c r="J64" s="12">
        <f>ROUND(SUM(EASTERN:VALENCIA!J64),0)</f>
        <v>0</v>
      </c>
      <c r="K64" s="12">
        <f>ROUND(SUM(EASTERN:VALENCIA!K64),0)</f>
        <v>0</v>
      </c>
      <c r="L64" s="14"/>
    </row>
    <row r="65" spans="1:12" hidden="1" x14ac:dyDescent="0.35">
      <c r="A65" s="9"/>
      <c r="B65" s="9" t="s">
        <v>128</v>
      </c>
      <c r="C65" s="10"/>
      <c r="D65" s="9"/>
      <c r="E65" s="9" t="s">
        <v>127</v>
      </c>
      <c r="F65" s="9"/>
      <c r="G65" s="12">
        <f>ROUND(SUM(EASTERN:VALENCIA!G65),0)</f>
        <v>0</v>
      </c>
      <c r="H65" s="9"/>
      <c r="I65" s="12">
        <f>ROUND(SUM(EASTERN:VALENCIA!I65),0)</f>
        <v>0</v>
      </c>
      <c r="J65" s="12">
        <f>ROUND(SUM(EASTERN:VALENCIA!J65),0)</f>
        <v>0</v>
      </c>
      <c r="K65" s="12">
        <f>ROUND(SUM(EASTERN:VALENCIA!K65),0)</f>
        <v>0</v>
      </c>
      <c r="L65" s="14"/>
    </row>
    <row r="66" spans="1:12" x14ac:dyDescent="0.35">
      <c r="A66" s="9"/>
      <c r="B66" s="9" t="s">
        <v>129</v>
      </c>
      <c r="C66" s="10"/>
      <c r="D66" s="9"/>
      <c r="E66" s="9" t="s">
        <v>130</v>
      </c>
      <c r="F66" s="9"/>
      <c r="G66" s="12">
        <f>ROUND(SUM(EASTERN:VALENCIA!G66),0)</f>
        <v>4283372</v>
      </c>
      <c r="H66" s="9"/>
      <c r="I66" s="12">
        <f>ROUND(SUM(EASTERN:VALENCIA!I66),0)</f>
        <v>1675039</v>
      </c>
      <c r="J66" s="12">
        <f>ROUND(SUM(EASTERN:VALENCIA!J66),0)</f>
        <v>2608334</v>
      </c>
      <c r="K66" s="12">
        <f>ROUND(SUM(EASTERN:VALENCIA!K66),0)</f>
        <v>0</v>
      </c>
      <c r="L66" s="14"/>
    </row>
    <row r="67" spans="1:12" x14ac:dyDescent="0.35">
      <c r="A67" s="9"/>
      <c r="B67" s="9"/>
      <c r="C67" s="10" t="s">
        <v>131</v>
      </c>
      <c r="D67" s="9"/>
      <c r="E67" s="9"/>
      <c r="F67" s="9" t="s">
        <v>132</v>
      </c>
      <c r="G67" s="15">
        <f>ROUND(SUM(EASTERN:VALENCIA!G67),0)</f>
        <v>1519391</v>
      </c>
      <c r="H67" s="16"/>
      <c r="I67" s="15">
        <f>ROUND(SUM(EASTERN:VALENCIA!I67),0)</f>
        <v>1477714</v>
      </c>
      <c r="J67" s="15">
        <f>ROUND(SUM(EASTERN:VALENCIA!J67),0)</f>
        <v>41677</v>
      </c>
      <c r="K67" s="12">
        <f>ROUND(SUM(EASTERN:VALENCIA!K67),0)</f>
        <v>1519391</v>
      </c>
      <c r="L67" s="17"/>
    </row>
    <row r="68" spans="1:12" x14ac:dyDescent="0.35">
      <c r="A68" s="9"/>
      <c r="B68" s="9"/>
      <c r="C68" s="10" t="s">
        <v>133</v>
      </c>
      <c r="D68" s="9"/>
      <c r="E68" s="9"/>
      <c r="F68" s="9" t="s">
        <v>134</v>
      </c>
      <c r="G68" s="15">
        <f>ROUND(SUM(EASTERN:VALENCIA!G68),0)</f>
        <v>0</v>
      </c>
      <c r="H68" s="16"/>
      <c r="I68" s="15">
        <f>ROUND(SUM(EASTERN:VALENCIA!I68),0)</f>
        <v>0</v>
      </c>
      <c r="J68" s="15">
        <f>ROUND(SUM(EASTERN:VALENCIA!J68),0)</f>
        <v>0</v>
      </c>
      <c r="K68" s="12">
        <f>ROUND(SUM(EASTERN:VALENCIA!K68),0)</f>
        <v>0</v>
      </c>
      <c r="L68" s="17"/>
    </row>
    <row r="69" spans="1:12" x14ac:dyDescent="0.35">
      <c r="A69" s="9"/>
      <c r="B69" s="9"/>
      <c r="C69" s="10" t="s">
        <v>135</v>
      </c>
      <c r="D69" s="9"/>
      <c r="E69" s="9"/>
      <c r="F69" s="9" t="s">
        <v>136</v>
      </c>
      <c r="G69" s="15">
        <f>ROUND(SUM(EASTERN:VALENCIA!G69),0)</f>
        <v>2763982</v>
      </c>
      <c r="H69" s="16"/>
      <c r="I69" s="15">
        <f>ROUND(SUM(EASTERN:VALENCIA!I69),0)</f>
        <v>197325</v>
      </c>
      <c r="J69" s="15">
        <f>ROUND(SUM(EASTERN:VALENCIA!J69),0)</f>
        <v>2566657</v>
      </c>
      <c r="K69" s="12">
        <f>ROUND(SUM(EASTERN:VALENCIA!K69),0)</f>
        <v>2763982</v>
      </c>
      <c r="L69" s="17"/>
    </row>
    <row r="70" spans="1:12" x14ac:dyDescent="0.35">
      <c r="A70" s="9"/>
      <c r="B70" s="9" t="s">
        <v>137</v>
      </c>
      <c r="C70" s="10"/>
      <c r="D70" s="9"/>
      <c r="E70" s="9" t="s">
        <v>138</v>
      </c>
      <c r="F70" s="9"/>
      <c r="G70" s="12">
        <f>ROUND(SUM(EASTERN:VALENCIA!G70),0)</f>
        <v>56382231</v>
      </c>
      <c r="H70" s="9"/>
      <c r="I70" s="12">
        <f>ROUND(SUM(EASTERN:VALENCIA!I70),0)</f>
        <v>26370677</v>
      </c>
      <c r="J70" s="12">
        <f>ROUND(SUM(EASTERN:VALENCIA!J70),0)</f>
        <v>30011554</v>
      </c>
      <c r="K70" s="12">
        <f>ROUND(SUM(EASTERN:VALENCIA!K70),0)</f>
        <v>0</v>
      </c>
      <c r="L70" s="14"/>
    </row>
    <row r="71" spans="1:12" x14ac:dyDescent="0.35">
      <c r="A71" s="9"/>
      <c r="B71" s="9"/>
      <c r="C71" s="10" t="s">
        <v>139</v>
      </c>
      <c r="D71" s="9"/>
      <c r="E71" s="9"/>
      <c r="F71" s="9" t="s">
        <v>140</v>
      </c>
      <c r="G71" s="15">
        <f>ROUND(SUM(EASTERN:VALENCIA!G71),0)</f>
        <v>4236525</v>
      </c>
      <c r="H71" s="16"/>
      <c r="I71" s="15">
        <f>ROUND(SUM(EASTERN:VALENCIA!I71),0)</f>
        <v>1296055</v>
      </c>
      <c r="J71" s="15">
        <f>ROUND(SUM(EASTERN:VALENCIA!J71),0)</f>
        <v>2940470</v>
      </c>
      <c r="K71" s="12">
        <f>ROUND(SUM(EASTERN:VALENCIA!K71),0)</f>
        <v>4236525</v>
      </c>
      <c r="L71" s="17"/>
    </row>
    <row r="72" spans="1:12" x14ac:dyDescent="0.35">
      <c r="A72" s="9"/>
      <c r="B72" s="9"/>
      <c r="C72" s="10" t="s">
        <v>141</v>
      </c>
      <c r="D72" s="9"/>
      <c r="E72" s="9"/>
      <c r="F72" s="9" t="s">
        <v>142</v>
      </c>
      <c r="G72" s="15">
        <f>ROUND(SUM(EASTERN:VALENCIA!G72),0)</f>
        <v>40334924</v>
      </c>
      <c r="H72" s="16"/>
      <c r="I72" s="15">
        <f>ROUND(SUM(EASTERN:VALENCIA!I72),0)</f>
        <v>23196682</v>
      </c>
      <c r="J72" s="15">
        <f>ROUND(SUM(EASTERN:VALENCIA!J72),0)</f>
        <v>17138242</v>
      </c>
      <c r="K72" s="12">
        <f>ROUND(SUM(EASTERN:VALENCIA!K72),0)</f>
        <v>40334924</v>
      </c>
      <c r="L72" s="17"/>
    </row>
    <row r="73" spans="1:12" x14ac:dyDescent="0.35">
      <c r="A73" s="9"/>
      <c r="B73" s="9"/>
      <c r="C73" s="10" t="s">
        <v>143</v>
      </c>
      <c r="D73" s="9"/>
      <c r="E73" s="9"/>
      <c r="F73" s="9" t="s">
        <v>144</v>
      </c>
      <c r="G73" s="15">
        <f>ROUND(SUM(EASTERN:VALENCIA!G73),0)</f>
        <v>11810782</v>
      </c>
      <c r="H73" s="16"/>
      <c r="I73" s="15">
        <f>ROUND(SUM(EASTERN:VALENCIA!I73),0)</f>
        <v>1877939</v>
      </c>
      <c r="J73" s="15">
        <f>ROUND(SUM(EASTERN:VALENCIA!J73),0)</f>
        <v>9932842</v>
      </c>
      <c r="K73" s="12">
        <f>ROUND(SUM(EASTERN:VALENCIA!K73),0)</f>
        <v>11810782</v>
      </c>
      <c r="L73" s="17"/>
    </row>
    <row r="74" spans="1:12" hidden="1" x14ac:dyDescent="0.35">
      <c r="A74" s="9"/>
      <c r="B74" s="9" t="s">
        <v>145</v>
      </c>
      <c r="C74" s="10"/>
      <c r="D74" s="9"/>
      <c r="E74" s="9" t="s">
        <v>127</v>
      </c>
      <c r="F74" s="9"/>
      <c r="G74" s="12">
        <f>ROUND(SUM(EASTERN:VALENCIA!G74),0)</f>
        <v>0</v>
      </c>
      <c r="H74" s="9"/>
      <c r="I74" s="12">
        <f>ROUND(SUM(EASTERN:VALENCIA!I74),0)</f>
        <v>0</v>
      </c>
      <c r="J74" s="12">
        <f>ROUND(SUM(EASTERN:VALENCIA!J74),0)</f>
        <v>0</v>
      </c>
      <c r="K74" s="12">
        <f>ROUND(SUM(EASTERN:VALENCIA!K74),0)</f>
        <v>0</v>
      </c>
      <c r="L74" s="14"/>
    </row>
    <row r="75" spans="1:12" hidden="1" x14ac:dyDescent="0.35">
      <c r="A75" s="9"/>
      <c r="B75" s="9" t="s">
        <v>146</v>
      </c>
      <c r="C75" s="10"/>
      <c r="D75" s="9"/>
      <c r="E75" s="9" t="s">
        <v>127</v>
      </c>
      <c r="F75" s="9"/>
      <c r="G75" s="12">
        <f>ROUND(SUM(EASTERN:VALENCIA!G75),0)</f>
        <v>0</v>
      </c>
      <c r="H75" s="9"/>
      <c r="I75" s="12">
        <f>ROUND(SUM(EASTERN:VALENCIA!I75),0)</f>
        <v>0</v>
      </c>
      <c r="J75" s="12">
        <f>ROUND(SUM(EASTERN:VALENCIA!J75),0)</f>
        <v>0</v>
      </c>
      <c r="K75" s="12">
        <f>ROUND(SUM(EASTERN:VALENCIA!K75),0)</f>
        <v>0</v>
      </c>
      <c r="L75" s="14"/>
    </row>
    <row r="76" spans="1:12" s="7" customFormat="1" x14ac:dyDescent="0.35">
      <c r="A76" s="4" t="s">
        <v>147</v>
      </c>
      <c r="B76" s="4"/>
      <c r="C76" s="22"/>
      <c r="D76" s="4"/>
      <c r="E76" s="4"/>
      <c r="F76" s="4"/>
      <c r="G76" s="23">
        <f>ROUND(SUM(EASTERN:VALENCIA!G76),0)</f>
        <v>466296808</v>
      </c>
      <c r="H76" s="24"/>
      <c r="I76" s="23">
        <f>ROUND(SUM(EASTERN:VALENCIA!I76),0)</f>
        <v>187829453</v>
      </c>
      <c r="J76" s="23">
        <f>ROUND(SUM(EASTERN:VALENCIA!J76),0)</f>
        <v>278467355</v>
      </c>
      <c r="K76" s="12">
        <f>ROUND(SUM(EASTERN:VALENCIA!K76),0)</f>
        <v>466296808</v>
      </c>
      <c r="L76" s="25"/>
    </row>
    <row r="77" spans="1:12" x14ac:dyDescent="0.35">
      <c r="F77" s="36" t="s">
        <v>179</v>
      </c>
      <c r="G77" s="41">
        <f>ROUND(SUM(EASTERN:VALENCIA!G77),0)</f>
        <v>466325492</v>
      </c>
      <c r="H77" s="27"/>
      <c r="I77" s="28">
        <f>I76/G76</f>
        <v>0.40281093453249633</v>
      </c>
      <c r="J77" s="28">
        <f>J76/G76</f>
        <v>0.59718906546750372</v>
      </c>
      <c r="K77" s="27"/>
    </row>
    <row r="79" spans="1:12" x14ac:dyDescent="0.35">
      <c r="G79" s="36"/>
      <c r="I79" s="37"/>
      <c r="J79" s="39"/>
    </row>
    <row r="80" spans="1:12" hidden="1" x14ac:dyDescent="0.35">
      <c r="G80" s="36"/>
      <c r="I80" s="37"/>
      <c r="J80" s="39"/>
    </row>
    <row r="81" spans="7:10" x14ac:dyDescent="0.35">
      <c r="G81" s="36"/>
      <c r="I81" s="37"/>
      <c r="J81" s="39"/>
    </row>
    <row r="82" spans="7:10" x14ac:dyDescent="0.35">
      <c r="G82" s="36"/>
      <c r="I82" s="38"/>
    </row>
    <row r="83" spans="7:10" ht="15.5" x14ac:dyDescent="0.35">
      <c r="G83" s="65" t="s">
        <v>202</v>
      </c>
      <c r="H83" s="12">
        <f>ROUND(SUM(EASTERN:VALENCIA!I83),0)</f>
        <v>2339454552</v>
      </c>
      <c r="I83" s="67">
        <f>I76/H83</f>
        <v>8.0287711868317582E-2</v>
      </c>
      <c r="J83" s="68" t="s">
        <v>203</v>
      </c>
    </row>
    <row r="98" spans="3:3" x14ac:dyDescent="0.35">
      <c r="C98"/>
    </row>
    <row r="99" spans="3:3" x14ac:dyDescent="0.35">
      <c r="C99"/>
    </row>
    <row r="100" spans="3:3" x14ac:dyDescent="0.35">
      <c r="C100"/>
    </row>
    <row r="101" spans="3:3" x14ac:dyDescent="0.35">
      <c r="C101"/>
    </row>
    <row r="102" spans="3:3" x14ac:dyDescent="0.35">
      <c r="C102"/>
    </row>
    <row r="103" spans="3:3" x14ac:dyDescent="0.35">
      <c r="C103"/>
    </row>
    <row r="104" spans="3:3" x14ac:dyDescent="0.35">
      <c r="C104"/>
    </row>
    <row r="105" spans="3:3" x14ac:dyDescent="0.35">
      <c r="C105"/>
    </row>
    <row r="106" spans="3:3" x14ac:dyDescent="0.35">
      <c r="C106"/>
    </row>
    <row r="107" spans="3:3" x14ac:dyDescent="0.35">
      <c r="C107"/>
    </row>
    <row r="108" spans="3:3" x14ac:dyDescent="0.35">
      <c r="C108"/>
    </row>
    <row r="109" spans="3:3" x14ac:dyDescent="0.35">
      <c r="C109"/>
    </row>
    <row r="110" spans="3:3" x14ac:dyDescent="0.35">
      <c r="C110"/>
    </row>
  </sheetData>
  <conditionalFormatting sqref="K9:K24">
    <cfRule type="cellIs" dxfId="523" priority="89" operator="notEqual">
      <formula>G9</formula>
    </cfRule>
    <cfRule type="cellIs" dxfId="522" priority="90" operator="equal">
      <formula>G9</formula>
    </cfRule>
  </conditionalFormatting>
  <conditionalFormatting sqref="K26:K41">
    <cfRule type="cellIs" dxfId="521" priority="57" operator="notEqual">
      <formula>G26</formula>
    </cfRule>
    <cfRule type="cellIs" dxfId="520" priority="58" operator="equal">
      <formula>G26</formula>
    </cfRule>
  </conditionalFormatting>
  <conditionalFormatting sqref="K43:K63">
    <cfRule type="cellIs" dxfId="519" priority="15" operator="notEqual">
      <formula>G43</formula>
    </cfRule>
    <cfRule type="cellIs" dxfId="518" priority="16" operator="equal">
      <formula>G43</formula>
    </cfRule>
  </conditionalFormatting>
  <conditionalFormatting sqref="K67:K69">
    <cfRule type="cellIs" dxfId="517" priority="9" operator="notEqual">
      <formula>G67</formula>
    </cfRule>
    <cfRule type="cellIs" dxfId="516" priority="10" operator="equal">
      <formula>G67</formula>
    </cfRule>
  </conditionalFormatting>
  <conditionalFormatting sqref="K71:K73">
    <cfRule type="cellIs" dxfId="515" priority="3" operator="notEqual">
      <formula>G71</formula>
    </cfRule>
    <cfRule type="cellIs" dxfId="514" priority="4" operator="equal">
      <formula>G71</formula>
    </cfRule>
  </conditionalFormatting>
  <conditionalFormatting sqref="K76">
    <cfRule type="cellIs" dxfId="513" priority="1" operator="notEqual">
      <formula>G76</formula>
    </cfRule>
    <cfRule type="cellIs" dxfId="512" priority="2" operator="equal">
      <formula>G76</formula>
    </cfRule>
  </conditionalFormatting>
  <dataValidations disablePrompts="1" count="1">
    <dataValidation type="list" allowBlank="1" showInputMessage="1" showErrorMessage="1" sqref="H9:H75" xr:uid="{00000000-0002-0000-0600-000000000000}">
      <formula1>$H$81:$H$83</formula1>
    </dataValidation>
  </dataValidations>
  <pageMargins left="0.7" right="0.7" top="0.75" bottom="0.75" header="0.3" footer="0.3"/>
  <pageSetup scale="52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F0"/>
    <pageSetUpPr fitToPage="1"/>
  </sheetPr>
  <dimension ref="A1:L140"/>
  <sheetViews>
    <sheetView workbookViewId="0">
      <selection activeCell="D6" sqref="D6"/>
    </sheetView>
  </sheetViews>
  <sheetFormatPr defaultRowHeight="14.5" x14ac:dyDescent="0.35"/>
  <cols>
    <col min="1" max="2" width="2.81640625" customWidth="1"/>
    <col min="3" max="3" width="10.453125" style="123" bestFit="1" customWidth="1"/>
    <col min="4" max="5" width="2.81640625" customWidth="1"/>
    <col min="6" max="6" width="80.7265625" bestFit="1" customWidth="1"/>
    <col min="7" max="7" width="27.81640625" customWidth="1"/>
    <col min="8" max="8" width="15.26953125" bestFit="1" customWidth="1"/>
    <col min="9" max="9" width="27.26953125" customWidth="1"/>
    <col min="10" max="10" width="26.81640625" customWidth="1"/>
    <col min="11" max="11" width="25.81640625" customWidth="1"/>
    <col min="12" max="12" width="82.54296875" customWidth="1"/>
  </cols>
  <sheetData>
    <row r="1" spans="1:12" x14ac:dyDescent="0.35">
      <c r="A1" s="7"/>
      <c r="B1" s="7"/>
      <c r="C1" s="7"/>
      <c r="D1" s="7"/>
      <c r="E1" s="7"/>
      <c r="F1" s="7"/>
      <c r="G1" s="7"/>
      <c r="H1" s="7"/>
      <c r="I1" s="7" t="s">
        <v>0</v>
      </c>
      <c r="J1" s="7"/>
      <c r="K1" s="7"/>
      <c r="L1" s="7"/>
    </row>
    <row r="2" spans="1:12" x14ac:dyDescent="0.35">
      <c r="A2" s="7"/>
      <c r="B2" s="7"/>
      <c r="C2" s="7"/>
      <c r="D2" s="7"/>
      <c r="E2" s="7"/>
      <c r="F2" s="7"/>
      <c r="G2" s="7"/>
      <c r="H2" s="7"/>
      <c r="I2" s="132" t="s">
        <v>197</v>
      </c>
      <c r="J2" s="7"/>
      <c r="K2" s="7"/>
      <c r="L2" s="7"/>
    </row>
    <row r="3" spans="1:12" x14ac:dyDescent="0.35">
      <c r="A3" s="136" t="s">
        <v>198</v>
      </c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</row>
    <row r="4" spans="1:12" ht="19.5" customHeight="1" x14ac:dyDescent="0.35">
      <c r="A4" s="137" t="s">
        <v>196</v>
      </c>
      <c r="C4"/>
    </row>
    <row r="5" spans="1:12" x14ac:dyDescent="0.35">
      <c r="C5"/>
    </row>
    <row r="6" spans="1:12" s="7" customFormat="1" x14ac:dyDescent="0.35">
      <c r="A6" s="3" t="s">
        <v>2</v>
      </c>
      <c r="B6" s="4"/>
      <c r="C6" s="4"/>
      <c r="D6" s="3" t="s">
        <v>3</v>
      </c>
      <c r="E6" s="4"/>
      <c r="F6" s="4"/>
      <c r="G6" s="118" t="s">
        <v>274</v>
      </c>
      <c r="H6" s="6" t="s">
        <v>4</v>
      </c>
      <c r="I6" s="6" t="s">
        <v>5</v>
      </c>
      <c r="J6" s="6" t="s">
        <v>6</v>
      </c>
      <c r="K6" s="6" t="s">
        <v>7</v>
      </c>
      <c r="L6" s="6" t="s">
        <v>199</v>
      </c>
    </row>
    <row r="7" spans="1:12" x14ac:dyDescent="0.35">
      <c r="A7" s="8" t="s">
        <v>9</v>
      </c>
      <c r="B7" s="9"/>
      <c r="C7" s="119"/>
      <c r="D7" s="11" t="s">
        <v>10</v>
      </c>
      <c r="E7" s="119"/>
      <c r="F7" s="119"/>
      <c r="G7" s="69"/>
      <c r="H7" s="9"/>
      <c r="I7" s="69"/>
      <c r="J7" s="69"/>
      <c r="K7" s="69"/>
      <c r="L7" s="11"/>
    </row>
    <row r="8" spans="1:12" x14ac:dyDescent="0.35">
      <c r="A8" s="8"/>
      <c r="B8" s="9" t="s">
        <v>11</v>
      </c>
      <c r="C8" s="119"/>
      <c r="D8" s="13"/>
      <c r="E8" s="9" t="s">
        <v>12</v>
      </c>
      <c r="F8" s="119"/>
      <c r="G8" s="69">
        <v>2280475.3469597497</v>
      </c>
      <c r="H8" s="9"/>
      <c r="I8" s="69">
        <v>1528688.1522783055</v>
      </c>
      <c r="J8" s="69">
        <v>751787.19468144421</v>
      </c>
      <c r="K8" s="69"/>
      <c r="L8" s="14"/>
    </row>
    <row r="9" spans="1:12" x14ac:dyDescent="0.35">
      <c r="A9" s="8"/>
      <c r="B9" s="9"/>
      <c r="C9" s="119" t="s">
        <v>13</v>
      </c>
      <c r="D9" s="13"/>
      <c r="E9" s="119"/>
      <c r="F9" s="9" t="s">
        <v>14</v>
      </c>
      <c r="G9" s="70"/>
      <c r="H9" s="16"/>
      <c r="I9" s="70"/>
      <c r="J9" s="70"/>
      <c r="K9" s="69">
        <v>0</v>
      </c>
      <c r="L9" s="17"/>
    </row>
    <row r="10" spans="1:12" x14ac:dyDescent="0.35">
      <c r="A10" s="8"/>
      <c r="B10" s="9"/>
      <c r="C10" s="119" t="s">
        <v>16</v>
      </c>
      <c r="D10" s="13"/>
      <c r="E10" s="119"/>
      <c r="F10" s="9" t="s">
        <v>17</v>
      </c>
      <c r="G10" s="70">
        <v>2331.1652555687538</v>
      </c>
      <c r="H10" s="16" t="s">
        <v>15</v>
      </c>
      <c r="I10" s="70">
        <v>2331.1652555687538</v>
      </c>
      <c r="J10" s="70"/>
      <c r="K10" s="69">
        <v>2331.1652555687538</v>
      </c>
      <c r="L10" s="17"/>
    </row>
    <row r="11" spans="1:12" x14ac:dyDescent="0.35">
      <c r="A11" s="8"/>
      <c r="B11" s="9"/>
      <c r="C11" s="119" t="s">
        <v>18</v>
      </c>
      <c r="D11" s="13"/>
      <c r="E11" s="119"/>
      <c r="F11" s="9" t="s">
        <v>19</v>
      </c>
      <c r="G11" s="70">
        <v>1194500.9270688426</v>
      </c>
      <c r="H11" s="16" t="s">
        <v>15</v>
      </c>
      <c r="I11" s="70">
        <v>1194500.9270688426</v>
      </c>
      <c r="J11" s="70">
        <v>0</v>
      </c>
      <c r="K11" s="69">
        <v>1194500.9270688426</v>
      </c>
      <c r="L11" s="17"/>
    </row>
    <row r="12" spans="1:12" x14ac:dyDescent="0.35">
      <c r="A12" s="8"/>
      <c r="B12" s="9"/>
      <c r="C12" s="119" t="s">
        <v>20</v>
      </c>
      <c r="D12" s="13"/>
      <c r="E12" s="119"/>
      <c r="F12" s="9" t="s">
        <v>21</v>
      </c>
      <c r="G12" s="70"/>
      <c r="H12" s="16"/>
      <c r="I12" s="70"/>
      <c r="J12" s="70"/>
      <c r="K12" s="69">
        <v>0</v>
      </c>
      <c r="L12" s="17"/>
    </row>
    <row r="13" spans="1:12" x14ac:dyDescent="0.35">
      <c r="A13" s="8"/>
      <c r="B13" s="9"/>
      <c r="C13" s="119" t="s">
        <v>22</v>
      </c>
      <c r="D13" s="13"/>
      <c r="E13" s="119"/>
      <c r="F13" s="9" t="s">
        <v>23</v>
      </c>
      <c r="G13" s="70"/>
      <c r="H13" s="16"/>
      <c r="I13" s="70"/>
      <c r="J13" s="70"/>
      <c r="K13" s="69">
        <v>0</v>
      </c>
      <c r="L13" s="17"/>
    </row>
    <row r="14" spans="1:12" x14ac:dyDescent="0.35">
      <c r="A14" s="8"/>
      <c r="B14" s="9"/>
      <c r="C14" s="119" t="s">
        <v>25</v>
      </c>
      <c r="D14" s="13"/>
      <c r="E14" s="119"/>
      <c r="F14" s="9" t="s">
        <v>26</v>
      </c>
      <c r="G14" s="70">
        <v>322401.59045417496</v>
      </c>
      <c r="H14" s="16" t="s">
        <v>24</v>
      </c>
      <c r="I14" s="70"/>
      <c r="J14" s="70">
        <v>322401.59045417496</v>
      </c>
      <c r="K14" s="69">
        <v>322401.59045417496</v>
      </c>
      <c r="L14" s="17"/>
    </row>
    <row r="15" spans="1:12" x14ac:dyDescent="0.35">
      <c r="A15" s="8"/>
      <c r="B15" s="9"/>
      <c r="C15" s="119" t="s">
        <v>27</v>
      </c>
      <c r="D15" s="13"/>
      <c r="E15" s="119"/>
      <c r="F15" s="9" t="s">
        <v>28</v>
      </c>
      <c r="G15" s="70"/>
      <c r="H15" s="16"/>
      <c r="I15" s="70"/>
      <c r="J15" s="70"/>
      <c r="K15" s="69">
        <v>0</v>
      </c>
      <c r="L15" s="17"/>
    </row>
    <row r="16" spans="1:12" x14ac:dyDescent="0.35">
      <c r="A16" s="8"/>
      <c r="B16" s="9"/>
      <c r="C16" s="119" t="s">
        <v>29</v>
      </c>
      <c r="D16" s="13"/>
      <c r="E16" s="119"/>
      <c r="F16" s="9" t="s">
        <v>30</v>
      </c>
      <c r="G16" s="70"/>
      <c r="H16" s="16"/>
      <c r="I16" s="70"/>
      <c r="J16" s="70"/>
      <c r="K16" s="69">
        <v>0</v>
      </c>
      <c r="L16" s="17"/>
    </row>
    <row r="17" spans="1:12" x14ac:dyDescent="0.35">
      <c r="A17" s="8"/>
      <c r="B17" s="9"/>
      <c r="C17" s="119" t="s">
        <v>31</v>
      </c>
      <c r="D17" s="13"/>
      <c r="E17" s="119"/>
      <c r="F17" s="9" t="s">
        <v>32</v>
      </c>
      <c r="G17" s="70"/>
      <c r="H17" s="16"/>
      <c r="I17" s="70"/>
      <c r="J17" s="70"/>
      <c r="K17" s="69">
        <v>0</v>
      </c>
      <c r="L17" s="17"/>
    </row>
    <row r="18" spans="1:12" x14ac:dyDescent="0.35">
      <c r="A18" s="8"/>
      <c r="B18" s="9"/>
      <c r="C18" s="119" t="s">
        <v>33</v>
      </c>
      <c r="D18" s="13"/>
      <c r="E18" s="119"/>
      <c r="F18" s="9" t="s">
        <v>34</v>
      </c>
      <c r="G18" s="70">
        <v>429385.60422726924</v>
      </c>
      <c r="H18" s="16" t="s">
        <v>24</v>
      </c>
      <c r="I18" s="70"/>
      <c r="J18" s="70">
        <v>429385.60422726924</v>
      </c>
      <c r="K18" s="69">
        <v>429385.60422726924</v>
      </c>
      <c r="L18" s="17"/>
    </row>
    <row r="19" spans="1:12" x14ac:dyDescent="0.35">
      <c r="A19" s="8"/>
      <c r="B19" s="9"/>
      <c r="C19" s="119" t="s">
        <v>35</v>
      </c>
      <c r="D19" s="13"/>
      <c r="E19" s="119"/>
      <c r="F19" s="9" t="s">
        <v>36</v>
      </c>
      <c r="G19" s="71"/>
      <c r="H19" s="16"/>
      <c r="I19" s="71"/>
      <c r="J19" s="71"/>
      <c r="K19" s="69">
        <v>0</v>
      </c>
      <c r="L19" s="17"/>
    </row>
    <row r="20" spans="1:12" x14ac:dyDescent="0.35">
      <c r="A20" s="8"/>
      <c r="B20" s="9"/>
      <c r="C20" s="119" t="s">
        <v>37</v>
      </c>
      <c r="D20" s="13"/>
      <c r="E20" s="119"/>
      <c r="F20" s="9" t="s">
        <v>38</v>
      </c>
      <c r="G20" s="70">
        <v>331856.05995389423</v>
      </c>
      <c r="H20" s="16" t="s">
        <v>15</v>
      </c>
      <c r="I20" s="70">
        <v>331856.05995389423</v>
      </c>
      <c r="J20" s="70"/>
      <c r="K20" s="69">
        <v>331856.05995389423</v>
      </c>
      <c r="L20" s="17"/>
    </row>
    <row r="21" spans="1:12" x14ac:dyDescent="0.35">
      <c r="A21" s="8"/>
      <c r="B21" s="9"/>
      <c r="C21" s="119" t="s">
        <v>39</v>
      </c>
      <c r="D21" s="13"/>
      <c r="E21" s="119"/>
      <c r="F21" s="9" t="s">
        <v>40</v>
      </c>
      <c r="G21" s="70"/>
      <c r="H21" s="16"/>
      <c r="I21" s="70"/>
      <c r="J21" s="70"/>
      <c r="K21" s="69">
        <v>0</v>
      </c>
      <c r="L21" s="17"/>
    </row>
    <row r="22" spans="1:12" x14ac:dyDescent="0.35">
      <c r="A22" s="8"/>
      <c r="B22" s="9"/>
      <c r="C22" s="119" t="s">
        <v>41</v>
      </c>
      <c r="D22" s="13"/>
      <c r="E22" s="119"/>
      <c r="F22" s="9" t="s">
        <v>42</v>
      </c>
      <c r="G22" s="70"/>
      <c r="H22" s="16"/>
      <c r="I22" s="70"/>
      <c r="J22" s="70"/>
      <c r="K22" s="69">
        <v>0</v>
      </c>
      <c r="L22" s="17"/>
    </row>
    <row r="23" spans="1:12" x14ac:dyDescent="0.35">
      <c r="A23" s="8"/>
      <c r="B23" s="9"/>
      <c r="C23" s="119" t="s">
        <v>43</v>
      </c>
      <c r="D23" s="13"/>
      <c r="E23" s="119"/>
      <c r="F23" s="9" t="s">
        <v>44</v>
      </c>
      <c r="G23" s="70"/>
      <c r="H23" s="16"/>
      <c r="I23" s="70"/>
      <c r="J23" s="70"/>
      <c r="K23" s="69">
        <v>0</v>
      </c>
      <c r="L23" s="17"/>
    </row>
    <row r="24" spans="1:12" x14ac:dyDescent="0.35">
      <c r="A24" s="9"/>
      <c r="B24" s="9"/>
      <c r="C24" s="120" t="s">
        <v>45</v>
      </c>
      <c r="D24" s="13"/>
      <c r="E24" s="120"/>
      <c r="F24" s="9" t="s">
        <v>46</v>
      </c>
      <c r="G24" s="72"/>
      <c r="H24" s="16"/>
      <c r="I24" s="72"/>
      <c r="J24" s="72"/>
      <c r="K24" s="69">
        <v>0</v>
      </c>
      <c r="L24" s="17"/>
    </row>
    <row r="25" spans="1:12" x14ac:dyDescent="0.35">
      <c r="A25" s="8"/>
      <c r="B25" s="9" t="s">
        <v>47</v>
      </c>
      <c r="C25" s="119"/>
      <c r="D25" s="13"/>
      <c r="E25" s="9" t="s">
        <v>48</v>
      </c>
      <c r="F25" s="119"/>
      <c r="G25" s="69">
        <v>1973456.2208766597</v>
      </c>
      <c r="H25" s="9"/>
      <c r="I25" s="69">
        <v>1386592.5031549362</v>
      </c>
      <c r="J25" s="69">
        <v>586863.71772172372</v>
      </c>
      <c r="K25" s="69"/>
      <c r="L25" s="14"/>
    </row>
    <row r="26" spans="1:12" x14ac:dyDescent="0.35">
      <c r="A26" s="8"/>
      <c r="B26" s="9"/>
      <c r="C26" s="119" t="s">
        <v>49</v>
      </c>
      <c r="D26" s="13"/>
      <c r="E26" s="119"/>
      <c r="F26" s="9" t="s">
        <v>50</v>
      </c>
      <c r="G26" s="70"/>
      <c r="H26" s="16"/>
      <c r="I26" s="70"/>
      <c r="J26" s="70"/>
      <c r="K26" s="69">
        <v>0</v>
      </c>
      <c r="L26" s="17"/>
    </row>
    <row r="27" spans="1:12" x14ac:dyDescent="0.35">
      <c r="A27" s="8"/>
      <c r="B27" s="9"/>
      <c r="C27" s="119" t="s">
        <v>51</v>
      </c>
      <c r="D27" s="13"/>
      <c r="E27" s="119"/>
      <c r="F27" s="9" t="s">
        <v>52</v>
      </c>
      <c r="G27" s="70">
        <v>395926.8033579351</v>
      </c>
      <c r="H27" s="16" t="s">
        <v>15</v>
      </c>
      <c r="I27" s="70">
        <v>395926.8033579351</v>
      </c>
      <c r="J27" s="70"/>
      <c r="K27" s="69">
        <v>395926.8033579351</v>
      </c>
      <c r="L27" s="17"/>
    </row>
    <row r="28" spans="1:12" x14ac:dyDescent="0.35">
      <c r="A28" s="8"/>
      <c r="B28" s="9"/>
      <c r="C28" s="119" t="s">
        <v>53</v>
      </c>
      <c r="D28" s="13"/>
      <c r="E28" s="119"/>
      <c r="F28" s="9" t="s">
        <v>54</v>
      </c>
      <c r="G28" s="70">
        <v>482111.16076590051</v>
      </c>
      <c r="H28" s="16" t="s">
        <v>15</v>
      </c>
      <c r="I28" s="70">
        <v>482111.16076590051</v>
      </c>
      <c r="J28" s="70"/>
      <c r="K28" s="69">
        <v>482111.16076590051</v>
      </c>
      <c r="L28" s="17"/>
    </row>
    <row r="29" spans="1:12" x14ac:dyDescent="0.35">
      <c r="A29" s="8"/>
      <c r="B29" s="9"/>
      <c r="C29" s="119" t="s">
        <v>55</v>
      </c>
      <c r="D29" s="13"/>
      <c r="E29" s="119"/>
      <c r="F29" s="9" t="s">
        <v>56</v>
      </c>
      <c r="G29" s="70">
        <v>52044.519854358718</v>
      </c>
      <c r="H29" s="16" t="s">
        <v>15</v>
      </c>
      <c r="I29" s="70">
        <v>52044.519854358718</v>
      </c>
      <c r="J29" s="70"/>
      <c r="K29" s="69">
        <v>52044.519854358718</v>
      </c>
      <c r="L29" s="17"/>
    </row>
    <row r="30" spans="1:12" x14ac:dyDescent="0.35">
      <c r="A30" s="8"/>
      <c r="B30" s="9"/>
      <c r="C30" s="119" t="s">
        <v>57</v>
      </c>
      <c r="D30" s="13"/>
      <c r="E30" s="119"/>
      <c r="F30" s="9" t="s">
        <v>58</v>
      </c>
      <c r="G30" s="70"/>
      <c r="H30" s="16"/>
      <c r="I30" s="70"/>
      <c r="J30" s="70"/>
      <c r="K30" s="69">
        <v>0</v>
      </c>
      <c r="L30" s="17"/>
    </row>
    <row r="31" spans="1:12" x14ac:dyDescent="0.35">
      <c r="A31" s="8"/>
      <c r="B31" s="9"/>
      <c r="C31" s="119" t="s">
        <v>60</v>
      </c>
      <c r="D31" s="13"/>
      <c r="E31" s="119"/>
      <c r="F31" s="9" t="s">
        <v>61</v>
      </c>
      <c r="G31" s="70">
        <v>209847.49486321793</v>
      </c>
      <c r="H31" s="16" t="s">
        <v>15</v>
      </c>
      <c r="I31" s="70">
        <v>209847.49486321793</v>
      </c>
      <c r="J31" s="70"/>
      <c r="K31" s="69">
        <v>209847.49486321793</v>
      </c>
      <c r="L31" s="17"/>
    </row>
    <row r="32" spans="1:12" x14ac:dyDescent="0.35">
      <c r="A32" s="8"/>
      <c r="B32" s="9"/>
      <c r="C32" s="119" t="s">
        <v>62</v>
      </c>
      <c r="D32" s="13"/>
      <c r="E32" s="119"/>
      <c r="F32" s="9" t="s">
        <v>63</v>
      </c>
      <c r="G32" s="70">
        <v>229481.75629502747</v>
      </c>
      <c r="H32" s="16" t="s">
        <v>24</v>
      </c>
      <c r="I32" s="70"/>
      <c r="J32" s="70">
        <v>229481.75629502747</v>
      </c>
      <c r="K32" s="69">
        <v>229481.75629502747</v>
      </c>
      <c r="L32" s="17"/>
    </row>
    <row r="33" spans="1:12" x14ac:dyDescent="0.35">
      <c r="A33" s="9"/>
      <c r="B33" s="9"/>
      <c r="C33" s="119" t="s">
        <v>64</v>
      </c>
      <c r="D33" s="9"/>
      <c r="E33" s="119"/>
      <c r="F33" s="9" t="s">
        <v>65</v>
      </c>
      <c r="G33" s="70">
        <v>221481.17319418912</v>
      </c>
      <c r="H33" s="16" t="s">
        <v>24</v>
      </c>
      <c r="I33" s="70"/>
      <c r="J33" s="70">
        <v>221481.17319418912</v>
      </c>
      <c r="K33" s="69">
        <v>221481.17319418912</v>
      </c>
      <c r="L33" s="17"/>
    </row>
    <row r="34" spans="1:12" x14ac:dyDescent="0.35">
      <c r="A34" s="9"/>
      <c r="B34" s="9"/>
      <c r="C34" s="119" t="s">
        <v>66</v>
      </c>
      <c r="D34" s="9"/>
      <c r="E34" s="9"/>
      <c r="F34" s="9" t="s">
        <v>67</v>
      </c>
      <c r="G34" s="70">
        <v>100343.79449932244</v>
      </c>
      <c r="H34" s="16" t="s">
        <v>15</v>
      </c>
      <c r="I34" s="70">
        <v>100343.79449932244</v>
      </c>
      <c r="J34" s="70"/>
      <c r="K34" s="69">
        <v>100343.79449932244</v>
      </c>
      <c r="L34" s="17"/>
    </row>
    <row r="35" spans="1:12" x14ac:dyDescent="0.35">
      <c r="A35" s="9"/>
      <c r="B35" s="9"/>
      <c r="C35" s="119" t="s">
        <v>68</v>
      </c>
      <c r="D35" s="9"/>
      <c r="E35" s="119"/>
      <c r="F35" s="9" t="s">
        <v>69</v>
      </c>
      <c r="G35" s="70">
        <v>206313.21823250718</v>
      </c>
      <c r="H35" s="16" t="s">
        <v>59</v>
      </c>
      <c r="I35" s="70">
        <v>70412.429999999993</v>
      </c>
      <c r="J35" s="70">
        <v>135900.78823250718</v>
      </c>
      <c r="K35" s="69">
        <v>206313.21823250718</v>
      </c>
      <c r="L35" s="17" t="s">
        <v>264</v>
      </c>
    </row>
    <row r="36" spans="1:12" x14ac:dyDescent="0.35">
      <c r="A36" s="9"/>
      <c r="B36" s="9"/>
      <c r="C36" s="119" t="s">
        <v>70</v>
      </c>
      <c r="D36" s="9"/>
      <c r="E36" s="9"/>
      <c r="F36" s="9" t="s">
        <v>71</v>
      </c>
      <c r="G36" s="70"/>
      <c r="H36" s="16"/>
      <c r="I36" s="70"/>
      <c r="J36" s="70"/>
      <c r="K36" s="69">
        <v>0</v>
      </c>
      <c r="L36" s="17"/>
    </row>
    <row r="37" spans="1:12" x14ac:dyDescent="0.35">
      <c r="A37" s="9"/>
      <c r="B37" s="9"/>
      <c r="C37" s="119" t="s">
        <v>72</v>
      </c>
      <c r="D37" s="9"/>
      <c r="E37" s="121"/>
      <c r="F37" s="9" t="s">
        <v>73</v>
      </c>
      <c r="G37" s="70"/>
      <c r="H37" s="16"/>
      <c r="I37" s="70"/>
      <c r="J37" s="70"/>
      <c r="K37" s="69">
        <v>0</v>
      </c>
      <c r="L37" s="17"/>
    </row>
    <row r="38" spans="1:12" x14ac:dyDescent="0.35">
      <c r="A38" s="9"/>
      <c r="B38" s="9"/>
      <c r="C38" s="119" t="s">
        <v>74</v>
      </c>
      <c r="D38" s="9"/>
      <c r="E38" s="9"/>
      <c r="F38" s="9" t="s">
        <v>75</v>
      </c>
      <c r="G38" s="70"/>
      <c r="H38" s="16"/>
      <c r="I38" s="70"/>
      <c r="J38" s="70"/>
      <c r="K38" s="69">
        <v>0</v>
      </c>
      <c r="L38" s="17"/>
    </row>
    <row r="39" spans="1:12" x14ac:dyDescent="0.35">
      <c r="A39" s="9"/>
      <c r="B39" s="9"/>
      <c r="C39" s="119" t="s">
        <v>76</v>
      </c>
      <c r="D39" s="9"/>
      <c r="E39" s="9"/>
      <c r="F39" s="9" t="s">
        <v>77</v>
      </c>
      <c r="G39" s="70"/>
      <c r="H39" s="16"/>
      <c r="I39" s="70"/>
      <c r="J39" s="70"/>
      <c r="K39" s="69">
        <v>0</v>
      </c>
      <c r="L39" s="17"/>
    </row>
    <row r="40" spans="1:12" x14ac:dyDescent="0.35">
      <c r="A40" s="9"/>
      <c r="B40" s="9"/>
      <c r="C40" s="119" t="s">
        <v>78</v>
      </c>
      <c r="D40" s="9"/>
      <c r="E40" s="9"/>
      <c r="F40" s="9" t="s">
        <v>79</v>
      </c>
      <c r="G40" s="70"/>
      <c r="H40" s="16"/>
      <c r="I40" s="70"/>
      <c r="J40" s="70"/>
      <c r="K40" s="69">
        <v>0</v>
      </c>
      <c r="L40" s="17"/>
    </row>
    <row r="41" spans="1:12" x14ac:dyDescent="0.35">
      <c r="A41" s="9"/>
      <c r="B41" s="9"/>
      <c r="C41" s="119" t="s">
        <v>80</v>
      </c>
      <c r="D41" s="9"/>
      <c r="E41" s="9"/>
      <c r="F41" s="9" t="s">
        <v>81</v>
      </c>
      <c r="G41" s="70">
        <v>75906.299814201309</v>
      </c>
      <c r="H41" s="16" t="s">
        <v>15</v>
      </c>
      <c r="I41" s="70">
        <v>75906.299814201309</v>
      </c>
      <c r="J41" s="70"/>
      <c r="K41" s="69">
        <v>75906.299814201309</v>
      </c>
      <c r="L41" s="17"/>
    </row>
    <row r="42" spans="1:12" x14ac:dyDescent="0.35">
      <c r="A42" s="9"/>
      <c r="B42" s="9" t="s">
        <v>82</v>
      </c>
      <c r="C42" s="119"/>
      <c r="D42" s="9"/>
      <c r="E42" s="9" t="s">
        <v>83</v>
      </c>
      <c r="F42" s="9"/>
      <c r="G42" s="69">
        <v>7874081.8303046431</v>
      </c>
      <c r="H42" s="9"/>
      <c r="I42" s="69">
        <v>1117540.2814979109</v>
      </c>
      <c r="J42" s="69">
        <v>6756541.5488067325</v>
      </c>
      <c r="K42" s="69"/>
      <c r="L42" s="14"/>
    </row>
    <row r="43" spans="1:12" x14ac:dyDescent="0.35">
      <c r="A43" s="9"/>
      <c r="B43" s="9"/>
      <c r="C43" s="119" t="s">
        <v>84</v>
      </c>
      <c r="D43" s="9"/>
      <c r="E43" s="9"/>
      <c r="F43" s="9" t="s">
        <v>85</v>
      </c>
      <c r="G43" s="70"/>
      <c r="H43" s="16"/>
      <c r="I43" s="70"/>
      <c r="J43" s="70"/>
      <c r="K43" s="69">
        <v>0</v>
      </c>
      <c r="L43" s="17"/>
    </row>
    <row r="44" spans="1:12" x14ac:dyDescent="0.35">
      <c r="A44" s="9"/>
      <c r="B44" s="9"/>
      <c r="C44" s="119" t="s">
        <v>86</v>
      </c>
      <c r="D44" s="9"/>
      <c r="E44" s="9"/>
      <c r="F44" s="9" t="s">
        <v>87</v>
      </c>
      <c r="G44" s="70">
        <v>3701405.961064843</v>
      </c>
      <c r="H44" s="16" t="s">
        <v>24</v>
      </c>
      <c r="I44" s="70"/>
      <c r="J44" s="70">
        <v>3701405.961064843</v>
      </c>
      <c r="K44" s="69">
        <v>3701405.961064843</v>
      </c>
      <c r="L44" s="17"/>
    </row>
    <row r="45" spans="1:12" x14ac:dyDescent="0.35">
      <c r="A45" s="9"/>
      <c r="B45" s="9"/>
      <c r="C45" s="119" t="s">
        <v>88</v>
      </c>
      <c r="D45" s="9"/>
      <c r="E45" s="9"/>
      <c r="F45" s="9" t="s">
        <v>89</v>
      </c>
      <c r="G45" s="70"/>
      <c r="H45" s="16"/>
      <c r="I45" s="70"/>
      <c r="J45" s="70"/>
      <c r="K45" s="69">
        <v>0</v>
      </c>
      <c r="L45" s="17"/>
    </row>
    <row r="46" spans="1:12" x14ac:dyDescent="0.35">
      <c r="A46" s="9"/>
      <c r="B46" s="9"/>
      <c r="C46" s="119" t="s">
        <v>90</v>
      </c>
      <c r="D46" s="9"/>
      <c r="E46" s="9"/>
      <c r="F46" s="9" t="s">
        <v>91</v>
      </c>
      <c r="G46" s="70"/>
      <c r="H46" s="16"/>
      <c r="I46" s="70"/>
      <c r="J46" s="70"/>
      <c r="K46" s="69">
        <v>0</v>
      </c>
      <c r="L46" s="17"/>
    </row>
    <row r="47" spans="1:12" x14ac:dyDescent="0.35">
      <c r="A47" s="9"/>
      <c r="B47" s="9"/>
      <c r="C47" s="119" t="s">
        <v>92</v>
      </c>
      <c r="D47" s="9"/>
      <c r="E47" s="9"/>
      <c r="F47" s="9" t="s">
        <v>93</v>
      </c>
      <c r="G47" s="70">
        <v>950970.18933871179</v>
      </c>
      <c r="H47" s="16" t="s">
        <v>15</v>
      </c>
      <c r="I47" s="70">
        <v>950970.18933871179</v>
      </c>
      <c r="J47" s="70"/>
      <c r="K47" s="69">
        <v>950970.18933871179</v>
      </c>
      <c r="L47" s="17"/>
    </row>
    <row r="48" spans="1:12" x14ac:dyDescent="0.35">
      <c r="A48" s="9"/>
      <c r="B48" s="9"/>
      <c r="C48" s="119" t="s">
        <v>94</v>
      </c>
      <c r="D48" s="9"/>
      <c r="E48" s="9"/>
      <c r="F48" s="9" t="s">
        <v>95</v>
      </c>
      <c r="G48" s="70"/>
      <c r="H48" s="16"/>
      <c r="I48" s="70"/>
      <c r="J48" s="70"/>
      <c r="K48" s="69">
        <v>0</v>
      </c>
      <c r="L48" s="17"/>
    </row>
    <row r="49" spans="1:12" x14ac:dyDescent="0.35">
      <c r="A49" s="9"/>
      <c r="B49" s="9"/>
      <c r="C49" s="119" t="s">
        <v>96</v>
      </c>
      <c r="D49" s="9"/>
      <c r="E49" s="9"/>
      <c r="F49" s="9" t="s">
        <v>97</v>
      </c>
      <c r="G49" s="70">
        <v>166570.09215919912</v>
      </c>
      <c r="H49" s="16" t="s">
        <v>15</v>
      </c>
      <c r="I49" s="70">
        <v>166570.09215919912</v>
      </c>
      <c r="J49" s="70"/>
      <c r="K49" s="69">
        <v>166570.09215919912</v>
      </c>
      <c r="L49" s="17"/>
    </row>
    <row r="50" spans="1:12" x14ac:dyDescent="0.35">
      <c r="A50" s="9"/>
      <c r="B50" s="9"/>
      <c r="C50" s="119" t="s">
        <v>98</v>
      </c>
      <c r="D50" s="9"/>
      <c r="E50" s="9"/>
      <c r="F50" s="9" t="s">
        <v>99</v>
      </c>
      <c r="G50" s="70"/>
      <c r="H50" s="16"/>
      <c r="I50" s="70"/>
      <c r="J50" s="70"/>
      <c r="K50" s="69">
        <v>0</v>
      </c>
      <c r="L50" s="17"/>
    </row>
    <row r="51" spans="1:12" x14ac:dyDescent="0.35">
      <c r="A51" s="9"/>
      <c r="B51" s="9"/>
      <c r="C51" s="119" t="s">
        <v>100</v>
      </c>
      <c r="D51" s="9"/>
      <c r="E51" s="9"/>
      <c r="F51" s="9" t="s">
        <v>101</v>
      </c>
      <c r="G51" s="70"/>
      <c r="H51" s="16"/>
      <c r="I51" s="70"/>
      <c r="J51" s="70"/>
      <c r="K51" s="69">
        <v>0</v>
      </c>
      <c r="L51" s="17"/>
    </row>
    <row r="52" spans="1:12" x14ac:dyDescent="0.35">
      <c r="A52" s="9"/>
      <c r="B52" s="9"/>
      <c r="C52" s="119" t="s">
        <v>102</v>
      </c>
      <c r="D52" s="9"/>
      <c r="E52" s="9"/>
      <c r="F52" s="9" t="s">
        <v>103</v>
      </c>
      <c r="G52" s="70"/>
      <c r="H52" s="16"/>
      <c r="I52" s="70"/>
      <c r="J52" s="70"/>
      <c r="K52" s="69">
        <v>0</v>
      </c>
      <c r="L52" s="17"/>
    </row>
    <row r="53" spans="1:12" x14ac:dyDescent="0.35">
      <c r="A53" s="9"/>
      <c r="B53" s="9"/>
      <c r="C53" s="119" t="s">
        <v>104</v>
      </c>
      <c r="D53" s="9"/>
      <c r="E53" s="9"/>
      <c r="F53" s="9" t="s">
        <v>105</v>
      </c>
      <c r="G53" s="70"/>
      <c r="H53" s="16"/>
      <c r="I53" s="70"/>
      <c r="J53" s="70"/>
      <c r="K53" s="69">
        <v>0</v>
      </c>
      <c r="L53" s="17"/>
    </row>
    <row r="54" spans="1:12" x14ac:dyDescent="0.35">
      <c r="A54" s="9"/>
      <c r="B54" s="9"/>
      <c r="C54" s="119" t="s">
        <v>106</v>
      </c>
      <c r="D54" s="9"/>
      <c r="E54" s="9"/>
      <c r="F54" s="9" t="s">
        <v>107</v>
      </c>
      <c r="G54" s="70"/>
      <c r="H54" s="16"/>
      <c r="I54" s="70"/>
      <c r="J54" s="70"/>
      <c r="K54" s="69">
        <v>0</v>
      </c>
      <c r="L54" s="17"/>
    </row>
    <row r="55" spans="1:12" x14ac:dyDescent="0.35">
      <c r="A55" s="9"/>
      <c r="B55" s="9"/>
      <c r="C55" s="119" t="s">
        <v>108</v>
      </c>
      <c r="D55" s="9"/>
      <c r="E55" s="9"/>
      <c r="F55" s="9" t="s">
        <v>109</v>
      </c>
      <c r="G55" s="70"/>
      <c r="H55" s="16"/>
      <c r="I55" s="70"/>
      <c r="J55" s="70"/>
      <c r="K55" s="69">
        <v>0</v>
      </c>
      <c r="L55" s="17"/>
    </row>
    <row r="56" spans="1:12" x14ac:dyDescent="0.35">
      <c r="A56" s="9"/>
      <c r="B56" s="9"/>
      <c r="C56" s="119" t="s">
        <v>110</v>
      </c>
      <c r="D56" s="9"/>
      <c r="E56" s="9"/>
      <c r="F56" s="9" t="s">
        <v>111</v>
      </c>
      <c r="G56" s="70"/>
      <c r="H56" s="16"/>
      <c r="I56" s="70"/>
      <c r="J56" s="70"/>
      <c r="K56" s="69">
        <v>0</v>
      </c>
      <c r="L56" s="17"/>
    </row>
    <row r="57" spans="1:12" x14ac:dyDescent="0.35">
      <c r="A57" s="9"/>
      <c r="B57" s="9"/>
      <c r="C57" s="119" t="s">
        <v>112</v>
      </c>
      <c r="D57" s="9"/>
      <c r="E57" s="9"/>
      <c r="F57" s="9" t="s">
        <v>113</v>
      </c>
      <c r="G57" s="70">
        <v>445762.25066980993</v>
      </c>
      <c r="H57" s="16" t="s">
        <v>24</v>
      </c>
      <c r="I57" s="70"/>
      <c r="J57" s="70">
        <v>445762.25066980993</v>
      </c>
      <c r="K57" s="69">
        <v>445762.25066980993</v>
      </c>
      <c r="L57" s="17"/>
    </row>
    <row r="58" spans="1:12" x14ac:dyDescent="0.35">
      <c r="A58" s="9"/>
      <c r="B58" s="9"/>
      <c r="C58" s="119" t="s">
        <v>114</v>
      </c>
      <c r="D58" s="9"/>
      <c r="E58" s="9"/>
      <c r="F58" s="9" t="s">
        <v>115</v>
      </c>
      <c r="G58" s="70"/>
      <c r="H58" s="16"/>
      <c r="I58" s="70"/>
      <c r="J58" s="70"/>
      <c r="K58" s="69">
        <v>0</v>
      </c>
      <c r="L58" s="17"/>
    </row>
    <row r="59" spans="1:12" x14ac:dyDescent="0.35">
      <c r="A59" s="9"/>
      <c r="B59" s="9"/>
      <c r="C59" s="119" t="s">
        <v>116</v>
      </c>
      <c r="D59" s="9"/>
      <c r="E59" s="9"/>
      <c r="F59" s="9" t="s">
        <v>117</v>
      </c>
      <c r="G59" s="70"/>
      <c r="H59" s="16"/>
      <c r="I59" s="70"/>
      <c r="J59" s="70"/>
      <c r="K59" s="69">
        <v>0</v>
      </c>
      <c r="L59" s="17"/>
    </row>
    <row r="60" spans="1:12" x14ac:dyDescent="0.35">
      <c r="A60" s="9"/>
      <c r="B60" s="9"/>
      <c r="C60" s="119" t="s">
        <v>118</v>
      </c>
      <c r="D60" s="9"/>
      <c r="E60" s="9"/>
      <c r="F60" s="9" t="s">
        <v>119</v>
      </c>
      <c r="G60" s="70"/>
      <c r="H60" s="16"/>
      <c r="I60" s="70"/>
      <c r="J60" s="70"/>
      <c r="K60" s="69">
        <v>0</v>
      </c>
      <c r="L60" s="17"/>
    </row>
    <row r="61" spans="1:12" x14ac:dyDescent="0.35">
      <c r="A61" s="9"/>
      <c r="B61" s="9"/>
      <c r="C61" s="119" t="s">
        <v>120</v>
      </c>
      <c r="D61" s="9"/>
      <c r="E61" s="9"/>
      <c r="F61" s="9" t="s">
        <v>121</v>
      </c>
      <c r="G61" s="70">
        <v>350079.15323249699</v>
      </c>
      <c r="H61" s="16" t="s">
        <v>24</v>
      </c>
      <c r="I61" s="70"/>
      <c r="J61" s="70">
        <v>350079.15323249699</v>
      </c>
      <c r="K61" s="69">
        <v>350079.15323249699</v>
      </c>
      <c r="L61" s="17"/>
    </row>
    <row r="62" spans="1:12" x14ac:dyDescent="0.35">
      <c r="A62" s="9"/>
      <c r="B62" s="9"/>
      <c r="C62" s="119" t="s">
        <v>122</v>
      </c>
      <c r="D62" s="9"/>
      <c r="E62" s="9"/>
      <c r="F62" s="9" t="s">
        <v>123</v>
      </c>
      <c r="G62" s="70">
        <v>2197120.3618642245</v>
      </c>
      <c r="H62" s="16" t="s">
        <v>24</v>
      </c>
      <c r="I62" s="70"/>
      <c r="J62" s="70">
        <v>2197120.3618642245</v>
      </c>
      <c r="K62" s="69">
        <v>2197120.3618642245</v>
      </c>
      <c r="L62" s="17"/>
    </row>
    <row r="63" spans="1:12" x14ac:dyDescent="0.35">
      <c r="A63" s="9"/>
      <c r="B63" s="9"/>
      <c r="C63" s="119" t="s">
        <v>124</v>
      </c>
      <c r="D63" s="9"/>
      <c r="E63" s="9"/>
      <c r="F63" s="9" t="s">
        <v>125</v>
      </c>
      <c r="G63" s="70">
        <v>62173.821975358122</v>
      </c>
      <c r="H63" s="16" t="s">
        <v>24</v>
      </c>
      <c r="I63" s="70"/>
      <c r="J63" s="70">
        <v>62173.821975358122</v>
      </c>
      <c r="K63" s="69">
        <v>62173.821975358122</v>
      </c>
      <c r="L63" s="17"/>
    </row>
    <row r="64" spans="1:12" hidden="1" x14ac:dyDescent="0.35">
      <c r="A64" s="9"/>
      <c r="B64" s="9" t="s">
        <v>126</v>
      </c>
      <c r="C64" s="119"/>
      <c r="D64" s="9"/>
      <c r="E64" s="9" t="s">
        <v>127</v>
      </c>
      <c r="F64" s="9"/>
      <c r="G64" s="69"/>
      <c r="H64" s="9"/>
      <c r="I64" s="69"/>
      <c r="J64" s="69"/>
      <c r="K64" s="69"/>
      <c r="L64" s="14"/>
    </row>
    <row r="65" spans="1:12" hidden="1" x14ac:dyDescent="0.35">
      <c r="A65" s="9"/>
      <c r="B65" s="9" t="s">
        <v>128</v>
      </c>
      <c r="C65" s="119"/>
      <c r="D65" s="9"/>
      <c r="E65" s="9" t="s">
        <v>127</v>
      </c>
      <c r="F65" s="9"/>
      <c r="G65" s="69"/>
      <c r="H65" s="9"/>
      <c r="I65" s="69"/>
      <c r="J65" s="69"/>
      <c r="K65" s="69"/>
      <c r="L65" s="14"/>
    </row>
    <row r="66" spans="1:12" x14ac:dyDescent="0.35">
      <c r="A66" s="9"/>
      <c r="B66" s="9" t="s">
        <v>129</v>
      </c>
      <c r="C66" s="119"/>
      <c r="D66" s="9"/>
      <c r="E66" s="9" t="s">
        <v>130</v>
      </c>
      <c r="F66" s="9"/>
      <c r="G66" s="69">
        <v>0</v>
      </c>
      <c r="H66" s="9"/>
      <c r="I66" s="69">
        <v>0</v>
      </c>
      <c r="J66" s="69">
        <v>0</v>
      </c>
      <c r="K66" s="69"/>
      <c r="L66" s="14"/>
    </row>
    <row r="67" spans="1:12" x14ac:dyDescent="0.35">
      <c r="A67" s="9"/>
      <c r="B67" s="9"/>
      <c r="C67" s="119" t="s">
        <v>131</v>
      </c>
      <c r="D67" s="9"/>
      <c r="E67" s="9"/>
      <c r="F67" s="9" t="s">
        <v>132</v>
      </c>
      <c r="G67" s="70"/>
      <c r="H67" s="16"/>
      <c r="I67" s="70"/>
      <c r="J67" s="70">
        <v>0</v>
      </c>
      <c r="K67" s="69">
        <v>0</v>
      </c>
      <c r="L67" s="17"/>
    </row>
    <row r="68" spans="1:12" x14ac:dyDescent="0.35">
      <c r="A68" s="9"/>
      <c r="B68" s="9"/>
      <c r="C68" s="119" t="s">
        <v>133</v>
      </c>
      <c r="D68" s="9"/>
      <c r="E68" s="9"/>
      <c r="F68" s="9" t="s">
        <v>134</v>
      </c>
      <c r="G68" s="70"/>
      <c r="H68" s="16"/>
      <c r="I68" s="70"/>
      <c r="J68" s="70"/>
      <c r="K68" s="69">
        <v>0</v>
      </c>
      <c r="L68" s="17"/>
    </row>
    <row r="69" spans="1:12" x14ac:dyDescent="0.35">
      <c r="A69" s="9"/>
      <c r="B69" s="9"/>
      <c r="C69" s="119" t="s">
        <v>135</v>
      </c>
      <c r="D69" s="9"/>
      <c r="E69" s="9"/>
      <c r="F69" s="9" t="s">
        <v>136</v>
      </c>
      <c r="G69" s="70"/>
      <c r="H69" s="16"/>
      <c r="I69" s="70"/>
      <c r="J69" s="70"/>
      <c r="K69" s="69">
        <v>0</v>
      </c>
      <c r="L69" s="17"/>
    </row>
    <row r="70" spans="1:12" x14ac:dyDescent="0.35">
      <c r="A70" s="9"/>
      <c r="B70" s="9" t="s">
        <v>137</v>
      </c>
      <c r="C70" s="119"/>
      <c r="D70" s="9"/>
      <c r="E70" s="9" t="s">
        <v>138</v>
      </c>
      <c r="F70" s="9"/>
      <c r="G70" s="69">
        <v>1533301.4793156022</v>
      </c>
      <c r="H70" s="9"/>
      <c r="I70" s="69">
        <v>0</v>
      </c>
      <c r="J70" s="69">
        <v>1533301.4793156022</v>
      </c>
      <c r="K70" s="69"/>
      <c r="L70" s="14"/>
    </row>
    <row r="71" spans="1:12" x14ac:dyDescent="0.35">
      <c r="A71" s="9"/>
      <c r="B71" s="9"/>
      <c r="C71" s="119" t="s">
        <v>139</v>
      </c>
      <c r="D71" s="9"/>
      <c r="E71" s="9"/>
      <c r="F71" s="9" t="s">
        <v>140</v>
      </c>
      <c r="G71" s="70"/>
      <c r="H71" s="16"/>
      <c r="I71" s="70"/>
      <c r="J71" s="70"/>
      <c r="K71" s="69">
        <v>0</v>
      </c>
      <c r="L71" s="17"/>
    </row>
    <row r="72" spans="1:12" x14ac:dyDescent="0.35">
      <c r="A72" s="9"/>
      <c r="B72" s="9"/>
      <c r="C72" s="119" t="s">
        <v>141</v>
      </c>
      <c r="D72" s="9"/>
      <c r="E72" s="9"/>
      <c r="F72" s="9" t="s">
        <v>142</v>
      </c>
      <c r="G72" s="70">
        <v>1306673.6122884054</v>
      </c>
      <c r="H72" s="16" t="s">
        <v>24</v>
      </c>
      <c r="I72" s="70"/>
      <c r="J72" s="70">
        <v>1306673.6122884054</v>
      </c>
      <c r="K72" s="69">
        <v>1306673.6122884054</v>
      </c>
      <c r="L72" s="17"/>
    </row>
    <row r="73" spans="1:12" x14ac:dyDescent="0.35">
      <c r="A73" s="9"/>
      <c r="B73" s="9"/>
      <c r="C73" s="119" t="s">
        <v>143</v>
      </c>
      <c r="D73" s="9"/>
      <c r="E73" s="9"/>
      <c r="F73" s="9" t="s">
        <v>144</v>
      </c>
      <c r="G73" s="70">
        <v>226627.86702719674</v>
      </c>
      <c r="H73" s="16" t="s">
        <v>24</v>
      </c>
      <c r="I73" s="70"/>
      <c r="J73" s="70">
        <v>226627.86702719674</v>
      </c>
      <c r="K73" s="69">
        <v>226627.86702719674</v>
      </c>
      <c r="L73" s="17"/>
    </row>
    <row r="74" spans="1:12" hidden="1" x14ac:dyDescent="0.35">
      <c r="A74" s="9"/>
      <c r="B74" s="9" t="s">
        <v>145</v>
      </c>
      <c r="C74" s="119"/>
      <c r="D74" s="9"/>
      <c r="E74" s="9" t="s">
        <v>127</v>
      </c>
      <c r="F74" s="9"/>
      <c r="G74" s="69"/>
      <c r="H74" s="9"/>
      <c r="I74" s="69"/>
      <c r="J74" s="69"/>
      <c r="K74" s="69"/>
      <c r="L74" s="14"/>
    </row>
    <row r="75" spans="1:12" hidden="1" x14ac:dyDescent="0.35">
      <c r="A75" s="9"/>
      <c r="B75" s="9" t="s">
        <v>146</v>
      </c>
      <c r="C75" s="119"/>
      <c r="D75" s="9"/>
      <c r="E75" s="9" t="s">
        <v>127</v>
      </c>
      <c r="F75" s="9"/>
      <c r="G75" s="69"/>
      <c r="H75" s="9"/>
      <c r="I75" s="69"/>
      <c r="J75" s="69"/>
      <c r="K75" s="69"/>
      <c r="L75" s="14"/>
    </row>
    <row r="76" spans="1:12" s="7" customFormat="1" x14ac:dyDescent="0.35">
      <c r="A76" s="4" t="s">
        <v>147</v>
      </c>
      <c r="B76" s="4"/>
      <c r="C76" s="122"/>
      <c r="D76" s="4"/>
      <c r="E76" s="4"/>
      <c r="F76" s="4"/>
      <c r="G76" s="138">
        <v>13661314.877456654</v>
      </c>
      <c r="H76" s="88"/>
      <c r="I76" s="138">
        <v>4032820.9369311528</v>
      </c>
      <c r="J76" s="138">
        <v>9628493.940525502</v>
      </c>
      <c r="K76" s="69">
        <v>13661314.877456654</v>
      </c>
      <c r="L76" s="25"/>
    </row>
    <row r="77" spans="1:12" x14ac:dyDescent="0.35">
      <c r="F77" s="139" t="s">
        <v>200</v>
      </c>
      <c r="G77" s="140">
        <v>13661314.877456658</v>
      </c>
      <c r="H77" s="13"/>
      <c r="I77" s="89">
        <v>0.29520005746928135</v>
      </c>
      <c r="J77" s="89">
        <v>0.70479994253071865</v>
      </c>
      <c r="K77" s="27"/>
    </row>
    <row r="79" spans="1:12" x14ac:dyDescent="0.35">
      <c r="F79" s="142" t="s">
        <v>201</v>
      </c>
    </row>
    <row r="80" spans="1:12" hidden="1" x14ac:dyDescent="0.35">
      <c r="H80" t="s">
        <v>15</v>
      </c>
    </row>
    <row r="81" spans="3:11" hidden="1" x14ac:dyDescent="0.35">
      <c r="C81"/>
      <c r="H81" t="s">
        <v>24</v>
      </c>
    </row>
    <row r="82" spans="3:11" hidden="1" x14ac:dyDescent="0.35">
      <c r="C82"/>
      <c r="H82" t="s">
        <v>59</v>
      </c>
    </row>
    <row r="83" spans="3:11" x14ac:dyDescent="0.35">
      <c r="C83"/>
      <c r="H83" s="139" t="s">
        <v>202</v>
      </c>
      <c r="I83" s="69">
        <v>77629901.670018941</v>
      </c>
      <c r="J83" s="161">
        <v>5.1949324296112674E-2</v>
      </c>
      <c r="K83" s="142" t="s">
        <v>203</v>
      </c>
    </row>
    <row r="97" customFormat="1" x14ac:dyDescent="0.35"/>
    <row r="98" customFormat="1" x14ac:dyDescent="0.35"/>
    <row r="99" customFormat="1" x14ac:dyDescent="0.35"/>
    <row r="100" customFormat="1" x14ac:dyDescent="0.35"/>
    <row r="101" customFormat="1" x14ac:dyDescent="0.35"/>
    <row r="102" customFormat="1" x14ac:dyDescent="0.35"/>
    <row r="103" customFormat="1" x14ac:dyDescent="0.35"/>
    <row r="104" customFormat="1" x14ac:dyDescent="0.35"/>
    <row r="105" customFormat="1" x14ac:dyDescent="0.35"/>
    <row r="106" customFormat="1" x14ac:dyDescent="0.35"/>
    <row r="107" customFormat="1" x14ac:dyDescent="0.35"/>
    <row r="108" customFormat="1" x14ac:dyDescent="0.35"/>
    <row r="109" customFormat="1" x14ac:dyDescent="0.35"/>
    <row r="113" ht="15" hidden="1" customHeight="1" x14ac:dyDescent="0.35"/>
    <row r="114" ht="15" hidden="1" customHeight="1" x14ac:dyDescent="0.35"/>
    <row r="115" ht="15" hidden="1" customHeight="1" x14ac:dyDescent="0.35"/>
    <row r="116" ht="15" hidden="1" customHeight="1" x14ac:dyDescent="0.35"/>
    <row r="117" ht="15" hidden="1" customHeight="1" x14ac:dyDescent="0.35"/>
    <row r="118" ht="15" hidden="1" customHeight="1" x14ac:dyDescent="0.35"/>
    <row r="119" ht="15" hidden="1" customHeight="1" x14ac:dyDescent="0.35"/>
    <row r="120" ht="15" hidden="1" customHeight="1" x14ac:dyDescent="0.35"/>
    <row r="121" ht="15" hidden="1" customHeight="1" x14ac:dyDescent="0.35"/>
    <row r="122" ht="15" hidden="1" customHeight="1" x14ac:dyDescent="0.35"/>
    <row r="123" ht="15" hidden="1" customHeight="1" x14ac:dyDescent="0.35"/>
    <row r="124" ht="15" hidden="1" customHeight="1" x14ac:dyDescent="0.35"/>
    <row r="125" ht="15" hidden="1" customHeight="1" x14ac:dyDescent="0.35"/>
    <row r="126" ht="15" hidden="1" customHeight="1" x14ac:dyDescent="0.35"/>
    <row r="127" ht="15" hidden="1" customHeight="1" x14ac:dyDescent="0.35"/>
    <row r="128" ht="15" hidden="1" customHeight="1" x14ac:dyDescent="0.35"/>
    <row r="129" ht="15" hidden="1" customHeight="1" x14ac:dyDescent="0.35"/>
    <row r="130" ht="15" hidden="1" customHeight="1" x14ac:dyDescent="0.35"/>
    <row r="131" ht="15" hidden="1" customHeight="1" x14ac:dyDescent="0.35"/>
    <row r="132" ht="15" hidden="1" customHeight="1" x14ac:dyDescent="0.35"/>
    <row r="133" ht="15" hidden="1" customHeight="1" x14ac:dyDescent="0.35"/>
    <row r="134" ht="15" hidden="1" customHeight="1" x14ac:dyDescent="0.35"/>
    <row r="135" ht="15" hidden="1" customHeight="1" x14ac:dyDescent="0.35"/>
    <row r="136" ht="15" hidden="1" customHeight="1" x14ac:dyDescent="0.35"/>
    <row r="137" ht="15" hidden="1" customHeight="1" x14ac:dyDescent="0.35"/>
    <row r="138" ht="15" hidden="1" customHeight="1" x14ac:dyDescent="0.35"/>
    <row r="139" ht="15" hidden="1" customHeight="1" x14ac:dyDescent="0.35"/>
    <row r="140" ht="15" hidden="1" customHeight="1" x14ac:dyDescent="0.35"/>
  </sheetData>
  <conditionalFormatting sqref="G76">
    <cfRule type="cellIs" dxfId="511" priority="1" operator="notEqual">
      <formula>$G$77</formula>
    </cfRule>
    <cfRule type="cellIs" dxfId="510" priority="2" operator="equal">
      <formula>$G$77</formula>
    </cfRule>
  </conditionalFormatting>
  <conditionalFormatting sqref="K9:K24">
    <cfRule type="cellIs" dxfId="509" priority="13" operator="notEqual">
      <formula>G9</formula>
    </cfRule>
    <cfRule type="cellIs" dxfId="508" priority="14" operator="equal">
      <formula>G9</formula>
    </cfRule>
  </conditionalFormatting>
  <conditionalFormatting sqref="K26:K41">
    <cfRule type="cellIs" dxfId="507" priority="11" operator="notEqual">
      <formula>G26</formula>
    </cfRule>
    <cfRule type="cellIs" dxfId="506" priority="12" operator="equal">
      <formula>G26</formula>
    </cfRule>
  </conditionalFormatting>
  <conditionalFormatting sqref="K43:K63">
    <cfRule type="cellIs" dxfId="505" priority="9" operator="notEqual">
      <formula>G43</formula>
    </cfRule>
    <cfRule type="cellIs" dxfId="504" priority="10" operator="equal">
      <formula>G43</formula>
    </cfRule>
  </conditionalFormatting>
  <conditionalFormatting sqref="K67:K69">
    <cfRule type="cellIs" dxfId="503" priority="7" operator="notEqual">
      <formula>G67</formula>
    </cfRule>
    <cfRule type="cellIs" dxfId="502" priority="8" operator="equal">
      <formula>G67</formula>
    </cfRule>
  </conditionalFormatting>
  <conditionalFormatting sqref="K71:K73">
    <cfRule type="cellIs" dxfId="501" priority="5" operator="notEqual">
      <formula>G71</formula>
    </cfRule>
    <cfRule type="cellIs" dxfId="500" priority="6" operator="equal">
      <formula>G71</formula>
    </cfRule>
  </conditionalFormatting>
  <conditionalFormatting sqref="K76">
    <cfRule type="cellIs" dxfId="499" priority="3" operator="notEqual">
      <formula>G76</formula>
    </cfRule>
    <cfRule type="cellIs" dxfId="498" priority="4" operator="equal">
      <formula>G76</formula>
    </cfRule>
  </conditionalFormatting>
  <dataValidations disablePrompts="1" count="1">
    <dataValidation type="list" allowBlank="1" showInputMessage="1" showErrorMessage="1" sqref="H9:H75" xr:uid="{CE9F316F-DAB8-458B-B42D-CC2937DAB63B}">
      <formula1>$H$80:$H$82</formula1>
    </dataValidation>
  </dataValidations>
  <pageMargins left="0.7" right="0.7" top="0.75" bottom="0.75" header="0.3" footer="0.3"/>
  <pageSetup scale="39" orientation="landscape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B0F0"/>
    <pageSetUpPr fitToPage="1"/>
  </sheetPr>
  <dimension ref="A1:L140"/>
  <sheetViews>
    <sheetView workbookViewId="0"/>
  </sheetViews>
  <sheetFormatPr defaultColWidth="9.1796875" defaultRowHeight="14.5" x14ac:dyDescent="0.35"/>
  <cols>
    <col min="1" max="2" width="2.81640625" style="144" customWidth="1"/>
    <col min="3" max="3" width="10.453125" style="165" bestFit="1" customWidth="1"/>
    <col min="4" max="5" width="2.81640625" style="144" customWidth="1"/>
    <col min="6" max="6" width="80.7265625" style="144" bestFit="1" customWidth="1"/>
    <col min="7" max="7" width="27.81640625" style="144" customWidth="1"/>
    <col min="8" max="8" width="15.26953125" style="144" bestFit="1" customWidth="1"/>
    <col min="9" max="9" width="27.26953125" style="144" customWidth="1"/>
    <col min="10" max="10" width="26.81640625" style="144" customWidth="1"/>
    <col min="11" max="11" width="25.81640625" style="144" customWidth="1"/>
    <col min="12" max="12" width="82.54296875" style="144" customWidth="1"/>
    <col min="13" max="16384" width="9.1796875" style="144"/>
  </cols>
  <sheetData>
    <row r="1" spans="1:12" x14ac:dyDescent="0.35">
      <c r="A1" s="146"/>
      <c r="B1" s="146"/>
      <c r="C1" s="146"/>
      <c r="D1" s="146"/>
      <c r="E1" s="146"/>
      <c r="F1" s="146"/>
      <c r="G1" s="146"/>
      <c r="H1" s="146"/>
      <c r="I1" s="146" t="s">
        <v>0</v>
      </c>
      <c r="J1" s="146"/>
      <c r="K1" s="146"/>
      <c r="L1" s="146"/>
    </row>
    <row r="2" spans="1:12" x14ac:dyDescent="0.35">
      <c r="A2" s="146"/>
      <c r="B2" s="146"/>
      <c r="C2" s="146"/>
      <c r="D2" s="146"/>
      <c r="E2" s="146"/>
      <c r="F2" s="146"/>
      <c r="G2" s="146"/>
      <c r="H2" s="146"/>
      <c r="I2" s="147" t="s">
        <v>197</v>
      </c>
      <c r="J2" s="146"/>
      <c r="K2" s="146"/>
      <c r="L2" s="146"/>
    </row>
    <row r="3" spans="1:12" x14ac:dyDescent="0.35">
      <c r="A3" s="187" t="s">
        <v>198</v>
      </c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147"/>
    </row>
    <row r="4" spans="1:12" ht="19.5" customHeight="1" x14ac:dyDescent="0.35">
      <c r="A4" s="184" t="s">
        <v>148</v>
      </c>
      <c r="B4" s="186"/>
      <c r="C4" s="186"/>
      <c r="D4" s="186"/>
      <c r="E4" s="186"/>
      <c r="F4" s="186"/>
      <c r="G4" s="186"/>
      <c r="H4" s="186"/>
      <c r="I4" s="186"/>
      <c r="J4" s="186"/>
      <c r="K4" s="186"/>
      <c r="L4" s="186"/>
    </row>
    <row r="5" spans="1:12" x14ac:dyDescent="0.35">
      <c r="A5" s="186"/>
      <c r="B5" s="186"/>
      <c r="C5" s="186"/>
      <c r="D5" s="186"/>
      <c r="E5" s="186"/>
      <c r="F5" s="186"/>
      <c r="G5" s="186"/>
      <c r="H5" s="186"/>
      <c r="I5" s="186"/>
      <c r="J5" s="186"/>
      <c r="K5" s="186"/>
      <c r="L5" s="186"/>
    </row>
    <row r="6" spans="1:12" s="7" customFormat="1" x14ac:dyDescent="0.35">
      <c r="A6" s="128" t="s">
        <v>2</v>
      </c>
      <c r="B6" s="129"/>
      <c r="C6" s="129"/>
      <c r="D6" s="128" t="s">
        <v>3</v>
      </c>
      <c r="E6" s="129"/>
      <c r="F6" s="129"/>
      <c r="G6" s="118" t="s">
        <v>274</v>
      </c>
      <c r="H6" s="130" t="s">
        <v>4</v>
      </c>
      <c r="I6" s="130" t="s">
        <v>5</v>
      </c>
      <c r="J6" s="130" t="s">
        <v>6</v>
      </c>
      <c r="K6" s="130" t="s">
        <v>7</v>
      </c>
      <c r="L6" s="130" t="s">
        <v>199</v>
      </c>
    </row>
    <row r="7" spans="1:12" x14ac:dyDescent="0.35">
      <c r="A7" s="190" t="s">
        <v>9</v>
      </c>
      <c r="B7" s="182"/>
      <c r="C7" s="191"/>
      <c r="D7" s="193" t="s">
        <v>10</v>
      </c>
      <c r="E7" s="191"/>
      <c r="F7" s="191"/>
      <c r="G7" s="181"/>
      <c r="H7" s="182"/>
      <c r="I7" s="181"/>
      <c r="J7" s="181"/>
      <c r="K7" s="181"/>
      <c r="L7" s="193"/>
    </row>
    <row r="8" spans="1:12" x14ac:dyDescent="0.35">
      <c r="A8" s="190"/>
      <c r="B8" s="182" t="s">
        <v>11</v>
      </c>
      <c r="C8" s="191"/>
      <c r="D8" s="188"/>
      <c r="E8" s="182" t="s">
        <v>12</v>
      </c>
      <c r="F8" s="191"/>
      <c r="G8" s="155">
        <v>6924248</v>
      </c>
      <c r="H8" s="152"/>
      <c r="I8" s="155">
        <v>4410153</v>
      </c>
      <c r="J8" s="155">
        <v>2514095</v>
      </c>
      <c r="K8" s="155"/>
      <c r="L8" s="189"/>
    </row>
    <row r="9" spans="1:12" x14ac:dyDescent="0.35">
      <c r="A9" s="190"/>
      <c r="B9" s="182"/>
      <c r="C9" s="191" t="s">
        <v>13</v>
      </c>
      <c r="D9" s="188"/>
      <c r="E9" s="191"/>
      <c r="F9" s="182" t="s">
        <v>14</v>
      </c>
      <c r="G9" s="86"/>
      <c r="H9" s="158"/>
      <c r="I9" s="86"/>
      <c r="J9" s="86"/>
      <c r="K9" s="155">
        <v>0</v>
      </c>
      <c r="L9" s="183"/>
    </row>
    <row r="10" spans="1:12" x14ac:dyDescent="0.35">
      <c r="A10" s="190"/>
      <c r="B10" s="182"/>
      <c r="C10" s="191" t="s">
        <v>16</v>
      </c>
      <c r="D10" s="188"/>
      <c r="E10" s="191"/>
      <c r="F10" s="182" t="s">
        <v>17</v>
      </c>
      <c r="G10" s="86"/>
      <c r="H10" s="158"/>
      <c r="I10" s="86">
        <v>0</v>
      </c>
      <c r="J10" s="86">
        <v>0</v>
      </c>
      <c r="K10" s="155">
        <v>0</v>
      </c>
      <c r="L10" s="183"/>
    </row>
    <row r="11" spans="1:12" x14ac:dyDescent="0.35">
      <c r="A11" s="190"/>
      <c r="B11" s="182"/>
      <c r="C11" s="191" t="s">
        <v>18</v>
      </c>
      <c r="D11" s="188"/>
      <c r="E11" s="191"/>
      <c r="F11" s="182" t="s">
        <v>19</v>
      </c>
      <c r="G11" s="86">
        <v>825213</v>
      </c>
      <c r="H11" s="158" t="s">
        <v>59</v>
      </c>
      <c r="I11" s="86">
        <v>512771</v>
      </c>
      <c r="J11" s="86">
        <v>312442</v>
      </c>
      <c r="K11" s="155">
        <v>825213</v>
      </c>
      <c r="L11" s="183"/>
    </row>
    <row r="12" spans="1:12" x14ac:dyDescent="0.35">
      <c r="A12" s="190"/>
      <c r="B12" s="182"/>
      <c r="C12" s="191" t="s">
        <v>20</v>
      </c>
      <c r="D12" s="188"/>
      <c r="E12" s="191"/>
      <c r="F12" s="182" t="s">
        <v>21</v>
      </c>
      <c r="G12" s="86">
        <v>747573</v>
      </c>
      <c r="H12" s="158" t="s">
        <v>59</v>
      </c>
      <c r="I12" s="86">
        <v>546764</v>
      </c>
      <c r="J12" s="86">
        <v>200809</v>
      </c>
      <c r="K12" s="155">
        <v>747573</v>
      </c>
      <c r="L12" s="183"/>
    </row>
    <row r="13" spans="1:12" x14ac:dyDescent="0.35">
      <c r="A13" s="190"/>
      <c r="B13" s="182"/>
      <c r="C13" s="191" t="s">
        <v>22</v>
      </c>
      <c r="D13" s="188"/>
      <c r="E13" s="191"/>
      <c r="F13" s="182" t="s">
        <v>23</v>
      </c>
      <c r="G13" s="86">
        <v>2002872</v>
      </c>
      <c r="H13" s="158" t="s">
        <v>59</v>
      </c>
      <c r="I13" s="86">
        <v>1665035</v>
      </c>
      <c r="J13" s="86">
        <v>337837</v>
      </c>
      <c r="K13" s="155">
        <v>2002872</v>
      </c>
      <c r="L13" s="183"/>
    </row>
    <row r="14" spans="1:12" x14ac:dyDescent="0.35">
      <c r="A14" s="190"/>
      <c r="B14" s="182"/>
      <c r="C14" s="191" t="s">
        <v>25</v>
      </c>
      <c r="D14" s="188"/>
      <c r="E14" s="191"/>
      <c r="F14" s="182" t="s">
        <v>26</v>
      </c>
      <c r="G14" s="86">
        <v>670193</v>
      </c>
      <c r="H14" s="158" t="s">
        <v>59</v>
      </c>
      <c r="I14" s="86">
        <v>475298</v>
      </c>
      <c r="J14" s="86">
        <v>194895</v>
      </c>
      <c r="K14" s="155">
        <v>670193</v>
      </c>
      <c r="L14" s="183"/>
    </row>
    <row r="15" spans="1:12" x14ac:dyDescent="0.35">
      <c r="A15" s="190"/>
      <c r="B15" s="182"/>
      <c r="C15" s="191" t="s">
        <v>27</v>
      </c>
      <c r="D15" s="188"/>
      <c r="E15" s="191"/>
      <c r="F15" s="182" t="s">
        <v>28</v>
      </c>
      <c r="G15" s="86">
        <v>0</v>
      </c>
      <c r="H15" s="158"/>
      <c r="I15" s="86">
        <v>0</v>
      </c>
      <c r="J15" s="86">
        <v>0</v>
      </c>
      <c r="K15" s="155">
        <v>0</v>
      </c>
      <c r="L15" s="183"/>
    </row>
    <row r="16" spans="1:12" x14ac:dyDescent="0.35">
      <c r="A16" s="190"/>
      <c r="B16" s="182"/>
      <c r="C16" s="191" t="s">
        <v>29</v>
      </c>
      <c r="D16" s="188"/>
      <c r="E16" s="191"/>
      <c r="F16" s="182" t="s">
        <v>30</v>
      </c>
      <c r="G16" s="86">
        <v>0</v>
      </c>
      <c r="H16" s="158"/>
      <c r="I16" s="86">
        <v>0</v>
      </c>
      <c r="J16" s="86">
        <v>0</v>
      </c>
      <c r="K16" s="155">
        <v>0</v>
      </c>
      <c r="L16" s="183"/>
    </row>
    <row r="17" spans="1:12" x14ac:dyDescent="0.35">
      <c r="A17" s="190"/>
      <c r="B17" s="182"/>
      <c r="C17" s="191" t="s">
        <v>31</v>
      </c>
      <c r="D17" s="188"/>
      <c r="E17" s="191"/>
      <c r="F17" s="182" t="s">
        <v>32</v>
      </c>
      <c r="G17" s="86">
        <v>0</v>
      </c>
      <c r="H17" s="158"/>
      <c r="I17" s="86">
        <v>0</v>
      </c>
      <c r="J17" s="86">
        <v>0</v>
      </c>
      <c r="K17" s="155">
        <v>0</v>
      </c>
      <c r="L17" s="183"/>
    </row>
    <row r="18" spans="1:12" x14ac:dyDescent="0.35">
      <c r="A18" s="190"/>
      <c r="B18" s="182"/>
      <c r="C18" s="191" t="s">
        <v>33</v>
      </c>
      <c r="D18" s="188"/>
      <c r="E18" s="191"/>
      <c r="F18" s="182" t="s">
        <v>34</v>
      </c>
      <c r="G18" s="86">
        <v>918795</v>
      </c>
      <c r="H18" s="158" t="s">
        <v>59</v>
      </c>
      <c r="I18" s="86">
        <v>546160</v>
      </c>
      <c r="J18" s="86">
        <v>372635</v>
      </c>
      <c r="K18" s="155">
        <v>918795</v>
      </c>
      <c r="L18" s="183"/>
    </row>
    <row r="19" spans="1:12" x14ac:dyDescent="0.35">
      <c r="A19" s="190"/>
      <c r="B19" s="182"/>
      <c r="C19" s="191" t="s">
        <v>35</v>
      </c>
      <c r="D19" s="188"/>
      <c r="E19" s="191"/>
      <c r="F19" s="182" t="s">
        <v>36</v>
      </c>
      <c r="G19" s="91">
        <v>914186</v>
      </c>
      <c r="H19" s="158" t="s">
        <v>59</v>
      </c>
      <c r="I19" s="91">
        <v>54235</v>
      </c>
      <c r="J19" s="91">
        <v>859951</v>
      </c>
      <c r="K19" s="155">
        <v>914186</v>
      </c>
      <c r="L19" s="183"/>
    </row>
    <row r="20" spans="1:12" x14ac:dyDescent="0.35">
      <c r="A20" s="190"/>
      <c r="B20" s="182"/>
      <c r="C20" s="191" t="s">
        <v>37</v>
      </c>
      <c r="D20" s="188"/>
      <c r="E20" s="191"/>
      <c r="F20" s="182" t="s">
        <v>38</v>
      </c>
      <c r="G20" s="86">
        <v>845416</v>
      </c>
      <c r="H20" s="158" t="s">
        <v>59</v>
      </c>
      <c r="I20" s="86">
        <v>609890</v>
      </c>
      <c r="J20" s="86">
        <v>235526</v>
      </c>
      <c r="K20" s="155">
        <v>845416</v>
      </c>
      <c r="L20" s="183"/>
    </row>
    <row r="21" spans="1:12" x14ac:dyDescent="0.35">
      <c r="A21" s="190"/>
      <c r="B21" s="182"/>
      <c r="C21" s="191" t="s">
        <v>39</v>
      </c>
      <c r="D21" s="188"/>
      <c r="E21" s="191"/>
      <c r="F21" s="182" t="s">
        <v>40</v>
      </c>
      <c r="G21" s="86"/>
      <c r="H21" s="158"/>
      <c r="I21" s="86"/>
      <c r="J21" s="86"/>
      <c r="K21" s="155">
        <v>0</v>
      </c>
      <c r="L21" s="183"/>
    </row>
    <row r="22" spans="1:12" x14ac:dyDescent="0.35">
      <c r="A22" s="190"/>
      <c r="B22" s="182"/>
      <c r="C22" s="191" t="s">
        <v>41</v>
      </c>
      <c r="D22" s="188"/>
      <c r="E22" s="191"/>
      <c r="F22" s="182" t="s">
        <v>42</v>
      </c>
      <c r="G22" s="86"/>
      <c r="H22" s="158"/>
      <c r="I22" s="86"/>
      <c r="J22" s="86"/>
      <c r="K22" s="155">
        <v>0</v>
      </c>
      <c r="L22" s="183"/>
    </row>
    <row r="23" spans="1:12" x14ac:dyDescent="0.35">
      <c r="A23" s="190"/>
      <c r="B23" s="182"/>
      <c r="C23" s="191" t="s">
        <v>43</v>
      </c>
      <c r="D23" s="188"/>
      <c r="E23" s="191"/>
      <c r="F23" s="182" t="s">
        <v>44</v>
      </c>
      <c r="G23" s="86"/>
      <c r="H23" s="158"/>
      <c r="I23" s="86"/>
      <c r="J23" s="86"/>
      <c r="K23" s="155">
        <v>0</v>
      </c>
      <c r="L23" s="183"/>
    </row>
    <row r="24" spans="1:12" x14ac:dyDescent="0.35">
      <c r="A24" s="182"/>
      <c r="B24" s="182"/>
      <c r="C24" s="185" t="s">
        <v>45</v>
      </c>
      <c r="D24" s="188"/>
      <c r="E24" s="185"/>
      <c r="F24" s="182" t="s">
        <v>46</v>
      </c>
      <c r="G24" s="92"/>
      <c r="H24" s="158"/>
      <c r="I24" s="92"/>
      <c r="J24" s="92"/>
      <c r="K24" s="155">
        <v>0</v>
      </c>
      <c r="L24" s="183"/>
    </row>
    <row r="25" spans="1:12" x14ac:dyDescent="0.35">
      <c r="A25" s="190"/>
      <c r="B25" s="182" t="s">
        <v>47</v>
      </c>
      <c r="C25" s="191"/>
      <c r="D25" s="188"/>
      <c r="E25" s="182" t="s">
        <v>48</v>
      </c>
      <c r="F25" s="191"/>
      <c r="G25" s="155">
        <v>6291150</v>
      </c>
      <c r="H25" s="152"/>
      <c r="I25" s="155">
        <v>2855956</v>
      </c>
      <c r="J25" s="155">
        <v>3435194</v>
      </c>
      <c r="K25" s="155"/>
      <c r="L25" s="189"/>
    </row>
    <row r="26" spans="1:12" x14ac:dyDescent="0.35">
      <c r="A26" s="190"/>
      <c r="B26" s="182"/>
      <c r="C26" s="191" t="s">
        <v>49</v>
      </c>
      <c r="D26" s="188"/>
      <c r="E26" s="191"/>
      <c r="F26" s="182" t="s">
        <v>50</v>
      </c>
      <c r="G26" s="86"/>
      <c r="H26" s="158"/>
      <c r="I26" s="86"/>
      <c r="J26" s="86"/>
      <c r="K26" s="155">
        <v>0</v>
      </c>
      <c r="L26" s="183"/>
    </row>
    <row r="27" spans="1:12" x14ac:dyDescent="0.35">
      <c r="A27" s="190"/>
      <c r="B27" s="182"/>
      <c r="C27" s="191" t="s">
        <v>51</v>
      </c>
      <c r="D27" s="188"/>
      <c r="E27" s="191"/>
      <c r="F27" s="182" t="s">
        <v>52</v>
      </c>
      <c r="G27" s="86">
        <v>1202407</v>
      </c>
      <c r="H27" s="158" t="s">
        <v>59</v>
      </c>
      <c r="I27" s="86">
        <v>616075</v>
      </c>
      <c r="J27" s="86">
        <v>586332</v>
      </c>
      <c r="K27" s="155">
        <v>1202407</v>
      </c>
      <c r="L27" s="183"/>
    </row>
    <row r="28" spans="1:12" x14ac:dyDescent="0.35">
      <c r="A28" s="190"/>
      <c r="B28" s="182"/>
      <c r="C28" s="191" t="s">
        <v>53</v>
      </c>
      <c r="D28" s="188"/>
      <c r="E28" s="191"/>
      <c r="F28" s="182" t="s">
        <v>54</v>
      </c>
      <c r="G28" s="86">
        <v>0</v>
      </c>
      <c r="H28" s="158"/>
      <c r="I28" s="86">
        <v>0</v>
      </c>
      <c r="J28" s="86">
        <v>0</v>
      </c>
      <c r="K28" s="155">
        <v>0</v>
      </c>
      <c r="L28" s="183"/>
    </row>
    <row r="29" spans="1:12" x14ac:dyDescent="0.35">
      <c r="A29" s="190"/>
      <c r="B29" s="182"/>
      <c r="C29" s="191" t="s">
        <v>55</v>
      </c>
      <c r="D29" s="188"/>
      <c r="E29" s="191"/>
      <c r="F29" s="182" t="s">
        <v>56</v>
      </c>
      <c r="G29" s="86">
        <v>797018</v>
      </c>
      <c r="H29" s="158" t="s">
        <v>59</v>
      </c>
      <c r="I29" s="86">
        <v>275775</v>
      </c>
      <c r="J29" s="86">
        <v>521243</v>
      </c>
      <c r="K29" s="155">
        <v>797018</v>
      </c>
      <c r="L29" s="183"/>
    </row>
    <row r="30" spans="1:12" x14ac:dyDescent="0.35">
      <c r="A30" s="190"/>
      <c r="B30" s="182"/>
      <c r="C30" s="191" t="s">
        <v>57</v>
      </c>
      <c r="D30" s="188"/>
      <c r="E30" s="191"/>
      <c r="F30" s="182" t="s">
        <v>58</v>
      </c>
      <c r="G30" s="86">
        <v>0</v>
      </c>
      <c r="H30" s="158"/>
      <c r="I30" s="86">
        <v>0</v>
      </c>
      <c r="J30" s="86">
        <v>0</v>
      </c>
      <c r="K30" s="155">
        <v>0</v>
      </c>
      <c r="L30" s="183"/>
    </row>
    <row r="31" spans="1:12" x14ac:dyDescent="0.35">
      <c r="A31" s="190"/>
      <c r="B31" s="182"/>
      <c r="C31" s="191" t="s">
        <v>60</v>
      </c>
      <c r="D31" s="188"/>
      <c r="E31" s="191"/>
      <c r="F31" s="182" t="s">
        <v>61</v>
      </c>
      <c r="G31" s="86">
        <v>513407</v>
      </c>
      <c r="H31" s="158" t="s">
        <v>59</v>
      </c>
      <c r="I31" s="86">
        <v>229370</v>
      </c>
      <c r="J31" s="86">
        <v>284037</v>
      </c>
      <c r="K31" s="155">
        <v>513407</v>
      </c>
      <c r="L31" s="183"/>
    </row>
    <row r="32" spans="1:12" x14ac:dyDescent="0.35">
      <c r="A32" s="190"/>
      <c r="B32" s="182"/>
      <c r="C32" s="191" t="s">
        <v>62</v>
      </c>
      <c r="D32" s="188"/>
      <c r="E32" s="191"/>
      <c r="F32" s="182" t="s">
        <v>63</v>
      </c>
      <c r="G32" s="86">
        <v>1412136</v>
      </c>
      <c r="H32" s="158" t="s">
        <v>59</v>
      </c>
      <c r="I32" s="86">
        <v>404862</v>
      </c>
      <c r="J32" s="86">
        <v>1007274</v>
      </c>
      <c r="K32" s="155">
        <v>1412136</v>
      </c>
      <c r="L32" s="183"/>
    </row>
    <row r="33" spans="1:12" x14ac:dyDescent="0.35">
      <c r="A33" s="182"/>
      <c r="B33" s="182"/>
      <c r="C33" s="191" t="s">
        <v>64</v>
      </c>
      <c r="D33" s="182"/>
      <c r="E33" s="191"/>
      <c r="F33" s="182" t="s">
        <v>65</v>
      </c>
      <c r="G33" s="86">
        <v>0</v>
      </c>
      <c r="H33" s="158"/>
      <c r="I33" s="86">
        <v>0</v>
      </c>
      <c r="J33" s="86">
        <v>0</v>
      </c>
      <c r="K33" s="155">
        <v>0</v>
      </c>
      <c r="L33" s="183"/>
    </row>
    <row r="34" spans="1:12" x14ac:dyDescent="0.35">
      <c r="A34" s="182"/>
      <c r="B34" s="182"/>
      <c r="C34" s="191" t="s">
        <v>66</v>
      </c>
      <c r="D34" s="182"/>
      <c r="E34" s="182"/>
      <c r="F34" s="182" t="s">
        <v>67</v>
      </c>
      <c r="G34" s="86">
        <v>506960</v>
      </c>
      <c r="H34" s="158" t="s">
        <v>59</v>
      </c>
      <c r="I34" s="86">
        <v>124183</v>
      </c>
      <c r="J34" s="86">
        <v>382777</v>
      </c>
      <c r="K34" s="155">
        <v>506960</v>
      </c>
      <c r="L34" s="183"/>
    </row>
    <row r="35" spans="1:12" x14ac:dyDescent="0.35">
      <c r="A35" s="182"/>
      <c r="B35" s="182"/>
      <c r="C35" s="191" t="s">
        <v>68</v>
      </c>
      <c r="D35" s="182"/>
      <c r="E35" s="191"/>
      <c r="F35" s="182" t="s">
        <v>69</v>
      </c>
      <c r="G35" s="86">
        <v>735335</v>
      </c>
      <c r="H35" s="158" t="s">
        <v>59</v>
      </c>
      <c r="I35" s="86">
        <v>320082</v>
      </c>
      <c r="J35" s="86">
        <v>415253</v>
      </c>
      <c r="K35" s="155">
        <v>735335</v>
      </c>
      <c r="L35" s="183"/>
    </row>
    <row r="36" spans="1:12" x14ac:dyDescent="0.35">
      <c r="A36" s="182"/>
      <c r="B36" s="182"/>
      <c r="C36" s="191" t="s">
        <v>70</v>
      </c>
      <c r="D36" s="182"/>
      <c r="E36" s="182"/>
      <c r="F36" s="182" t="s">
        <v>71</v>
      </c>
      <c r="G36" s="86">
        <v>0</v>
      </c>
      <c r="H36" s="158"/>
      <c r="I36" s="86">
        <v>0</v>
      </c>
      <c r="J36" s="86">
        <v>0</v>
      </c>
      <c r="K36" s="155">
        <v>0</v>
      </c>
      <c r="L36" s="183"/>
    </row>
    <row r="37" spans="1:12" x14ac:dyDescent="0.35">
      <c r="A37" s="182"/>
      <c r="B37" s="182"/>
      <c r="C37" s="191" t="s">
        <v>72</v>
      </c>
      <c r="D37" s="182"/>
      <c r="E37" s="133"/>
      <c r="F37" s="182" t="s">
        <v>73</v>
      </c>
      <c r="G37" s="86">
        <v>730848</v>
      </c>
      <c r="H37" s="158" t="s">
        <v>15</v>
      </c>
      <c r="I37" s="86">
        <v>730848</v>
      </c>
      <c r="J37" s="86">
        <v>0</v>
      </c>
      <c r="K37" s="155">
        <v>730848</v>
      </c>
      <c r="L37" s="183"/>
    </row>
    <row r="38" spans="1:12" x14ac:dyDescent="0.35">
      <c r="A38" s="182"/>
      <c r="B38" s="182"/>
      <c r="C38" s="191" t="s">
        <v>74</v>
      </c>
      <c r="D38" s="182"/>
      <c r="E38" s="182"/>
      <c r="F38" s="182" t="s">
        <v>75</v>
      </c>
      <c r="G38" s="86">
        <v>0</v>
      </c>
      <c r="H38" s="158"/>
      <c r="I38" s="86">
        <v>0</v>
      </c>
      <c r="J38" s="86">
        <v>0</v>
      </c>
      <c r="K38" s="155">
        <v>0</v>
      </c>
      <c r="L38" s="183"/>
    </row>
    <row r="39" spans="1:12" x14ac:dyDescent="0.35">
      <c r="A39" s="182"/>
      <c r="B39" s="182"/>
      <c r="C39" s="191" t="s">
        <v>76</v>
      </c>
      <c r="D39" s="182"/>
      <c r="E39" s="182"/>
      <c r="F39" s="182" t="s">
        <v>77</v>
      </c>
      <c r="G39" s="86">
        <v>0</v>
      </c>
      <c r="H39" s="158"/>
      <c r="I39" s="86">
        <v>0</v>
      </c>
      <c r="J39" s="86">
        <v>0</v>
      </c>
      <c r="K39" s="155">
        <v>0</v>
      </c>
      <c r="L39" s="183"/>
    </row>
    <row r="40" spans="1:12" x14ac:dyDescent="0.35">
      <c r="A40" s="182"/>
      <c r="B40" s="182"/>
      <c r="C40" s="191" t="s">
        <v>78</v>
      </c>
      <c r="D40" s="182"/>
      <c r="E40" s="182"/>
      <c r="F40" s="182" t="s">
        <v>79</v>
      </c>
      <c r="G40" s="86">
        <v>0</v>
      </c>
      <c r="H40" s="158"/>
      <c r="I40" s="86">
        <v>0</v>
      </c>
      <c r="J40" s="86">
        <v>0</v>
      </c>
      <c r="K40" s="155">
        <v>0</v>
      </c>
      <c r="L40" s="183"/>
    </row>
    <row r="41" spans="1:12" x14ac:dyDescent="0.35">
      <c r="A41" s="182"/>
      <c r="B41" s="182"/>
      <c r="C41" s="191" t="s">
        <v>80</v>
      </c>
      <c r="D41" s="182"/>
      <c r="E41" s="182"/>
      <c r="F41" s="182" t="s">
        <v>81</v>
      </c>
      <c r="G41" s="86">
        <v>393039</v>
      </c>
      <c r="H41" s="158" t="s">
        <v>59</v>
      </c>
      <c r="I41" s="86">
        <v>154761</v>
      </c>
      <c r="J41" s="86">
        <v>238278</v>
      </c>
      <c r="K41" s="155">
        <v>393039</v>
      </c>
      <c r="L41" s="183"/>
    </row>
    <row r="42" spans="1:12" x14ac:dyDescent="0.35">
      <c r="A42" s="182"/>
      <c r="B42" s="182" t="s">
        <v>82</v>
      </c>
      <c r="C42" s="191"/>
      <c r="D42" s="182"/>
      <c r="E42" s="182" t="s">
        <v>83</v>
      </c>
      <c r="F42" s="182"/>
      <c r="G42" s="155">
        <v>13870699</v>
      </c>
      <c r="H42" s="152"/>
      <c r="I42" s="155">
        <v>1618257</v>
      </c>
      <c r="J42" s="155">
        <v>12252442</v>
      </c>
      <c r="K42" s="155"/>
      <c r="L42" s="189"/>
    </row>
    <row r="43" spans="1:12" x14ac:dyDescent="0.35">
      <c r="A43" s="182"/>
      <c r="B43" s="182"/>
      <c r="C43" s="191" t="s">
        <v>84</v>
      </c>
      <c r="D43" s="182"/>
      <c r="E43" s="182"/>
      <c r="F43" s="182" t="s">
        <v>85</v>
      </c>
      <c r="G43" s="86">
        <v>9385860</v>
      </c>
      <c r="H43" s="158" t="s">
        <v>24</v>
      </c>
      <c r="I43" s="86">
        <v>0</v>
      </c>
      <c r="J43" s="86">
        <v>9385860</v>
      </c>
      <c r="K43" s="155">
        <v>9385860</v>
      </c>
      <c r="L43" s="183"/>
    </row>
    <row r="44" spans="1:12" x14ac:dyDescent="0.35">
      <c r="A44" s="182"/>
      <c r="B44" s="182"/>
      <c r="C44" s="191" t="s">
        <v>86</v>
      </c>
      <c r="D44" s="182"/>
      <c r="E44" s="182"/>
      <c r="F44" s="182" t="s">
        <v>87</v>
      </c>
      <c r="G44" s="86">
        <v>0</v>
      </c>
      <c r="H44" s="158"/>
      <c r="I44" s="86">
        <v>0</v>
      </c>
      <c r="J44" s="86">
        <v>0</v>
      </c>
      <c r="K44" s="155">
        <v>0</v>
      </c>
      <c r="L44" s="183"/>
    </row>
    <row r="45" spans="1:12" x14ac:dyDescent="0.35">
      <c r="A45" s="182"/>
      <c r="B45" s="182"/>
      <c r="C45" s="191" t="s">
        <v>88</v>
      </c>
      <c r="D45" s="182"/>
      <c r="E45" s="182"/>
      <c r="F45" s="182" t="s">
        <v>89</v>
      </c>
      <c r="G45" s="86">
        <v>0</v>
      </c>
      <c r="H45" s="158"/>
      <c r="I45" s="86">
        <v>0</v>
      </c>
      <c r="J45" s="86">
        <v>0</v>
      </c>
      <c r="K45" s="155">
        <v>0</v>
      </c>
      <c r="L45" s="183"/>
    </row>
    <row r="46" spans="1:12" x14ac:dyDescent="0.35">
      <c r="A46" s="182"/>
      <c r="B46" s="182"/>
      <c r="C46" s="191" t="s">
        <v>90</v>
      </c>
      <c r="D46" s="182"/>
      <c r="E46" s="182"/>
      <c r="F46" s="182" t="s">
        <v>91</v>
      </c>
      <c r="G46" s="86">
        <v>0</v>
      </c>
      <c r="H46" s="158"/>
      <c r="I46" s="86">
        <v>0</v>
      </c>
      <c r="J46" s="86">
        <v>0</v>
      </c>
      <c r="K46" s="155">
        <v>0</v>
      </c>
      <c r="L46" s="183"/>
    </row>
    <row r="47" spans="1:12" x14ac:dyDescent="0.35">
      <c r="A47" s="182"/>
      <c r="B47" s="182"/>
      <c r="C47" s="191" t="s">
        <v>92</v>
      </c>
      <c r="D47" s="182"/>
      <c r="E47" s="182"/>
      <c r="F47" s="182" t="s">
        <v>93</v>
      </c>
      <c r="G47" s="86">
        <v>2689792</v>
      </c>
      <c r="H47" s="158" t="s">
        <v>59</v>
      </c>
      <c r="I47" s="86">
        <v>1049294</v>
      </c>
      <c r="J47" s="86">
        <v>1640498</v>
      </c>
      <c r="K47" s="155">
        <v>2689792</v>
      </c>
      <c r="L47" s="183"/>
    </row>
    <row r="48" spans="1:12" x14ac:dyDescent="0.35">
      <c r="A48" s="182"/>
      <c r="B48" s="182"/>
      <c r="C48" s="191" t="s">
        <v>94</v>
      </c>
      <c r="D48" s="182"/>
      <c r="E48" s="182"/>
      <c r="F48" s="182" t="s">
        <v>95</v>
      </c>
      <c r="G48" s="86">
        <v>0</v>
      </c>
      <c r="H48" s="158"/>
      <c r="I48" s="86">
        <v>0</v>
      </c>
      <c r="J48" s="86">
        <v>0</v>
      </c>
      <c r="K48" s="155">
        <v>0</v>
      </c>
      <c r="L48" s="183"/>
    </row>
    <row r="49" spans="1:12" x14ac:dyDescent="0.35">
      <c r="A49" s="182"/>
      <c r="B49" s="182"/>
      <c r="C49" s="191" t="s">
        <v>96</v>
      </c>
      <c r="D49" s="182"/>
      <c r="E49" s="182"/>
      <c r="F49" s="182" t="s">
        <v>97</v>
      </c>
      <c r="G49" s="86">
        <v>1011724</v>
      </c>
      <c r="H49" s="158" t="s">
        <v>59</v>
      </c>
      <c r="I49" s="86">
        <v>400490</v>
      </c>
      <c r="J49" s="86">
        <v>611234</v>
      </c>
      <c r="K49" s="155">
        <v>1011724</v>
      </c>
      <c r="L49" s="183"/>
    </row>
    <row r="50" spans="1:12" x14ac:dyDescent="0.35">
      <c r="A50" s="182"/>
      <c r="B50" s="182"/>
      <c r="C50" s="191" t="s">
        <v>98</v>
      </c>
      <c r="D50" s="182"/>
      <c r="E50" s="182"/>
      <c r="F50" s="182" t="s">
        <v>99</v>
      </c>
      <c r="G50" s="86">
        <v>233749</v>
      </c>
      <c r="H50" s="158" t="s">
        <v>59</v>
      </c>
      <c r="I50" s="86">
        <v>9961</v>
      </c>
      <c r="J50" s="86">
        <v>223788</v>
      </c>
      <c r="K50" s="155">
        <v>233749</v>
      </c>
      <c r="L50" s="183"/>
    </row>
    <row r="51" spans="1:12" x14ac:dyDescent="0.35">
      <c r="A51" s="182"/>
      <c r="B51" s="182"/>
      <c r="C51" s="191" t="s">
        <v>100</v>
      </c>
      <c r="D51" s="182"/>
      <c r="E51" s="182"/>
      <c r="F51" s="182" t="s">
        <v>101</v>
      </c>
      <c r="G51" s="86">
        <v>0</v>
      </c>
      <c r="H51" s="158"/>
      <c r="I51" s="86">
        <v>0</v>
      </c>
      <c r="J51" s="86">
        <v>0</v>
      </c>
      <c r="K51" s="155">
        <v>0</v>
      </c>
      <c r="L51" s="183"/>
    </row>
    <row r="52" spans="1:12" x14ac:dyDescent="0.35">
      <c r="A52" s="182"/>
      <c r="B52" s="182"/>
      <c r="C52" s="191" t="s">
        <v>102</v>
      </c>
      <c r="D52" s="182"/>
      <c r="E52" s="182"/>
      <c r="F52" s="182" t="s">
        <v>103</v>
      </c>
      <c r="G52" s="86">
        <v>289433</v>
      </c>
      <c r="H52" s="158" t="s">
        <v>59</v>
      </c>
      <c r="I52" s="86">
        <v>44565</v>
      </c>
      <c r="J52" s="86">
        <v>244868</v>
      </c>
      <c r="K52" s="155">
        <v>289433</v>
      </c>
      <c r="L52" s="183"/>
    </row>
    <row r="53" spans="1:12" x14ac:dyDescent="0.35">
      <c r="A53" s="182"/>
      <c r="B53" s="182"/>
      <c r="C53" s="191" t="s">
        <v>104</v>
      </c>
      <c r="D53" s="182"/>
      <c r="E53" s="182"/>
      <c r="F53" s="182" t="s">
        <v>105</v>
      </c>
      <c r="G53" s="86">
        <v>0</v>
      </c>
      <c r="H53" s="158"/>
      <c r="I53" s="86">
        <v>0</v>
      </c>
      <c r="J53" s="86">
        <v>0</v>
      </c>
      <c r="K53" s="155">
        <v>0</v>
      </c>
      <c r="L53" s="183"/>
    </row>
    <row r="54" spans="1:12" x14ac:dyDescent="0.35">
      <c r="A54" s="182"/>
      <c r="B54" s="182"/>
      <c r="C54" s="191" t="s">
        <v>106</v>
      </c>
      <c r="D54" s="182"/>
      <c r="E54" s="182"/>
      <c r="F54" s="182" t="s">
        <v>107</v>
      </c>
      <c r="G54" s="86">
        <v>119647</v>
      </c>
      <c r="H54" s="158" t="s">
        <v>59</v>
      </c>
      <c r="I54" s="86">
        <v>376</v>
      </c>
      <c r="J54" s="86">
        <v>119271</v>
      </c>
      <c r="K54" s="155">
        <v>119647</v>
      </c>
      <c r="L54" s="183"/>
    </row>
    <row r="55" spans="1:12" x14ac:dyDescent="0.35">
      <c r="A55" s="182"/>
      <c r="B55" s="182"/>
      <c r="C55" s="191" t="s">
        <v>108</v>
      </c>
      <c r="D55" s="182"/>
      <c r="E55" s="182"/>
      <c r="F55" s="182" t="s">
        <v>109</v>
      </c>
      <c r="G55" s="86">
        <v>0</v>
      </c>
      <c r="H55" s="158"/>
      <c r="I55" s="86">
        <v>0</v>
      </c>
      <c r="J55" s="86">
        <v>0</v>
      </c>
      <c r="K55" s="155">
        <v>0</v>
      </c>
      <c r="L55" s="183"/>
    </row>
    <row r="56" spans="1:12" x14ac:dyDescent="0.35">
      <c r="A56" s="182"/>
      <c r="B56" s="182"/>
      <c r="C56" s="191" t="s">
        <v>110</v>
      </c>
      <c r="D56" s="182"/>
      <c r="E56" s="182"/>
      <c r="F56" s="182" t="s">
        <v>111</v>
      </c>
      <c r="G56" s="86">
        <v>0</v>
      </c>
      <c r="H56" s="158"/>
      <c r="I56" s="86">
        <v>0</v>
      </c>
      <c r="J56" s="86">
        <v>0</v>
      </c>
      <c r="K56" s="155">
        <v>0</v>
      </c>
      <c r="L56" s="183"/>
    </row>
    <row r="57" spans="1:12" x14ac:dyDescent="0.35">
      <c r="A57" s="182"/>
      <c r="B57" s="182"/>
      <c r="C57" s="191" t="s">
        <v>112</v>
      </c>
      <c r="D57" s="182"/>
      <c r="E57" s="182"/>
      <c r="F57" s="182" t="s">
        <v>113</v>
      </c>
      <c r="G57" s="86">
        <v>0</v>
      </c>
      <c r="H57" s="158"/>
      <c r="I57" s="86">
        <v>0</v>
      </c>
      <c r="J57" s="86">
        <v>0</v>
      </c>
      <c r="K57" s="155">
        <v>0</v>
      </c>
      <c r="L57" s="183"/>
    </row>
    <row r="58" spans="1:12" x14ac:dyDescent="0.35">
      <c r="A58" s="182"/>
      <c r="B58" s="182"/>
      <c r="C58" s="191" t="s">
        <v>114</v>
      </c>
      <c r="D58" s="182"/>
      <c r="E58" s="182"/>
      <c r="F58" s="182" t="s">
        <v>115</v>
      </c>
      <c r="G58" s="86">
        <v>0</v>
      </c>
      <c r="H58" s="158"/>
      <c r="I58" s="86">
        <v>0</v>
      </c>
      <c r="J58" s="86">
        <v>0</v>
      </c>
      <c r="K58" s="155">
        <v>0</v>
      </c>
      <c r="L58" s="183"/>
    </row>
    <row r="59" spans="1:12" x14ac:dyDescent="0.35">
      <c r="A59" s="182"/>
      <c r="B59" s="182"/>
      <c r="C59" s="191" t="s">
        <v>116</v>
      </c>
      <c r="D59" s="182"/>
      <c r="E59" s="182"/>
      <c r="F59" s="182" t="s">
        <v>117</v>
      </c>
      <c r="G59" s="86">
        <v>0</v>
      </c>
      <c r="H59" s="158"/>
      <c r="I59" s="86">
        <v>0</v>
      </c>
      <c r="J59" s="86">
        <v>0</v>
      </c>
      <c r="K59" s="155">
        <v>0</v>
      </c>
      <c r="L59" s="183"/>
    </row>
    <row r="60" spans="1:12" x14ac:dyDescent="0.35">
      <c r="A60" s="182"/>
      <c r="B60" s="182"/>
      <c r="C60" s="191" t="s">
        <v>118</v>
      </c>
      <c r="D60" s="182"/>
      <c r="E60" s="182"/>
      <c r="F60" s="182" t="s">
        <v>119</v>
      </c>
      <c r="G60" s="86">
        <v>75462</v>
      </c>
      <c r="H60" s="158" t="s">
        <v>15</v>
      </c>
      <c r="I60" s="86">
        <v>75462</v>
      </c>
      <c r="J60" s="86">
        <v>0</v>
      </c>
      <c r="K60" s="155">
        <v>75462</v>
      </c>
      <c r="L60" s="183"/>
    </row>
    <row r="61" spans="1:12" x14ac:dyDescent="0.35">
      <c r="A61" s="182"/>
      <c r="B61" s="182"/>
      <c r="C61" s="191" t="s">
        <v>120</v>
      </c>
      <c r="D61" s="182"/>
      <c r="E61" s="182"/>
      <c r="F61" s="182" t="s">
        <v>121</v>
      </c>
      <c r="G61" s="86">
        <v>0</v>
      </c>
      <c r="H61" s="158"/>
      <c r="I61" s="86">
        <v>0</v>
      </c>
      <c r="J61" s="86">
        <v>0</v>
      </c>
      <c r="K61" s="155">
        <v>0</v>
      </c>
      <c r="L61" s="183"/>
    </row>
    <row r="62" spans="1:12" x14ac:dyDescent="0.35">
      <c r="A62" s="182"/>
      <c r="B62" s="182"/>
      <c r="C62" s="191" t="s">
        <v>122</v>
      </c>
      <c r="D62" s="182"/>
      <c r="E62" s="182"/>
      <c r="F62" s="182" t="s">
        <v>123</v>
      </c>
      <c r="G62" s="86">
        <v>65032</v>
      </c>
      <c r="H62" s="158" t="s">
        <v>59</v>
      </c>
      <c r="I62" s="86">
        <v>38109</v>
      </c>
      <c r="J62" s="86">
        <v>26923</v>
      </c>
      <c r="K62" s="155">
        <v>65032</v>
      </c>
      <c r="L62" s="183"/>
    </row>
    <row r="63" spans="1:12" x14ac:dyDescent="0.35">
      <c r="A63" s="182"/>
      <c r="B63" s="182"/>
      <c r="C63" s="191" t="s">
        <v>124</v>
      </c>
      <c r="D63" s="182"/>
      <c r="E63" s="182"/>
      <c r="F63" s="182" t="s">
        <v>125</v>
      </c>
      <c r="G63" s="86">
        <v>0</v>
      </c>
      <c r="H63" s="158"/>
      <c r="I63" s="86"/>
      <c r="J63" s="86"/>
      <c r="K63" s="155">
        <v>0</v>
      </c>
      <c r="L63" s="183"/>
    </row>
    <row r="64" spans="1:12" hidden="1" x14ac:dyDescent="0.35">
      <c r="A64" s="182"/>
      <c r="B64" s="182" t="s">
        <v>126</v>
      </c>
      <c r="C64" s="191"/>
      <c r="D64" s="182"/>
      <c r="E64" s="182" t="s">
        <v>127</v>
      </c>
      <c r="F64" s="182"/>
      <c r="G64" s="155"/>
      <c r="H64" s="152"/>
      <c r="I64" s="155"/>
      <c r="J64" s="155"/>
      <c r="K64" s="155"/>
      <c r="L64" s="189"/>
    </row>
    <row r="65" spans="1:12" hidden="1" x14ac:dyDescent="0.35">
      <c r="A65" s="182"/>
      <c r="B65" s="182" t="s">
        <v>128</v>
      </c>
      <c r="C65" s="191"/>
      <c r="D65" s="182"/>
      <c r="E65" s="182" t="s">
        <v>127</v>
      </c>
      <c r="F65" s="182"/>
      <c r="G65" s="155"/>
      <c r="H65" s="152"/>
      <c r="I65" s="155"/>
      <c r="J65" s="155"/>
      <c r="K65" s="155"/>
      <c r="L65" s="189"/>
    </row>
    <row r="66" spans="1:12" x14ac:dyDescent="0.35">
      <c r="A66" s="182"/>
      <c r="B66" s="182" t="s">
        <v>129</v>
      </c>
      <c r="C66" s="191"/>
      <c r="D66" s="182"/>
      <c r="E66" s="182" t="s">
        <v>130</v>
      </c>
      <c r="F66" s="182"/>
      <c r="G66" s="155">
        <v>367682</v>
      </c>
      <c r="H66" s="152"/>
      <c r="I66" s="155">
        <v>135437</v>
      </c>
      <c r="J66" s="155">
        <v>232245</v>
      </c>
      <c r="K66" s="155"/>
      <c r="L66" s="189"/>
    </row>
    <row r="67" spans="1:12" x14ac:dyDescent="0.35">
      <c r="A67" s="182"/>
      <c r="B67" s="182"/>
      <c r="C67" s="191" t="s">
        <v>131</v>
      </c>
      <c r="D67" s="182"/>
      <c r="E67" s="182"/>
      <c r="F67" s="182" t="s">
        <v>132</v>
      </c>
      <c r="G67" s="86"/>
      <c r="H67" s="158"/>
      <c r="I67" s="86"/>
      <c r="J67" s="86">
        <v>0</v>
      </c>
      <c r="K67" s="155">
        <v>0</v>
      </c>
      <c r="L67" s="183"/>
    </row>
    <row r="68" spans="1:12" x14ac:dyDescent="0.35">
      <c r="A68" s="182"/>
      <c r="B68" s="182"/>
      <c r="C68" s="191" t="s">
        <v>133</v>
      </c>
      <c r="D68" s="182"/>
      <c r="E68" s="182"/>
      <c r="F68" s="182" t="s">
        <v>134</v>
      </c>
      <c r="G68" s="86"/>
      <c r="H68" s="158"/>
      <c r="I68" s="86"/>
      <c r="J68" s="86"/>
      <c r="K68" s="155">
        <v>0</v>
      </c>
      <c r="L68" s="183"/>
    </row>
    <row r="69" spans="1:12" x14ac:dyDescent="0.35">
      <c r="A69" s="182"/>
      <c r="B69" s="182"/>
      <c r="C69" s="191" t="s">
        <v>135</v>
      </c>
      <c r="D69" s="182"/>
      <c r="E69" s="182"/>
      <c r="F69" s="182" t="s">
        <v>136</v>
      </c>
      <c r="G69" s="86">
        <v>367682</v>
      </c>
      <c r="H69" s="158" t="s">
        <v>59</v>
      </c>
      <c r="I69" s="86">
        <v>135437</v>
      </c>
      <c r="J69" s="86">
        <v>232245</v>
      </c>
      <c r="K69" s="155">
        <v>367682</v>
      </c>
      <c r="L69" s="183"/>
    </row>
    <row r="70" spans="1:12" x14ac:dyDescent="0.35">
      <c r="A70" s="182"/>
      <c r="B70" s="182" t="s">
        <v>137</v>
      </c>
      <c r="C70" s="191"/>
      <c r="D70" s="182"/>
      <c r="E70" s="182" t="s">
        <v>138</v>
      </c>
      <c r="F70" s="182"/>
      <c r="G70" s="155">
        <v>6230358</v>
      </c>
      <c r="H70" s="152"/>
      <c r="I70" s="155">
        <v>4655149</v>
      </c>
      <c r="J70" s="155">
        <v>1575209</v>
      </c>
      <c r="K70" s="155"/>
      <c r="L70" s="189"/>
    </row>
    <row r="71" spans="1:12" x14ac:dyDescent="0.35">
      <c r="A71" s="182"/>
      <c r="B71" s="182"/>
      <c r="C71" s="191" t="s">
        <v>139</v>
      </c>
      <c r="D71" s="182"/>
      <c r="E71" s="182"/>
      <c r="F71" s="182" t="s">
        <v>140</v>
      </c>
      <c r="G71" s="86">
        <v>1237423</v>
      </c>
      <c r="H71" s="158" t="s">
        <v>59</v>
      </c>
      <c r="I71" s="86">
        <v>521134</v>
      </c>
      <c r="J71" s="86">
        <v>716289</v>
      </c>
      <c r="K71" s="155">
        <v>1237423</v>
      </c>
      <c r="L71" s="183"/>
    </row>
    <row r="72" spans="1:12" x14ac:dyDescent="0.35">
      <c r="A72" s="182"/>
      <c r="B72" s="182"/>
      <c r="C72" s="191" t="s">
        <v>141</v>
      </c>
      <c r="D72" s="182"/>
      <c r="E72" s="182"/>
      <c r="F72" s="182" t="s">
        <v>142</v>
      </c>
      <c r="G72" s="86">
        <v>4049663</v>
      </c>
      <c r="H72" s="158" t="s">
        <v>59</v>
      </c>
      <c r="I72" s="86">
        <v>3498458</v>
      </c>
      <c r="J72" s="86">
        <v>551205</v>
      </c>
      <c r="K72" s="155">
        <v>4049663</v>
      </c>
      <c r="L72" s="183"/>
    </row>
    <row r="73" spans="1:12" x14ac:dyDescent="0.35">
      <c r="A73" s="182"/>
      <c r="B73" s="182"/>
      <c r="C73" s="191" t="s">
        <v>143</v>
      </c>
      <c r="D73" s="182"/>
      <c r="E73" s="182"/>
      <c r="F73" s="182" t="s">
        <v>144</v>
      </c>
      <c r="G73" s="86">
        <v>943272</v>
      </c>
      <c r="H73" s="158" t="s">
        <v>59</v>
      </c>
      <c r="I73" s="86">
        <v>635557</v>
      </c>
      <c r="J73" s="86">
        <v>307715</v>
      </c>
      <c r="K73" s="155">
        <v>943272</v>
      </c>
      <c r="L73" s="183"/>
    </row>
    <row r="74" spans="1:12" hidden="1" x14ac:dyDescent="0.35">
      <c r="A74" s="182"/>
      <c r="B74" s="182" t="s">
        <v>145</v>
      </c>
      <c r="C74" s="191"/>
      <c r="D74" s="182"/>
      <c r="E74" s="182" t="s">
        <v>127</v>
      </c>
      <c r="F74" s="182"/>
      <c r="G74" s="155"/>
      <c r="H74" s="152"/>
      <c r="I74" s="155"/>
      <c r="J74" s="155"/>
      <c r="K74" s="155"/>
      <c r="L74" s="189"/>
    </row>
    <row r="75" spans="1:12" hidden="1" x14ac:dyDescent="0.35">
      <c r="A75" s="182"/>
      <c r="B75" s="182" t="s">
        <v>146</v>
      </c>
      <c r="C75" s="191"/>
      <c r="D75" s="182"/>
      <c r="E75" s="182" t="s">
        <v>127</v>
      </c>
      <c r="F75" s="182"/>
      <c r="G75" s="155"/>
      <c r="H75" s="152"/>
      <c r="I75" s="155"/>
      <c r="J75" s="155"/>
      <c r="K75" s="155"/>
      <c r="L75" s="189"/>
    </row>
    <row r="76" spans="1:12" s="7" customFormat="1" x14ac:dyDescent="0.35">
      <c r="A76" s="129" t="s">
        <v>147</v>
      </c>
      <c r="B76" s="129"/>
      <c r="C76" s="122"/>
      <c r="D76" s="129"/>
      <c r="E76" s="129"/>
      <c r="F76" s="129"/>
      <c r="G76" s="138">
        <v>33684137</v>
      </c>
      <c r="H76" s="88"/>
      <c r="I76" s="138">
        <v>13674952</v>
      </c>
      <c r="J76" s="138">
        <v>20009185</v>
      </c>
      <c r="K76" s="155">
        <v>33684137</v>
      </c>
      <c r="L76" s="131"/>
    </row>
    <row r="77" spans="1:12" x14ac:dyDescent="0.35">
      <c r="A77" s="186"/>
      <c r="B77" s="186"/>
      <c r="C77" s="186"/>
      <c r="D77" s="186"/>
      <c r="E77" s="186"/>
      <c r="F77" s="192" t="s">
        <v>200</v>
      </c>
      <c r="G77" s="140">
        <v>33684137</v>
      </c>
      <c r="H77" s="156"/>
      <c r="I77" s="163">
        <v>0.40597602366953917</v>
      </c>
      <c r="J77" s="163">
        <v>0.59402397633046078</v>
      </c>
      <c r="K77" s="164"/>
      <c r="L77" s="186"/>
    </row>
    <row r="79" spans="1:12" x14ac:dyDescent="0.35">
      <c r="A79" s="186"/>
      <c r="B79" s="186"/>
      <c r="C79" s="186"/>
      <c r="D79" s="186"/>
      <c r="E79" s="186"/>
      <c r="F79" s="186" t="s">
        <v>201</v>
      </c>
      <c r="G79" s="186"/>
      <c r="H79" s="186"/>
      <c r="I79" s="186"/>
      <c r="J79" s="186"/>
      <c r="K79" s="186"/>
      <c r="L79" s="186"/>
    </row>
    <row r="80" spans="1:12" hidden="1" x14ac:dyDescent="0.35">
      <c r="A80" s="186"/>
      <c r="B80" s="186"/>
      <c r="C80" s="186"/>
      <c r="D80" s="186"/>
      <c r="E80" s="186"/>
      <c r="F80" s="186"/>
      <c r="G80" s="186"/>
      <c r="H80" s="186" t="s">
        <v>15</v>
      </c>
      <c r="I80" s="186"/>
      <c r="J80" s="186"/>
      <c r="K80" s="186"/>
      <c r="L80" s="186"/>
    </row>
    <row r="81" spans="3:11" x14ac:dyDescent="0.35">
      <c r="C81" s="186"/>
      <c r="D81" s="186"/>
      <c r="E81" s="186"/>
      <c r="F81" s="186"/>
      <c r="G81" s="186"/>
      <c r="H81" s="186" t="s">
        <v>24</v>
      </c>
      <c r="I81" s="186"/>
      <c r="J81" s="186"/>
      <c r="K81" s="186"/>
    </row>
    <row r="82" spans="3:11" x14ac:dyDescent="0.35">
      <c r="C82" s="186"/>
      <c r="D82" s="186"/>
      <c r="E82" s="186"/>
      <c r="F82" s="186"/>
      <c r="G82" s="186"/>
      <c r="H82" s="186" t="s">
        <v>59</v>
      </c>
      <c r="I82" s="186"/>
      <c r="J82" s="186"/>
      <c r="K82" s="186"/>
    </row>
    <row r="83" spans="3:11" x14ac:dyDescent="0.35">
      <c r="C83" s="186"/>
      <c r="D83" s="186"/>
      <c r="E83" s="186"/>
      <c r="F83" s="186"/>
      <c r="G83" s="186"/>
      <c r="H83" s="192" t="s">
        <v>202</v>
      </c>
      <c r="I83" s="181">
        <v>169784414</v>
      </c>
      <c r="J83" s="133">
        <v>8.0543035004379135E-2</v>
      </c>
      <c r="K83" s="186" t="s">
        <v>203</v>
      </c>
    </row>
    <row r="97" s="144" customFormat="1" x14ac:dyDescent="0.35"/>
    <row r="98" s="144" customFormat="1" x14ac:dyDescent="0.35"/>
    <row r="99" s="144" customFormat="1" x14ac:dyDescent="0.35"/>
    <row r="100" s="144" customFormat="1" x14ac:dyDescent="0.35"/>
    <row r="101" s="144" customFormat="1" x14ac:dyDescent="0.35"/>
    <row r="102" s="144" customFormat="1" x14ac:dyDescent="0.35"/>
    <row r="103" s="144" customFormat="1" x14ac:dyDescent="0.35"/>
    <row r="104" s="144" customFormat="1" x14ac:dyDescent="0.35"/>
    <row r="105" s="144" customFormat="1" x14ac:dyDescent="0.35"/>
    <row r="106" s="144" customFormat="1" x14ac:dyDescent="0.35"/>
    <row r="107" s="144" customFormat="1" x14ac:dyDescent="0.35"/>
    <row r="108" s="144" customFormat="1" x14ac:dyDescent="0.35"/>
    <row r="109" s="144" customFormat="1" x14ac:dyDescent="0.35"/>
    <row r="110" s="144" customFormat="1" x14ac:dyDescent="0.35"/>
    <row r="112" s="144" customFormat="1" ht="15" hidden="1" customHeight="1" x14ac:dyDescent="0.35"/>
    <row r="113" s="144" customFormat="1" ht="15" hidden="1" customHeight="1" x14ac:dyDescent="0.35"/>
    <row r="114" s="144" customFormat="1" ht="15" hidden="1" customHeight="1" x14ac:dyDescent="0.35"/>
    <row r="115" s="144" customFormat="1" ht="15" hidden="1" customHeight="1" x14ac:dyDescent="0.35"/>
    <row r="116" s="144" customFormat="1" ht="15" hidden="1" customHeight="1" x14ac:dyDescent="0.35"/>
    <row r="117" s="144" customFormat="1" ht="15" hidden="1" customHeight="1" x14ac:dyDescent="0.35"/>
    <row r="118" s="144" customFormat="1" ht="15" hidden="1" customHeight="1" x14ac:dyDescent="0.35"/>
    <row r="119" s="144" customFormat="1" ht="15" hidden="1" customHeight="1" x14ac:dyDescent="0.35"/>
    <row r="120" s="144" customFormat="1" ht="15" hidden="1" customHeight="1" x14ac:dyDescent="0.35"/>
    <row r="121" s="144" customFormat="1" ht="15" hidden="1" customHeight="1" x14ac:dyDescent="0.35"/>
    <row r="122" s="144" customFormat="1" ht="15" hidden="1" customHeight="1" x14ac:dyDescent="0.35"/>
    <row r="123" s="144" customFormat="1" ht="15" hidden="1" customHeight="1" x14ac:dyDescent="0.35"/>
    <row r="124" s="144" customFormat="1" ht="15" hidden="1" customHeight="1" x14ac:dyDescent="0.35"/>
    <row r="125" s="144" customFormat="1" ht="15" hidden="1" customHeight="1" x14ac:dyDescent="0.35"/>
    <row r="126" s="144" customFormat="1" ht="15" hidden="1" customHeight="1" x14ac:dyDescent="0.35"/>
    <row r="127" s="144" customFormat="1" ht="15" hidden="1" customHeight="1" x14ac:dyDescent="0.35"/>
    <row r="128" s="144" customFormat="1" ht="15" hidden="1" customHeight="1" x14ac:dyDescent="0.35"/>
    <row r="129" s="144" customFormat="1" ht="15" hidden="1" customHeight="1" x14ac:dyDescent="0.35"/>
    <row r="130" s="144" customFormat="1" ht="15" hidden="1" customHeight="1" x14ac:dyDescent="0.35"/>
    <row r="131" s="144" customFormat="1" ht="15" hidden="1" customHeight="1" x14ac:dyDescent="0.35"/>
    <row r="132" s="144" customFormat="1" ht="15" hidden="1" customHeight="1" x14ac:dyDescent="0.35"/>
    <row r="133" s="144" customFormat="1" ht="15" hidden="1" customHeight="1" x14ac:dyDescent="0.35"/>
    <row r="134" s="144" customFormat="1" ht="15" hidden="1" customHeight="1" x14ac:dyDescent="0.35"/>
    <row r="135" s="144" customFormat="1" ht="15" hidden="1" customHeight="1" x14ac:dyDescent="0.35"/>
    <row r="136" s="144" customFormat="1" ht="15" hidden="1" customHeight="1" x14ac:dyDescent="0.35"/>
    <row r="137" s="144" customFormat="1" ht="15" hidden="1" customHeight="1" x14ac:dyDescent="0.35"/>
    <row r="138" s="144" customFormat="1" ht="15" hidden="1" customHeight="1" x14ac:dyDescent="0.35"/>
    <row r="139" s="144" customFormat="1" ht="15" hidden="1" customHeight="1" x14ac:dyDescent="0.35"/>
    <row r="140" s="144" customFormat="1" ht="15" hidden="1" customHeight="1" x14ac:dyDescent="0.35"/>
  </sheetData>
  <conditionalFormatting sqref="G76">
    <cfRule type="cellIs" dxfId="497" priority="11" operator="notEqual">
      <formula>$G$77</formula>
    </cfRule>
    <cfRule type="cellIs" dxfId="496" priority="12" operator="equal">
      <formula>$G$77</formula>
    </cfRule>
  </conditionalFormatting>
  <conditionalFormatting sqref="K9:K24">
    <cfRule type="cellIs" dxfId="495" priority="101" operator="notEqual">
      <formula>G9</formula>
    </cfRule>
    <cfRule type="cellIs" dxfId="494" priority="102" operator="equal">
      <formula>G9</formula>
    </cfRule>
  </conditionalFormatting>
  <conditionalFormatting sqref="K26:K41">
    <cfRule type="cellIs" dxfId="493" priority="69" operator="notEqual">
      <formula>G26</formula>
    </cfRule>
    <cfRule type="cellIs" dxfId="492" priority="70" operator="equal">
      <formula>G26</formula>
    </cfRule>
  </conditionalFormatting>
  <conditionalFormatting sqref="K43:K63">
    <cfRule type="cellIs" dxfId="491" priority="27" operator="notEqual">
      <formula>G43</formula>
    </cfRule>
    <cfRule type="cellIs" dxfId="490" priority="28" operator="equal">
      <formula>G43</formula>
    </cfRule>
  </conditionalFormatting>
  <conditionalFormatting sqref="K67:K69">
    <cfRule type="cellIs" dxfId="489" priority="21" operator="notEqual">
      <formula>G67</formula>
    </cfRule>
    <cfRule type="cellIs" dxfId="488" priority="22" operator="equal">
      <formula>G67</formula>
    </cfRule>
  </conditionalFormatting>
  <conditionalFormatting sqref="K71:K73">
    <cfRule type="cellIs" dxfId="487" priority="15" operator="notEqual">
      <formula>G71</formula>
    </cfRule>
    <cfRule type="cellIs" dxfId="486" priority="16" operator="equal">
      <formula>G71</formula>
    </cfRule>
  </conditionalFormatting>
  <conditionalFormatting sqref="K76">
    <cfRule type="cellIs" dxfId="485" priority="13" operator="notEqual">
      <formula>G76</formula>
    </cfRule>
    <cfRule type="cellIs" dxfId="484" priority="14" operator="equal">
      <formula>G76</formula>
    </cfRule>
  </conditionalFormatting>
  <dataValidations count="1">
    <dataValidation type="list" allowBlank="1" showInputMessage="1" showErrorMessage="1" sqref="H9:H75" xr:uid="{00000000-0002-0000-0800-000000000000}">
      <formula1>$H$80:$H$82</formula1>
    </dataValidation>
  </dataValidations>
  <pageMargins left="0.7" right="0.7" top="0.75" bottom="0.75" header="0.3" footer="0.3"/>
  <pageSetup scale="39" orientation="landscape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9" operator="notEqual" id="{07D574F1-9C18-498B-BCBF-29AACFDE3008}">
            <xm:f>'D:\Finance\Work\Reports &amp; Surveys\Cost Analysis\Cost Analysis - 2012-2013\Received from Colleges\Broward\Original\[2 Broward 2012-13 CA2 9-9-13 after Assignment and Workday Transfers.xlsx]CA2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10" operator="equal" id="{AA9706FD-55D5-44C7-BC59-98C180B7FB8D}">
            <xm:f>'D:\Finance\Work\Reports &amp; Surveys\Cost Analysis\Cost Analysis - 2012-2013\Received from Colleges\Broward\Original\[2 Broward 2012-13 CA2 9-9-13 after Assignment and Workday Transfers.xlsx]CA2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G8</xm:sqref>
        </x14:conditionalFormatting>
        <x14:conditionalFormatting xmlns:xm="http://schemas.microsoft.com/office/excel/2006/main">
          <x14:cfRule type="cellIs" priority="7" operator="notEqual" id="{EB7921F0-74D1-4665-A491-3474B658D13A}">
            <xm:f>'D:\Finance\Work\Reports &amp; Surveys\Cost Analysis\Cost Analysis - 2012-2013\Received from Colleges\Broward\Original\[2 Broward 2012-13 CA2 9-9-13 after Assignment and Workday Transfers.xlsx]CA2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8" operator="equal" id="{B2CABE40-8E06-4BE8-B273-374EC44FA4B3}">
            <xm:f>'D:\Finance\Work\Reports &amp; Surveys\Cost Analysis\Cost Analysis - 2012-2013\Received from Colleges\Broward\Original\[2 Broward 2012-13 CA2 9-9-13 after Assignment and Workday Transfers.xlsx]CA2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G25</xm:sqref>
        </x14:conditionalFormatting>
        <x14:conditionalFormatting xmlns:xm="http://schemas.microsoft.com/office/excel/2006/main">
          <x14:cfRule type="cellIs" priority="5" operator="notEqual" id="{CF089B73-050C-4E95-801F-ABF50CAAA699}">
            <xm:f>'D:\Finance\Work\Reports &amp; Surveys\Cost Analysis\Cost Analysis - 2012-2013\Received from Colleges\Broward\Original\[2 Broward 2012-13 CA2 9-9-13 after Assignment and Workday Transfers.xlsx]CA2 Detail'!#REF!+'D:\Finance\Work\Reports &amp; Surveys\Cost Analysis\Cost Analysis - 2012-2013\Received from Colleges\Broward\Original\[2 Broward 2012-13 CA2 9-9-13 after Assignment and Workday Transfers.xlsx]CA2 Detail'!#REF!+'D:\Finance\Work\Reports &amp; Surveys\Cost Analysis\Cost Analysis - 2012-2013\Received from Colleges\Broward\Original\[2 Broward 2012-13 CA2 9-9-13 after Assignment and Workday Transfers.xlsx]CA2 Detail'!#REF!+'D:\Finance\Work\Reports &amp; Surveys\Cost Analysis\Cost Analysis - 2012-2013\Received from Colleges\Broward\Original\[2 Broward 2012-13 CA2 9-9-13 after Assignment and Workday Transfers.xlsx]CA2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6" operator="equal" id="{B478CD44-8732-478A-BC7A-1EA82810BB1E}">
            <xm:f>'D:\Finance\Work\Reports &amp; Surveys\Cost Analysis\Cost Analysis - 2012-2013\Received from Colleges\Broward\Original\[2 Broward 2012-13 CA2 9-9-13 after Assignment and Workday Transfers.xlsx]CA2 Detail'!#REF!+'D:\Finance\Work\Reports &amp; Surveys\Cost Analysis\Cost Analysis - 2012-2013\Received from Colleges\Broward\Original\[2 Broward 2012-13 CA2 9-9-13 after Assignment and Workday Transfers.xlsx]CA2 Detail'!#REF!+'D:\Finance\Work\Reports &amp; Surveys\Cost Analysis\Cost Analysis - 2012-2013\Received from Colleges\Broward\Original\[2 Broward 2012-13 CA2 9-9-13 after Assignment and Workday Transfers.xlsx]CA2 Detail'!#REF!+'D:\Finance\Work\Reports &amp; Surveys\Cost Analysis\Cost Analysis - 2012-2013\Received from Colleges\Broward\Original\[2 Broward 2012-13 CA2 9-9-13 after Assignment and Workday Transfers.xlsx]CA2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G42</xm:sqref>
        </x14:conditionalFormatting>
        <x14:conditionalFormatting xmlns:xm="http://schemas.microsoft.com/office/excel/2006/main">
          <x14:cfRule type="cellIs" priority="3" operator="notEqual" id="{DF100573-C40E-4F7F-8000-41C1DA2B8057}">
            <xm:f>'D:\Finance\Work\Reports &amp; Surveys\Cost Analysis\Cost Analysis - 2012-2013\Received from Colleges\Broward\Original\[2 Broward 2012-13 CA2 9-9-13 after Assignment and Workday Transfers.xlsx]CA2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4" operator="equal" id="{10D573B0-8F25-4BF3-99F1-329A961EC477}">
            <xm:f>'D:\Finance\Work\Reports &amp; Surveys\Cost Analysis\Cost Analysis - 2012-2013\Received from Colleges\Broward\Original\[2 Broward 2012-13 CA2 9-9-13 after Assignment and Workday Transfers.xlsx]CA2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G66</xm:sqref>
        </x14:conditionalFormatting>
        <x14:conditionalFormatting xmlns:xm="http://schemas.microsoft.com/office/excel/2006/main">
          <x14:cfRule type="cellIs" priority="1" operator="notEqual" id="{73050FFE-19CB-4280-A2AC-F2D465F5F26A}">
            <xm:f>'D:\Finance\Work\Reports &amp; Surveys\Cost Analysis\Cost Analysis - 2012-2013\Received from Colleges\Broward\Original\[2 Broward 2012-13 CA2 9-9-13 after Assignment and Workday Transfers.xlsx]CA2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2" operator="equal" id="{FD71AF63-7E1B-4599-93A8-ADE0D1A6B683}">
            <xm:f>'D:\Finance\Work\Reports &amp; Surveys\Cost Analysis\Cost Analysis - 2012-2013\Received from Colleges\Broward\Original\[2 Broward 2012-13 CA2 9-9-13 after Assignment and Workday Transfers.xlsx]CA2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G70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00B0F0"/>
    <pageSetUpPr fitToPage="1"/>
  </sheetPr>
  <dimension ref="A1:L140"/>
  <sheetViews>
    <sheetView topLeftCell="H1" workbookViewId="0">
      <selection activeCell="L6" sqref="L6"/>
    </sheetView>
  </sheetViews>
  <sheetFormatPr defaultRowHeight="14.5" x14ac:dyDescent="0.35"/>
  <cols>
    <col min="1" max="2" width="2.81640625" customWidth="1"/>
    <col min="3" max="3" width="10.453125" style="26" bestFit="1" customWidth="1"/>
    <col min="4" max="5" width="2.81640625" customWidth="1"/>
    <col min="6" max="6" width="80.7265625" bestFit="1" customWidth="1"/>
    <col min="7" max="7" width="27.81640625" customWidth="1"/>
    <col min="8" max="8" width="15.26953125" bestFit="1" customWidth="1"/>
    <col min="9" max="9" width="27.26953125" customWidth="1"/>
    <col min="10" max="10" width="26.81640625" customWidth="1"/>
    <col min="11" max="11" width="25.81640625" customWidth="1"/>
    <col min="12" max="12" width="82.54296875" customWidth="1"/>
  </cols>
  <sheetData>
    <row r="1" spans="1:12" x14ac:dyDescent="0.35">
      <c r="A1" s="134"/>
      <c r="B1" s="7"/>
      <c r="C1" s="7"/>
      <c r="D1" s="7"/>
      <c r="E1" s="7"/>
      <c r="F1" s="7"/>
      <c r="G1" s="7"/>
      <c r="H1" s="7"/>
      <c r="I1" s="7" t="s">
        <v>0</v>
      </c>
      <c r="J1" s="7"/>
      <c r="K1" s="7"/>
      <c r="L1" s="7"/>
    </row>
    <row r="2" spans="1:12" x14ac:dyDescent="0.35">
      <c r="A2" s="135"/>
      <c r="B2" s="7"/>
      <c r="C2" s="7"/>
      <c r="D2" s="7"/>
      <c r="E2" s="7"/>
      <c r="F2" s="7"/>
      <c r="G2" s="7"/>
      <c r="H2" s="7"/>
      <c r="I2" s="7" t="s">
        <v>197</v>
      </c>
      <c r="J2" s="7"/>
      <c r="K2" s="7"/>
      <c r="L2" s="7"/>
    </row>
    <row r="3" spans="1:12" x14ac:dyDescent="0.35">
      <c r="A3" s="136" t="s">
        <v>198</v>
      </c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</row>
    <row r="4" spans="1:12" ht="19.5" customHeight="1" x14ac:dyDescent="0.35">
      <c r="A4" s="137" t="s">
        <v>149</v>
      </c>
      <c r="C4"/>
    </row>
    <row r="5" spans="1:12" x14ac:dyDescent="0.35">
      <c r="C5"/>
    </row>
    <row r="6" spans="1:12" s="7" customFormat="1" x14ac:dyDescent="0.35">
      <c r="A6" s="3" t="s">
        <v>2</v>
      </c>
      <c r="B6" s="4"/>
      <c r="C6" s="4"/>
      <c r="D6" s="3" t="s">
        <v>3</v>
      </c>
      <c r="E6" s="4"/>
      <c r="F6" s="4"/>
      <c r="G6" s="5" t="s">
        <v>274</v>
      </c>
      <c r="H6" s="6" t="s">
        <v>4</v>
      </c>
      <c r="I6" s="6" t="s">
        <v>5</v>
      </c>
      <c r="J6" s="6" t="s">
        <v>6</v>
      </c>
      <c r="K6" s="6" t="s">
        <v>7</v>
      </c>
      <c r="L6" s="6" t="s">
        <v>199</v>
      </c>
    </row>
    <row r="7" spans="1:12" x14ac:dyDescent="0.35">
      <c r="A7" s="8" t="s">
        <v>9</v>
      </c>
      <c r="B7" s="9"/>
      <c r="C7" s="10"/>
      <c r="D7" s="11" t="s">
        <v>10</v>
      </c>
      <c r="E7" s="10"/>
      <c r="F7" s="10"/>
      <c r="G7" s="12"/>
      <c r="H7" s="9"/>
      <c r="I7" s="12"/>
      <c r="J7" s="12"/>
      <c r="K7" s="12"/>
      <c r="L7" s="11"/>
    </row>
    <row r="8" spans="1:12" x14ac:dyDescent="0.35">
      <c r="A8" s="8"/>
      <c r="B8" s="9" t="s">
        <v>11</v>
      </c>
      <c r="C8" s="10"/>
      <c r="D8" s="13"/>
      <c r="E8" s="9" t="s">
        <v>12</v>
      </c>
      <c r="F8" s="10"/>
      <c r="G8" s="69">
        <v>3644398</v>
      </c>
      <c r="H8" s="9"/>
      <c r="I8" s="69">
        <v>745112</v>
      </c>
      <c r="J8" s="69">
        <v>2899286</v>
      </c>
      <c r="K8" s="69"/>
      <c r="L8" s="14"/>
    </row>
    <row r="9" spans="1:12" x14ac:dyDescent="0.35">
      <c r="A9" s="8"/>
      <c r="B9" s="9"/>
      <c r="C9" s="10" t="s">
        <v>13</v>
      </c>
      <c r="D9" s="13"/>
      <c r="E9" s="10"/>
      <c r="F9" s="9" t="s">
        <v>14</v>
      </c>
      <c r="G9" s="70"/>
      <c r="H9" s="16"/>
      <c r="I9" s="70"/>
      <c r="J9" s="70"/>
      <c r="K9" s="69">
        <v>0</v>
      </c>
      <c r="L9" s="17"/>
    </row>
    <row r="10" spans="1:12" x14ac:dyDescent="0.35">
      <c r="A10" s="8"/>
      <c r="B10" s="9"/>
      <c r="C10" s="10" t="s">
        <v>16</v>
      </c>
      <c r="D10" s="13"/>
      <c r="E10" s="10"/>
      <c r="F10" s="9" t="s">
        <v>17</v>
      </c>
      <c r="G10" s="70">
        <v>17021</v>
      </c>
      <c r="H10" s="16" t="s">
        <v>225</v>
      </c>
      <c r="I10" s="70">
        <v>17021</v>
      </c>
      <c r="J10" s="70"/>
      <c r="K10" s="69">
        <v>17021</v>
      </c>
      <c r="L10" s="17"/>
    </row>
    <row r="11" spans="1:12" x14ac:dyDescent="0.35">
      <c r="A11" s="8"/>
      <c r="B11" s="9"/>
      <c r="C11" s="10" t="s">
        <v>18</v>
      </c>
      <c r="D11" s="13"/>
      <c r="E11" s="10"/>
      <c r="F11" s="9" t="s">
        <v>19</v>
      </c>
      <c r="G11" s="70">
        <v>552898</v>
      </c>
      <c r="H11" s="16" t="s">
        <v>15</v>
      </c>
      <c r="I11" s="70">
        <v>552898</v>
      </c>
      <c r="J11" s="70">
        <v>0</v>
      </c>
      <c r="K11" s="69">
        <v>552898</v>
      </c>
      <c r="L11" s="17"/>
    </row>
    <row r="12" spans="1:12" x14ac:dyDescent="0.35">
      <c r="A12" s="8"/>
      <c r="B12" s="9"/>
      <c r="C12" s="10" t="s">
        <v>20</v>
      </c>
      <c r="D12" s="13"/>
      <c r="E12" s="10"/>
      <c r="F12" s="9" t="s">
        <v>21</v>
      </c>
      <c r="G12" s="70"/>
      <c r="H12" s="16"/>
      <c r="I12" s="70"/>
      <c r="J12" s="70"/>
      <c r="K12" s="69">
        <v>0</v>
      </c>
      <c r="L12" s="17"/>
    </row>
    <row r="13" spans="1:12" x14ac:dyDescent="0.35">
      <c r="A13" s="8"/>
      <c r="B13" s="9"/>
      <c r="C13" s="10" t="s">
        <v>22</v>
      </c>
      <c r="D13" s="13"/>
      <c r="E13" s="10"/>
      <c r="F13" s="9" t="s">
        <v>23</v>
      </c>
      <c r="G13" s="70">
        <v>2728128</v>
      </c>
      <c r="H13" s="16" t="s">
        <v>59</v>
      </c>
      <c r="I13" s="70">
        <v>29109</v>
      </c>
      <c r="J13" s="70">
        <v>2699019</v>
      </c>
      <c r="K13" s="69">
        <v>2728128</v>
      </c>
      <c r="L13" s="93"/>
    </row>
    <row r="14" spans="1:12" x14ac:dyDescent="0.35">
      <c r="A14" s="8"/>
      <c r="B14" s="9"/>
      <c r="C14" s="10" t="s">
        <v>25</v>
      </c>
      <c r="D14" s="13"/>
      <c r="E14" s="10"/>
      <c r="F14" s="9" t="s">
        <v>26</v>
      </c>
      <c r="G14" s="70"/>
      <c r="H14" s="16"/>
      <c r="I14" s="70"/>
      <c r="J14" s="70"/>
      <c r="K14" s="69">
        <v>0</v>
      </c>
      <c r="L14" s="17"/>
    </row>
    <row r="15" spans="1:12" x14ac:dyDescent="0.35">
      <c r="A15" s="8"/>
      <c r="B15" s="9"/>
      <c r="C15" s="10" t="s">
        <v>27</v>
      </c>
      <c r="D15" s="13"/>
      <c r="E15" s="10"/>
      <c r="F15" s="9" t="s">
        <v>28</v>
      </c>
      <c r="G15" s="70"/>
      <c r="H15" s="16"/>
      <c r="I15" s="70"/>
      <c r="J15" s="70"/>
      <c r="K15" s="69">
        <v>0</v>
      </c>
      <c r="L15" s="17"/>
    </row>
    <row r="16" spans="1:12" x14ac:dyDescent="0.35">
      <c r="A16" s="8"/>
      <c r="B16" s="9"/>
      <c r="C16" s="10" t="s">
        <v>29</v>
      </c>
      <c r="D16" s="13"/>
      <c r="E16" s="10"/>
      <c r="F16" s="9" t="s">
        <v>30</v>
      </c>
      <c r="G16" s="70"/>
      <c r="H16" s="16"/>
      <c r="I16" s="70"/>
      <c r="J16" s="70"/>
      <c r="K16" s="69">
        <v>0</v>
      </c>
      <c r="L16" s="17"/>
    </row>
    <row r="17" spans="1:12" x14ac:dyDescent="0.35">
      <c r="A17" s="8"/>
      <c r="B17" s="9"/>
      <c r="C17" s="10" t="s">
        <v>31</v>
      </c>
      <c r="D17" s="13"/>
      <c r="E17" s="10"/>
      <c r="F17" s="9" t="s">
        <v>32</v>
      </c>
      <c r="G17" s="70"/>
      <c r="H17" s="16"/>
      <c r="I17" s="70"/>
      <c r="J17" s="70"/>
      <c r="K17" s="69">
        <v>0</v>
      </c>
      <c r="L17" s="17"/>
    </row>
    <row r="18" spans="1:12" x14ac:dyDescent="0.35">
      <c r="A18" s="8"/>
      <c r="B18" s="9"/>
      <c r="C18" s="10" t="s">
        <v>33</v>
      </c>
      <c r="D18" s="13"/>
      <c r="E18" s="10"/>
      <c r="F18" s="9" t="s">
        <v>34</v>
      </c>
      <c r="G18" s="70">
        <v>200267</v>
      </c>
      <c r="H18" s="16" t="s">
        <v>226</v>
      </c>
      <c r="I18" s="70"/>
      <c r="J18" s="70">
        <v>200267</v>
      </c>
      <c r="K18" s="69">
        <v>200267</v>
      </c>
      <c r="L18" s="93"/>
    </row>
    <row r="19" spans="1:12" x14ac:dyDescent="0.35">
      <c r="A19" s="8"/>
      <c r="B19" s="9"/>
      <c r="C19" s="10" t="s">
        <v>35</v>
      </c>
      <c r="D19" s="13"/>
      <c r="E19" s="10"/>
      <c r="F19" s="9" t="s">
        <v>36</v>
      </c>
      <c r="G19" s="71"/>
      <c r="H19" s="16"/>
      <c r="I19" s="71"/>
      <c r="J19" s="71"/>
      <c r="K19" s="69">
        <v>0</v>
      </c>
      <c r="L19" s="17"/>
    </row>
    <row r="20" spans="1:12" x14ac:dyDescent="0.35">
      <c r="A20" s="8"/>
      <c r="B20" s="9"/>
      <c r="C20" s="10" t="s">
        <v>37</v>
      </c>
      <c r="D20" s="13"/>
      <c r="E20" s="10"/>
      <c r="F20" s="9" t="s">
        <v>38</v>
      </c>
      <c r="G20" s="70">
        <v>146084</v>
      </c>
      <c r="H20" s="16" t="s">
        <v>225</v>
      </c>
      <c r="I20" s="70">
        <v>146084</v>
      </c>
      <c r="J20" s="70"/>
      <c r="K20" s="69">
        <v>146084</v>
      </c>
      <c r="L20" s="17"/>
    </row>
    <row r="21" spans="1:12" x14ac:dyDescent="0.35">
      <c r="A21" s="8"/>
      <c r="B21" s="9"/>
      <c r="C21" s="10" t="s">
        <v>39</v>
      </c>
      <c r="D21" s="13"/>
      <c r="E21" s="10"/>
      <c r="F21" s="9" t="s">
        <v>40</v>
      </c>
      <c r="G21" s="70"/>
      <c r="H21" s="16"/>
      <c r="I21" s="70"/>
      <c r="J21" s="70"/>
      <c r="K21" s="69">
        <v>0</v>
      </c>
      <c r="L21" s="17"/>
    </row>
    <row r="22" spans="1:12" x14ac:dyDescent="0.35">
      <c r="A22" s="8"/>
      <c r="B22" s="9"/>
      <c r="C22" s="10" t="s">
        <v>41</v>
      </c>
      <c r="D22" s="13"/>
      <c r="E22" s="10"/>
      <c r="F22" s="9" t="s">
        <v>42</v>
      </c>
      <c r="G22" s="70"/>
      <c r="H22" s="16"/>
      <c r="I22" s="70"/>
      <c r="J22" s="70"/>
      <c r="K22" s="69">
        <v>0</v>
      </c>
      <c r="L22" s="17"/>
    </row>
    <row r="23" spans="1:12" x14ac:dyDescent="0.35">
      <c r="A23" s="8"/>
      <c r="B23" s="9"/>
      <c r="C23" s="10" t="s">
        <v>43</v>
      </c>
      <c r="D23" s="13"/>
      <c r="E23" s="10"/>
      <c r="F23" s="9" t="s">
        <v>44</v>
      </c>
      <c r="G23" s="70"/>
      <c r="H23" s="16"/>
      <c r="I23" s="70"/>
      <c r="J23" s="70"/>
      <c r="K23" s="69">
        <v>0</v>
      </c>
      <c r="L23" s="17"/>
    </row>
    <row r="24" spans="1:12" x14ac:dyDescent="0.35">
      <c r="A24" s="9"/>
      <c r="B24" s="9"/>
      <c r="C24" s="19" t="s">
        <v>45</v>
      </c>
      <c r="D24" s="13"/>
      <c r="E24" s="19"/>
      <c r="F24" s="9" t="s">
        <v>46</v>
      </c>
      <c r="G24" s="72"/>
      <c r="H24" s="16"/>
      <c r="I24" s="72"/>
      <c r="J24" s="72"/>
      <c r="K24" s="69">
        <v>0</v>
      </c>
      <c r="L24" s="17"/>
    </row>
    <row r="25" spans="1:12" x14ac:dyDescent="0.35">
      <c r="A25" s="8"/>
      <c r="B25" s="9" t="s">
        <v>47</v>
      </c>
      <c r="C25" s="10"/>
      <c r="D25" s="13"/>
      <c r="E25" s="9" t="s">
        <v>48</v>
      </c>
      <c r="F25" s="10"/>
      <c r="G25" s="69">
        <v>802067</v>
      </c>
      <c r="H25" s="9"/>
      <c r="I25" s="69">
        <v>665123</v>
      </c>
      <c r="J25" s="69">
        <v>136944</v>
      </c>
      <c r="K25" s="69"/>
      <c r="L25" s="14"/>
    </row>
    <row r="26" spans="1:12" x14ac:dyDescent="0.35">
      <c r="A26" s="8"/>
      <c r="B26" s="9"/>
      <c r="C26" s="10" t="s">
        <v>49</v>
      </c>
      <c r="D26" s="13"/>
      <c r="E26" s="10"/>
      <c r="F26" s="9" t="s">
        <v>50</v>
      </c>
      <c r="G26" s="70"/>
      <c r="H26" s="16"/>
      <c r="I26" s="70"/>
      <c r="J26" s="70"/>
      <c r="K26" s="69">
        <v>0</v>
      </c>
      <c r="L26" s="17"/>
    </row>
    <row r="27" spans="1:12" x14ac:dyDescent="0.35">
      <c r="A27" s="8"/>
      <c r="B27" s="9"/>
      <c r="C27" s="10" t="s">
        <v>51</v>
      </c>
      <c r="D27" s="13"/>
      <c r="E27" s="10"/>
      <c r="F27" s="9" t="s">
        <v>52</v>
      </c>
      <c r="G27" s="70"/>
      <c r="H27" s="16"/>
      <c r="I27" s="70"/>
      <c r="J27" s="70"/>
      <c r="K27" s="69">
        <v>0</v>
      </c>
      <c r="L27" s="17"/>
    </row>
    <row r="28" spans="1:12" x14ac:dyDescent="0.35">
      <c r="A28" s="8"/>
      <c r="B28" s="9"/>
      <c r="C28" s="10" t="s">
        <v>53</v>
      </c>
      <c r="D28" s="13"/>
      <c r="E28" s="10"/>
      <c r="F28" s="9" t="s">
        <v>54</v>
      </c>
      <c r="G28" s="70"/>
      <c r="H28" s="16"/>
      <c r="I28" s="70"/>
      <c r="J28" s="70"/>
      <c r="K28" s="69">
        <v>0</v>
      </c>
      <c r="L28" s="17"/>
    </row>
    <row r="29" spans="1:12" x14ac:dyDescent="0.35">
      <c r="A29" s="8"/>
      <c r="B29" s="9"/>
      <c r="C29" s="10" t="s">
        <v>55</v>
      </c>
      <c r="D29" s="13"/>
      <c r="E29" s="10"/>
      <c r="F29" s="9" t="s">
        <v>56</v>
      </c>
      <c r="G29" s="70"/>
      <c r="H29" s="16"/>
      <c r="I29" s="70"/>
      <c r="J29" s="70"/>
      <c r="K29" s="69">
        <v>0</v>
      </c>
      <c r="L29" s="17"/>
    </row>
    <row r="30" spans="1:12" x14ac:dyDescent="0.35">
      <c r="A30" s="8"/>
      <c r="B30" s="9"/>
      <c r="C30" s="10" t="s">
        <v>57</v>
      </c>
      <c r="D30" s="13"/>
      <c r="E30" s="10"/>
      <c r="F30" s="9" t="s">
        <v>58</v>
      </c>
      <c r="G30" s="70">
        <v>665123</v>
      </c>
      <c r="H30" s="16" t="s">
        <v>225</v>
      </c>
      <c r="I30" s="70">
        <v>665123</v>
      </c>
      <c r="J30" s="70"/>
      <c r="K30" s="69">
        <v>665123</v>
      </c>
      <c r="L30" s="17"/>
    </row>
    <row r="31" spans="1:12" x14ac:dyDescent="0.35">
      <c r="A31" s="8"/>
      <c r="B31" s="9"/>
      <c r="C31" s="10" t="s">
        <v>60</v>
      </c>
      <c r="D31" s="13"/>
      <c r="E31" s="10"/>
      <c r="F31" s="9" t="s">
        <v>61</v>
      </c>
      <c r="G31" s="70"/>
      <c r="H31" s="16"/>
      <c r="I31" s="70"/>
      <c r="J31" s="70"/>
      <c r="K31" s="69">
        <v>0</v>
      </c>
      <c r="L31" s="17"/>
    </row>
    <row r="32" spans="1:12" x14ac:dyDescent="0.35">
      <c r="A32" s="8"/>
      <c r="B32" s="9"/>
      <c r="C32" s="10" t="s">
        <v>62</v>
      </c>
      <c r="D32" s="13"/>
      <c r="E32" s="10"/>
      <c r="F32" s="9" t="s">
        <v>63</v>
      </c>
      <c r="G32" s="70"/>
      <c r="H32" s="16"/>
      <c r="I32" s="70"/>
      <c r="J32" s="70"/>
      <c r="K32" s="69">
        <v>0</v>
      </c>
      <c r="L32" s="17"/>
    </row>
    <row r="33" spans="1:12" x14ac:dyDescent="0.35">
      <c r="A33" s="9"/>
      <c r="B33" s="9"/>
      <c r="C33" s="10" t="s">
        <v>64</v>
      </c>
      <c r="D33" s="9"/>
      <c r="E33" s="10"/>
      <c r="F33" s="9" t="s">
        <v>65</v>
      </c>
      <c r="G33" s="70"/>
      <c r="H33" s="16"/>
      <c r="I33" s="70"/>
      <c r="J33" s="70"/>
      <c r="K33" s="69">
        <v>0</v>
      </c>
      <c r="L33" s="17"/>
    </row>
    <row r="34" spans="1:12" x14ac:dyDescent="0.35">
      <c r="A34" s="9"/>
      <c r="B34" s="9"/>
      <c r="C34" s="10" t="s">
        <v>66</v>
      </c>
      <c r="D34" s="9"/>
      <c r="E34" s="9"/>
      <c r="F34" s="9" t="s">
        <v>67</v>
      </c>
      <c r="G34" s="70"/>
      <c r="H34" s="16"/>
      <c r="I34" s="70"/>
      <c r="J34" s="70"/>
      <c r="K34" s="69">
        <v>0</v>
      </c>
      <c r="L34" s="17"/>
    </row>
    <row r="35" spans="1:12" x14ac:dyDescent="0.35">
      <c r="A35" s="9"/>
      <c r="B35" s="9"/>
      <c r="C35" s="10" t="s">
        <v>68</v>
      </c>
      <c r="D35" s="9"/>
      <c r="E35" s="10"/>
      <c r="F35" s="9" t="s">
        <v>69</v>
      </c>
      <c r="G35" s="70"/>
      <c r="H35" s="16"/>
      <c r="I35" s="70"/>
      <c r="J35" s="70"/>
      <c r="K35" s="69">
        <v>0</v>
      </c>
      <c r="L35" s="17"/>
    </row>
    <row r="36" spans="1:12" x14ac:dyDescent="0.35">
      <c r="A36" s="9"/>
      <c r="B36" s="9"/>
      <c r="C36" s="10" t="s">
        <v>70</v>
      </c>
      <c r="D36" s="9"/>
      <c r="E36" s="9"/>
      <c r="F36" s="9" t="s">
        <v>71</v>
      </c>
      <c r="G36" s="70"/>
      <c r="H36" s="16"/>
      <c r="I36" s="70"/>
      <c r="J36" s="70"/>
      <c r="K36" s="69">
        <v>0</v>
      </c>
      <c r="L36" s="17"/>
    </row>
    <row r="37" spans="1:12" x14ac:dyDescent="0.35">
      <c r="A37" s="9"/>
      <c r="B37" s="9"/>
      <c r="C37" s="10" t="s">
        <v>72</v>
      </c>
      <c r="D37" s="9"/>
      <c r="E37" s="21"/>
      <c r="F37" s="9" t="s">
        <v>73</v>
      </c>
      <c r="G37" s="70"/>
      <c r="H37" s="16"/>
      <c r="I37" s="70"/>
      <c r="J37" s="70"/>
      <c r="K37" s="69">
        <v>0</v>
      </c>
      <c r="L37" s="17"/>
    </row>
    <row r="38" spans="1:12" x14ac:dyDescent="0.35">
      <c r="A38" s="9"/>
      <c r="B38" s="9"/>
      <c r="C38" s="10" t="s">
        <v>74</v>
      </c>
      <c r="D38" s="9"/>
      <c r="E38" s="9"/>
      <c r="F38" s="9" t="s">
        <v>75</v>
      </c>
      <c r="G38" s="70"/>
      <c r="H38" s="16"/>
      <c r="I38" s="70"/>
      <c r="J38" s="70"/>
      <c r="K38" s="69">
        <v>0</v>
      </c>
      <c r="L38" s="17"/>
    </row>
    <row r="39" spans="1:12" x14ac:dyDescent="0.35">
      <c r="A39" s="9"/>
      <c r="B39" s="9"/>
      <c r="C39" s="10" t="s">
        <v>76</v>
      </c>
      <c r="D39" s="9"/>
      <c r="E39" s="9"/>
      <c r="F39" s="9" t="s">
        <v>77</v>
      </c>
      <c r="G39" s="70">
        <v>136944</v>
      </c>
      <c r="H39" s="16" t="s">
        <v>226</v>
      </c>
      <c r="I39" s="70"/>
      <c r="J39" s="70">
        <v>136944</v>
      </c>
      <c r="K39" s="69">
        <v>136944</v>
      </c>
      <c r="L39" s="17"/>
    </row>
    <row r="40" spans="1:12" x14ac:dyDescent="0.35">
      <c r="A40" s="9"/>
      <c r="B40" s="9"/>
      <c r="C40" s="10" t="s">
        <v>78</v>
      </c>
      <c r="D40" s="9"/>
      <c r="E40" s="9"/>
      <c r="F40" s="9" t="s">
        <v>79</v>
      </c>
      <c r="G40" s="70"/>
      <c r="H40" s="16"/>
      <c r="I40" s="70"/>
      <c r="J40" s="70"/>
      <c r="K40" s="69">
        <v>0</v>
      </c>
      <c r="L40" s="17"/>
    </row>
    <row r="41" spans="1:12" x14ac:dyDescent="0.35">
      <c r="A41" s="9"/>
      <c r="B41" s="9"/>
      <c r="C41" s="10" t="s">
        <v>80</v>
      </c>
      <c r="D41" s="9"/>
      <c r="E41" s="9"/>
      <c r="F41" s="9" t="s">
        <v>81</v>
      </c>
      <c r="G41" s="70"/>
      <c r="H41" s="16"/>
      <c r="I41" s="70"/>
      <c r="J41" s="70"/>
      <c r="K41" s="69">
        <v>0</v>
      </c>
      <c r="L41" s="17"/>
    </row>
    <row r="42" spans="1:12" x14ac:dyDescent="0.35">
      <c r="A42" s="9"/>
      <c r="B42" s="9" t="s">
        <v>82</v>
      </c>
      <c r="C42" s="10"/>
      <c r="D42" s="9"/>
      <c r="E42" s="9" t="s">
        <v>83</v>
      </c>
      <c r="F42" s="9"/>
      <c r="G42" s="69">
        <v>10715094</v>
      </c>
      <c r="H42" s="9"/>
      <c r="I42" s="69">
        <v>555427</v>
      </c>
      <c r="J42" s="69">
        <v>10159667</v>
      </c>
      <c r="K42" s="69"/>
      <c r="L42" s="14"/>
    </row>
    <row r="43" spans="1:12" x14ac:dyDescent="0.35">
      <c r="A43" s="9"/>
      <c r="B43" s="9"/>
      <c r="C43" s="10" t="s">
        <v>84</v>
      </c>
      <c r="D43" s="9"/>
      <c r="E43" s="9"/>
      <c r="F43" s="9" t="s">
        <v>85</v>
      </c>
      <c r="G43" s="70">
        <v>1364831</v>
      </c>
      <c r="H43" s="16" t="s">
        <v>226</v>
      </c>
      <c r="I43" s="70"/>
      <c r="J43" s="70">
        <v>1364831</v>
      </c>
      <c r="K43" s="69">
        <v>1364831</v>
      </c>
      <c r="L43" s="17"/>
    </row>
    <row r="44" spans="1:12" x14ac:dyDescent="0.35">
      <c r="A44" s="9"/>
      <c r="B44" s="9"/>
      <c r="C44" s="10" t="s">
        <v>86</v>
      </c>
      <c r="D44" s="9"/>
      <c r="E44" s="9"/>
      <c r="F44" s="9" t="s">
        <v>87</v>
      </c>
      <c r="G44" s="70"/>
      <c r="H44" s="16"/>
      <c r="I44" s="70"/>
      <c r="J44" s="70"/>
      <c r="K44" s="69">
        <v>0</v>
      </c>
      <c r="L44" s="17"/>
    </row>
    <row r="45" spans="1:12" x14ac:dyDescent="0.35">
      <c r="A45" s="9"/>
      <c r="B45" s="9"/>
      <c r="C45" s="10" t="s">
        <v>88</v>
      </c>
      <c r="D45" s="9"/>
      <c r="E45" s="9"/>
      <c r="F45" s="9" t="s">
        <v>89</v>
      </c>
      <c r="G45" s="70"/>
      <c r="H45" s="16"/>
      <c r="I45" s="70"/>
      <c r="J45" s="70"/>
      <c r="K45" s="69">
        <v>0</v>
      </c>
      <c r="L45" s="17"/>
    </row>
    <row r="46" spans="1:12" x14ac:dyDescent="0.35">
      <c r="A46" s="9"/>
      <c r="B46" s="9"/>
      <c r="C46" s="10" t="s">
        <v>90</v>
      </c>
      <c r="D46" s="9"/>
      <c r="E46" s="9"/>
      <c r="F46" s="9" t="s">
        <v>91</v>
      </c>
      <c r="G46" s="70"/>
      <c r="H46" s="16"/>
      <c r="I46" s="70"/>
      <c r="J46" s="70"/>
      <c r="K46" s="69">
        <v>0</v>
      </c>
      <c r="L46" s="17"/>
    </row>
    <row r="47" spans="1:12" x14ac:dyDescent="0.35">
      <c r="A47" s="9"/>
      <c r="B47" s="9"/>
      <c r="C47" s="10" t="s">
        <v>92</v>
      </c>
      <c r="D47" s="9"/>
      <c r="E47" s="9"/>
      <c r="F47" s="9" t="s">
        <v>93</v>
      </c>
      <c r="G47" s="70">
        <v>785868</v>
      </c>
      <c r="H47" s="16" t="s">
        <v>59</v>
      </c>
      <c r="I47" s="70">
        <v>389286</v>
      </c>
      <c r="J47" s="70">
        <v>396582</v>
      </c>
      <c r="K47" s="69">
        <v>785868</v>
      </c>
      <c r="L47" s="17"/>
    </row>
    <row r="48" spans="1:12" x14ac:dyDescent="0.35">
      <c r="A48" s="9"/>
      <c r="B48" s="9"/>
      <c r="C48" s="10" t="s">
        <v>94</v>
      </c>
      <c r="D48" s="9"/>
      <c r="E48" s="9"/>
      <c r="F48" s="9" t="s">
        <v>95</v>
      </c>
      <c r="G48" s="70"/>
      <c r="H48" s="16"/>
      <c r="I48" s="70"/>
      <c r="J48" s="70"/>
      <c r="K48" s="69">
        <v>0</v>
      </c>
      <c r="L48" s="17"/>
    </row>
    <row r="49" spans="1:12" x14ac:dyDescent="0.35">
      <c r="A49" s="9"/>
      <c r="B49" s="9"/>
      <c r="C49" s="10" t="s">
        <v>96</v>
      </c>
      <c r="D49" s="9"/>
      <c r="E49" s="9"/>
      <c r="F49" s="9" t="s">
        <v>97</v>
      </c>
      <c r="G49" s="70">
        <v>166141</v>
      </c>
      <c r="H49" s="16" t="s">
        <v>225</v>
      </c>
      <c r="I49" s="70">
        <v>166141</v>
      </c>
      <c r="J49" s="70"/>
      <c r="K49" s="69">
        <v>166141</v>
      </c>
      <c r="L49" s="17"/>
    </row>
    <row r="50" spans="1:12" x14ac:dyDescent="0.35">
      <c r="A50" s="9"/>
      <c r="B50" s="9"/>
      <c r="C50" s="10" t="s">
        <v>98</v>
      </c>
      <c r="D50" s="9"/>
      <c r="E50" s="9"/>
      <c r="F50" s="9" t="s">
        <v>99</v>
      </c>
      <c r="G50" s="70">
        <v>211905</v>
      </c>
      <c r="H50" s="16" t="s">
        <v>226</v>
      </c>
      <c r="I50" s="70"/>
      <c r="J50" s="70">
        <v>211905</v>
      </c>
      <c r="K50" s="69">
        <v>211905</v>
      </c>
      <c r="L50" s="17"/>
    </row>
    <row r="51" spans="1:12" x14ac:dyDescent="0.35">
      <c r="A51" s="9"/>
      <c r="B51" s="9"/>
      <c r="C51" s="10" t="s">
        <v>100</v>
      </c>
      <c r="D51" s="9"/>
      <c r="E51" s="9"/>
      <c r="F51" s="9" t="s">
        <v>101</v>
      </c>
      <c r="G51" s="70"/>
      <c r="H51" s="16"/>
      <c r="I51" s="70"/>
      <c r="J51" s="70"/>
      <c r="K51" s="69">
        <v>0</v>
      </c>
      <c r="L51" s="17"/>
    </row>
    <row r="52" spans="1:12" x14ac:dyDescent="0.35">
      <c r="A52" s="9"/>
      <c r="B52" s="9"/>
      <c r="C52" s="10" t="s">
        <v>102</v>
      </c>
      <c r="D52" s="9"/>
      <c r="E52" s="9"/>
      <c r="F52" s="9" t="s">
        <v>103</v>
      </c>
      <c r="G52" s="70"/>
      <c r="H52" s="16"/>
      <c r="I52" s="70"/>
      <c r="J52" s="70"/>
      <c r="K52" s="69">
        <v>0</v>
      </c>
      <c r="L52" s="17"/>
    </row>
    <row r="53" spans="1:12" x14ac:dyDescent="0.35">
      <c r="A53" s="9"/>
      <c r="B53" s="9"/>
      <c r="C53" s="10" t="s">
        <v>104</v>
      </c>
      <c r="D53" s="9"/>
      <c r="E53" s="9"/>
      <c r="F53" s="9" t="s">
        <v>105</v>
      </c>
      <c r="G53" s="70"/>
      <c r="H53" s="16"/>
      <c r="I53" s="70"/>
      <c r="J53" s="70"/>
      <c r="K53" s="69">
        <v>0</v>
      </c>
      <c r="L53" s="17"/>
    </row>
    <row r="54" spans="1:12" x14ac:dyDescent="0.35">
      <c r="A54" s="9"/>
      <c r="B54" s="9"/>
      <c r="C54" s="10" t="s">
        <v>106</v>
      </c>
      <c r="D54" s="9"/>
      <c r="E54" s="9"/>
      <c r="F54" s="9" t="s">
        <v>107</v>
      </c>
      <c r="G54" s="70"/>
      <c r="H54" s="16"/>
      <c r="I54" s="70"/>
      <c r="J54" s="70"/>
      <c r="K54" s="69">
        <v>0</v>
      </c>
      <c r="L54" s="17"/>
    </row>
    <row r="55" spans="1:12" x14ac:dyDescent="0.35">
      <c r="A55" s="9"/>
      <c r="B55" s="9"/>
      <c r="C55" s="10" t="s">
        <v>108</v>
      </c>
      <c r="D55" s="9"/>
      <c r="E55" s="9"/>
      <c r="F55" s="9" t="s">
        <v>109</v>
      </c>
      <c r="G55" s="70">
        <v>83870</v>
      </c>
      <c r="H55" s="16" t="s">
        <v>226</v>
      </c>
      <c r="I55" s="70"/>
      <c r="J55" s="70">
        <v>83870</v>
      </c>
      <c r="K55" s="69">
        <v>83870</v>
      </c>
      <c r="L55" s="17"/>
    </row>
    <row r="56" spans="1:12" x14ac:dyDescent="0.35">
      <c r="A56" s="9"/>
      <c r="B56" s="9"/>
      <c r="C56" s="10" t="s">
        <v>110</v>
      </c>
      <c r="D56" s="9"/>
      <c r="E56" s="9"/>
      <c r="F56" s="9" t="s">
        <v>111</v>
      </c>
      <c r="G56" s="70">
        <v>187376</v>
      </c>
      <c r="H56" s="16" t="s">
        <v>226</v>
      </c>
      <c r="I56" s="70"/>
      <c r="J56" s="70">
        <v>187376</v>
      </c>
      <c r="K56" s="69">
        <v>187376</v>
      </c>
      <c r="L56" s="17"/>
    </row>
    <row r="57" spans="1:12" x14ac:dyDescent="0.35">
      <c r="A57" s="9"/>
      <c r="B57" s="9"/>
      <c r="C57" s="10" t="s">
        <v>112</v>
      </c>
      <c r="D57" s="9"/>
      <c r="E57" s="9"/>
      <c r="F57" s="9" t="s">
        <v>113</v>
      </c>
      <c r="G57" s="70">
        <v>28116</v>
      </c>
      <c r="H57" s="16" t="s">
        <v>226</v>
      </c>
      <c r="I57" s="70"/>
      <c r="J57" s="70">
        <v>28116</v>
      </c>
      <c r="K57" s="69">
        <v>28116</v>
      </c>
      <c r="L57" s="17"/>
    </row>
    <row r="58" spans="1:12" x14ac:dyDescent="0.35">
      <c r="A58" s="9"/>
      <c r="B58" s="9"/>
      <c r="C58" s="10" t="s">
        <v>114</v>
      </c>
      <c r="D58" s="9"/>
      <c r="E58" s="9"/>
      <c r="F58" s="9" t="s">
        <v>115</v>
      </c>
      <c r="G58" s="70"/>
      <c r="H58" s="16"/>
      <c r="I58" s="70"/>
      <c r="J58" s="70"/>
      <c r="K58" s="69">
        <v>0</v>
      </c>
      <c r="L58" s="17"/>
    </row>
    <row r="59" spans="1:12" x14ac:dyDescent="0.35">
      <c r="A59" s="9"/>
      <c r="B59" s="9"/>
      <c r="C59" s="10" t="s">
        <v>116</v>
      </c>
      <c r="D59" s="9"/>
      <c r="E59" s="9"/>
      <c r="F59" s="9" t="s">
        <v>117</v>
      </c>
      <c r="G59" s="70">
        <v>7076589</v>
      </c>
      <c r="H59" s="16" t="s">
        <v>226</v>
      </c>
      <c r="I59" s="70"/>
      <c r="J59" s="70">
        <v>7076589</v>
      </c>
      <c r="K59" s="69">
        <v>7076589</v>
      </c>
      <c r="L59" s="93"/>
    </row>
    <row r="60" spans="1:12" x14ac:dyDescent="0.35">
      <c r="A60" s="9"/>
      <c r="B60" s="9"/>
      <c r="C60" s="10" t="s">
        <v>118</v>
      </c>
      <c r="D60" s="9"/>
      <c r="E60" s="9"/>
      <c r="F60" s="9" t="s">
        <v>119</v>
      </c>
      <c r="G60" s="70"/>
      <c r="H60" s="16"/>
      <c r="I60" s="70"/>
      <c r="J60" s="70"/>
      <c r="K60" s="69">
        <v>0</v>
      </c>
      <c r="L60" s="17"/>
    </row>
    <row r="61" spans="1:12" x14ac:dyDescent="0.35">
      <c r="A61" s="9"/>
      <c r="B61" s="9"/>
      <c r="C61" s="10" t="s">
        <v>120</v>
      </c>
      <c r="D61" s="9"/>
      <c r="E61" s="9"/>
      <c r="F61" s="9" t="s">
        <v>121</v>
      </c>
      <c r="G61" s="70"/>
      <c r="H61" s="16"/>
      <c r="I61" s="70"/>
      <c r="J61" s="70"/>
      <c r="K61" s="69">
        <v>0</v>
      </c>
      <c r="L61" s="17"/>
    </row>
    <row r="62" spans="1:12" x14ac:dyDescent="0.35">
      <c r="A62" s="9"/>
      <c r="B62" s="9"/>
      <c r="C62" s="10" t="s">
        <v>122</v>
      </c>
      <c r="D62" s="9"/>
      <c r="E62" s="9"/>
      <c r="F62" s="9" t="s">
        <v>123</v>
      </c>
      <c r="G62" s="70">
        <v>810398</v>
      </c>
      <c r="H62" s="16" t="s">
        <v>226</v>
      </c>
      <c r="I62" s="70"/>
      <c r="J62" s="70">
        <v>810398</v>
      </c>
      <c r="K62" s="69">
        <v>810398</v>
      </c>
      <c r="L62" s="17"/>
    </row>
    <row r="63" spans="1:12" x14ac:dyDescent="0.35">
      <c r="A63" s="9"/>
      <c r="B63" s="9"/>
      <c r="C63" s="10" t="s">
        <v>124</v>
      </c>
      <c r="D63" s="9"/>
      <c r="E63" s="9"/>
      <c r="F63" s="9" t="s">
        <v>125</v>
      </c>
      <c r="G63" s="70"/>
      <c r="H63" s="16"/>
      <c r="I63" s="70"/>
      <c r="J63" s="70"/>
      <c r="K63" s="69">
        <v>0</v>
      </c>
      <c r="L63" s="17"/>
    </row>
    <row r="64" spans="1:12" hidden="1" x14ac:dyDescent="0.35">
      <c r="A64" s="9"/>
      <c r="B64" s="9" t="s">
        <v>126</v>
      </c>
      <c r="C64" s="10"/>
      <c r="D64" s="9"/>
      <c r="E64" s="9" t="s">
        <v>127</v>
      </c>
      <c r="F64" s="9"/>
      <c r="G64" s="69"/>
      <c r="H64" s="9"/>
      <c r="I64" s="69"/>
      <c r="J64" s="69"/>
      <c r="K64" s="69"/>
      <c r="L64" s="14"/>
    </row>
    <row r="65" spans="1:12" hidden="1" x14ac:dyDescent="0.35">
      <c r="A65" s="9"/>
      <c r="B65" s="9" t="s">
        <v>128</v>
      </c>
      <c r="C65" s="10"/>
      <c r="D65" s="9"/>
      <c r="E65" s="9" t="s">
        <v>127</v>
      </c>
      <c r="F65" s="9"/>
      <c r="G65" s="69"/>
      <c r="H65" s="9"/>
      <c r="I65" s="69"/>
      <c r="J65" s="69"/>
      <c r="K65" s="69"/>
      <c r="L65" s="14"/>
    </row>
    <row r="66" spans="1:12" x14ac:dyDescent="0.35">
      <c r="A66" s="9"/>
      <c r="B66" s="9" t="s">
        <v>129</v>
      </c>
      <c r="C66" s="10"/>
      <c r="D66" s="9"/>
      <c r="E66" s="9" t="s">
        <v>130</v>
      </c>
      <c r="F66" s="9"/>
      <c r="G66" s="69">
        <v>61888</v>
      </c>
      <c r="H66" s="9"/>
      <c r="I66" s="69">
        <v>61888</v>
      </c>
      <c r="J66" s="69">
        <v>0</v>
      </c>
      <c r="K66" s="69"/>
      <c r="L66" s="14"/>
    </row>
    <row r="67" spans="1:12" x14ac:dyDescent="0.35">
      <c r="A67" s="9"/>
      <c r="B67" s="9"/>
      <c r="C67" s="10" t="s">
        <v>131</v>
      </c>
      <c r="D67" s="9"/>
      <c r="E67" s="9"/>
      <c r="F67" s="9" t="s">
        <v>132</v>
      </c>
      <c r="G67" s="70"/>
      <c r="H67" s="16"/>
      <c r="I67" s="70"/>
      <c r="J67" s="70">
        <v>0</v>
      </c>
      <c r="K67" s="69">
        <v>0</v>
      </c>
      <c r="L67" s="17"/>
    </row>
    <row r="68" spans="1:12" x14ac:dyDescent="0.35">
      <c r="A68" s="9"/>
      <c r="B68" s="9"/>
      <c r="C68" s="10" t="s">
        <v>133</v>
      </c>
      <c r="D68" s="9"/>
      <c r="E68" s="9"/>
      <c r="F68" s="9" t="s">
        <v>134</v>
      </c>
      <c r="G68" s="70"/>
      <c r="H68" s="16"/>
      <c r="I68" s="70"/>
      <c r="J68" s="70"/>
      <c r="K68" s="69">
        <v>0</v>
      </c>
      <c r="L68" s="17"/>
    </row>
    <row r="69" spans="1:12" x14ac:dyDescent="0.35">
      <c r="A69" s="9"/>
      <c r="B69" s="9"/>
      <c r="C69" s="10" t="s">
        <v>135</v>
      </c>
      <c r="D69" s="9"/>
      <c r="E69" s="9"/>
      <c r="F69" s="9" t="s">
        <v>136</v>
      </c>
      <c r="G69" s="70">
        <v>61888</v>
      </c>
      <c r="H69" s="16" t="s">
        <v>225</v>
      </c>
      <c r="I69" s="70">
        <v>61888</v>
      </c>
      <c r="J69" s="70"/>
      <c r="K69" s="69">
        <v>61888</v>
      </c>
      <c r="L69" s="17"/>
    </row>
    <row r="70" spans="1:12" x14ac:dyDescent="0.35">
      <c r="A70" s="9"/>
      <c r="B70" s="9" t="s">
        <v>137</v>
      </c>
      <c r="C70" s="10"/>
      <c r="D70" s="9"/>
      <c r="E70" s="9" t="s">
        <v>138</v>
      </c>
      <c r="F70" s="9"/>
      <c r="G70" s="69">
        <v>1305608</v>
      </c>
      <c r="H70" s="9"/>
      <c r="I70" s="69">
        <v>246095</v>
      </c>
      <c r="J70" s="69">
        <v>1059513</v>
      </c>
      <c r="K70" s="69"/>
      <c r="L70" s="14"/>
    </row>
    <row r="71" spans="1:12" x14ac:dyDescent="0.35">
      <c r="A71" s="9"/>
      <c r="B71" s="9"/>
      <c r="C71" s="10" t="s">
        <v>139</v>
      </c>
      <c r="D71" s="9"/>
      <c r="E71" s="9"/>
      <c r="F71" s="9" t="s">
        <v>140</v>
      </c>
      <c r="G71" s="70"/>
      <c r="H71" s="16"/>
      <c r="I71" s="70"/>
      <c r="J71" s="70"/>
      <c r="K71" s="69">
        <v>0</v>
      </c>
      <c r="L71" s="17"/>
    </row>
    <row r="72" spans="1:12" x14ac:dyDescent="0.35">
      <c r="A72" s="9"/>
      <c r="B72" s="9"/>
      <c r="C72" s="10" t="s">
        <v>141</v>
      </c>
      <c r="D72" s="9"/>
      <c r="E72" s="9"/>
      <c r="F72" s="9" t="s">
        <v>142</v>
      </c>
      <c r="G72" s="70">
        <v>813417</v>
      </c>
      <c r="H72" s="16" t="s">
        <v>226</v>
      </c>
      <c r="I72" s="70"/>
      <c r="J72" s="70">
        <v>813417</v>
      </c>
      <c r="K72" s="69">
        <v>813417</v>
      </c>
      <c r="L72" s="17"/>
    </row>
    <row r="73" spans="1:12" x14ac:dyDescent="0.35">
      <c r="A73" s="9"/>
      <c r="B73" s="9"/>
      <c r="C73" s="10" t="s">
        <v>143</v>
      </c>
      <c r="D73" s="9"/>
      <c r="E73" s="9"/>
      <c r="F73" s="9" t="s">
        <v>144</v>
      </c>
      <c r="G73" s="70">
        <v>492191</v>
      </c>
      <c r="H73" s="16" t="s">
        <v>59</v>
      </c>
      <c r="I73" s="70">
        <v>246095</v>
      </c>
      <c r="J73" s="70">
        <v>246096</v>
      </c>
      <c r="K73" s="69">
        <v>492191</v>
      </c>
      <c r="L73" s="17"/>
    </row>
    <row r="74" spans="1:12" hidden="1" x14ac:dyDescent="0.35">
      <c r="A74" s="9"/>
      <c r="B74" s="9" t="s">
        <v>145</v>
      </c>
      <c r="C74" s="10"/>
      <c r="D74" s="9"/>
      <c r="E74" s="9" t="s">
        <v>127</v>
      </c>
      <c r="F74" s="9"/>
      <c r="G74" s="69"/>
      <c r="H74" s="9"/>
      <c r="I74" s="69"/>
      <c r="J74" s="69"/>
      <c r="K74" s="69"/>
      <c r="L74" s="14"/>
    </row>
    <row r="75" spans="1:12" hidden="1" x14ac:dyDescent="0.35">
      <c r="A75" s="9"/>
      <c r="B75" s="9" t="s">
        <v>146</v>
      </c>
      <c r="C75" s="10"/>
      <c r="D75" s="9"/>
      <c r="E75" s="9" t="s">
        <v>127</v>
      </c>
      <c r="F75" s="9"/>
      <c r="G75" s="69"/>
      <c r="H75" s="9"/>
      <c r="I75" s="69"/>
      <c r="J75" s="69"/>
      <c r="K75" s="69"/>
      <c r="L75" s="14"/>
    </row>
    <row r="76" spans="1:12" s="7" customFormat="1" x14ac:dyDescent="0.35">
      <c r="A76" s="4" t="s">
        <v>147</v>
      </c>
      <c r="B76" s="4"/>
      <c r="C76" s="22"/>
      <c r="D76" s="4"/>
      <c r="E76" s="4"/>
      <c r="F76" s="4"/>
      <c r="G76" s="138">
        <v>16529055</v>
      </c>
      <c r="H76" s="88"/>
      <c r="I76" s="138">
        <v>2273645</v>
      </c>
      <c r="J76" s="138">
        <v>14255410</v>
      </c>
      <c r="K76" s="69">
        <v>16529055</v>
      </c>
      <c r="L76" s="25"/>
    </row>
    <row r="77" spans="1:12" x14ac:dyDescent="0.35">
      <c r="F77" s="139" t="s">
        <v>200</v>
      </c>
      <c r="G77" s="140">
        <v>16529055</v>
      </c>
      <c r="H77" s="13"/>
      <c r="I77" s="89">
        <v>0.13755444579257556</v>
      </c>
      <c r="J77" s="89">
        <v>0.86244555420742441</v>
      </c>
      <c r="K77" s="27"/>
    </row>
    <row r="79" spans="1:12" x14ac:dyDescent="0.35">
      <c r="F79" s="142" t="s">
        <v>201</v>
      </c>
    </row>
    <row r="80" spans="1:12" hidden="1" x14ac:dyDescent="0.35">
      <c r="H80" t="s">
        <v>15</v>
      </c>
    </row>
    <row r="81" spans="3:11" x14ac:dyDescent="0.35">
      <c r="C81"/>
      <c r="H81" t="s">
        <v>24</v>
      </c>
    </row>
    <row r="82" spans="3:11" x14ac:dyDescent="0.35">
      <c r="C82"/>
      <c r="H82" t="s">
        <v>59</v>
      </c>
    </row>
    <row r="83" spans="3:11" x14ac:dyDescent="0.35">
      <c r="C83"/>
      <c r="H83" s="139" t="s">
        <v>202</v>
      </c>
      <c r="I83" s="12">
        <v>54524695.05086787</v>
      </c>
      <c r="J83" s="141">
        <v>4.1699362057483168E-2</v>
      </c>
      <c r="K83" s="142" t="s">
        <v>203</v>
      </c>
    </row>
    <row r="97" customFormat="1" x14ac:dyDescent="0.35"/>
    <row r="98" customFormat="1" x14ac:dyDescent="0.35"/>
    <row r="99" customFormat="1" x14ac:dyDescent="0.35"/>
    <row r="100" customFormat="1" x14ac:dyDescent="0.35"/>
    <row r="101" customFormat="1" x14ac:dyDescent="0.35"/>
    <row r="102" customFormat="1" x14ac:dyDescent="0.35"/>
    <row r="103" customFormat="1" x14ac:dyDescent="0.35"/>
    <row r="104" customFormat="1" x14ac:dyDescent="0.35"/>
    <row r="105" customFormat="1" x14ac:dyDescent="0.35"/>
    <row r="106" customFormat="1" x14ac:dyDescent="0.35"/>
    <row r="107" customFormat="1" x14ac:dyDescent="0.35"/>
    <row r="108" customFormat="1" x14ac:dyDescent="0.35"/>
    <row r="109" customFormat="1" x14ac:dyDescent="0.35"/>
    <row r="110" customFormat="1" x14ac:dyDescent="0.35"/>
    <row r="112" customFormat="1" ht="15" hidden="1" customHeight="1" x14ac:dyDescent="0.35"/>
    <row r="113" customFormat="1" ht="15" hidden="1" customHeight="1" x14ac:dyDescent="0.35"/>
    <row r="114" customFormat="1" ht="15" hidden="1" customHeight="1" x14ac:dyDescent="0.35"/>
    <row r="115" customFormat="1" ht="15" hidden="1" customHeight="1" x14ac:dyDescent="0.35"/>
    <row r="116" customFormat="1" ht="15" hidden="1" customHeight="1" x14ac:dyDescent="0.35"/>
    <row r="117" customFormat="1" ht="15" hidden="1" customHeight="1" x14ac:dyDescent="0.35"/>
    <row r="118" customFormat="1" ht="15" hidden="1" customHeight="1" x14ac:dyDescent="0.35"/>
    <row r="119" customFormat="1" ht="15" hidden="1" customHeight="1" x14ac:dyDescent="0.35"/>
    <row r="120" customFormat="1" ht="15" hidden="1" customHeight="1" x14ac:dyDescent="0.35"/>
    <row r="121" customFormat="1" ht="15" hidden="1" customHeight="1" x14ac:dyDescent="0.35"/>
    <row r="122" customFormat="1" ht="15" hidden="1" customHeight="1" x14ac:dyDescent="0.35"/>
    <row r="123" customFormat="1" ht="15" hidden="1" customHeight="1" x14ac:dyDescent="0.35"/>
    <row r="124" customFormat="1" ht="15" hidden="1" customHeight="1" x14ac:dyDescent="0.35"/>
    <row r="125" customFormat="1" ht="15" hidden="1" customHeight="1" x14ac:dyDescent="0.35"/>
    <row r="126" customFormat="1" ht="15" hidden="1" customHeight="1" x14ac:dyDescent="0.35"/>
    <row r="127" customFormat="1" ht="15" hidden="1" customHeight="1" x14ac:dyDescent="0.35"/>
    <row r="128" customFormat="1" ht="15" hidden="1" customHeight="1" x14ac:dyDescent="0.35"/>
    <row r="129" customFormat="1" ht="15" hidden="1" customHeight="1" x14ac:dyDescent="0.35"/>
    <row r="130" customFormat="1" ht="15" hidden="1" customHeight="1" x14ac:dyDescent="0.35"/>
    <row r="131" customFormat="1" ht="15" hidden="1" customHeight="1" x14ac:dyDescent="0.35"/>
    <row r="132" customFormat="1" ht="15" hidden="1" customHeight="1" x14ac:dyDescent="0.35"/>
    <row r="133" customFormat="1" ht="15" hidden="1" customHeight="1" x14ac:dyDescent="0.35"/>
    <row r="134" customFormat="1" ht="15" hidden="1" customHeight="1" x14ac:dyDescent="0.35"/>
    <row r="135" customFormat="1" ht="15" hidden="1" customHeight="1" x14ac:dyDescent="0.35"/>
    <row r="136" customFormat="1" ht="15" hidden="1" customHeight="1" x14ac:dyDescent="0.35"/>
    <row r="137" customFormat="1" ht="15" hidden="1" customHeight="1" x14ac:dyDescent="0.35"/>
    <row r="138" customFormat="1" ht="15" hidden="1" customHeight="1" x14ac:dyDescent="0.35"/>
    <row r="139" customFormat="1" ht="15" hidden="1" customHeight="1" x14ac:dyDescent="0.35"/>
    <row r="140" customFormat="1" ht="15" hidden="1" customHeight="1" x14ac:dyDescent="0.35"/>
  </sheetData>
  <conditionalFormatting sqref="G76">
    <cfRule type="cellIs" dxfId="473" priority="11" operator="notEqual">
      <formula>$G$77</formula>
    </cfRule>
    <cfRule type="cellIs" dxfId="472" priority="12" operator="equal">
      <formula>$G$77</formula>
    </cfRule>
  </conditionalFormatting>
  <conditionalFormatting sqref="K9:K24">
    <cfRule type="cellIs" dxfId="471" priority="101" operator="notEqual">
      <formula>G9</formula>
    </cfRule>
    <cfRule type="cellIs" dxfId="470" priority="102" operator="equal">
      <formula>G9</formula>
    </cfRule>
  </conditionalFormatting>
  <conditionalFormatting sqref="K26:K41">
    <cfRule type="cellIs" dxfId="469" priority="69" operator="notEqual">
      <formula>G26</formula>
    </cfRule>
    <cfRule type="cellIs" dxfId="468" priority="70" operator="equal">
      <formula>G26</formula>
    </cfRule>
  </conditionalFormatting>
  <conditionalFormatting sqref="K43:K63">
    <cfRule type="cellIs" dxfId="467" priority="27" operator="notEqual">
      <formula>G43</formula>
    </cfRule>
    <cfRule type="cellIs" dxfId="466" priority="28" operator="equal">
      <formula>G43</formula>
    </cfRule>
  </conditionalFormatting>
  <conditionalFormatting sqref="K67:K69">
    <cfRule type="cellIs" dxfId="465" priority="21" operator="notEqual">
      <formula>G67</formula>
    </cfRule>
    <cfRule type="cellIs" dxfId="464" priority="22" operator="equal">
      <formula>G67</formula>
    </cfRule>
  </conditionalFormatting>
  <conditionalFormatting sqref="K71:K73">
    <cfRule type="cellIs" dxfId="463" priority="15" operator="notEqual">
      <formula>G71</formula>
    </cfRule>
    <cfRule type="cellIs" dxfId="462" priority="16" operator="equal">
      <formula>G71</formula>
    </cfRule>
  </conditionalFormatting>
  <conditionalFormatting sqref="K76">
    <cfRule type="cellIs" dxfId="461" priority="13" operator="notEqual">
      <formula>G76</formula>
    </cfRule>
    <cfRule type="cellIs" dxfId="460" priority="14" operator="equal">
      <formula>G76</formula>
    </cfRule>
  </conditionalFormatting>
  <dataValidations count="1">
    <dataValidation type="list" allowBlank="1" showInputMessage="1" showErrorMessage="1" sqref="H9:H75" xr:uid="{00000000-0002-0000-0900-000000000000}">
      <formula1>$H$80:$H$82</formula1>
    </dataValidation>
  </dataValidations>
  <pageMargins left="0.7" right="0.7" top="0.75" bottom="0.75" header="0.3" footer="0.3"/>
  <pageSetup scale="39" orientation="landscape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9" operator="notEqual" id="{187A57D0-3970-4A5B-8B34-EA2941531453}">
            <xm:f>'\Finance\Reports &amp; Surveys\Cost Analysis\Cost Analysis - 2014-15\Received from Colleges\Central Florida\[3 Central FL 2014-15 CA2 10-21-15 with CWE corrected SRF 102215.xlsx]CA2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10" operator="equal" id="{61ACEA50-8DD5-4515-B92A-DD46FFDF886E}">
            <xm:f>'\Finance\Reports &amp; Surveys\Cost Analysis\Cost Analysis - 2014-15\Received from Colleges\Central Florida\[3 Central FL 2014-15 CA2 10-21-15 with CWE corrected SRF 102215.xlsx]CA2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G8</xm:sqref>
        </x14:conditionalFormatting>
        <x14:conditionalFormatting xmlns:xm="http://schemas.microsoft.com/office/excel/2006/main">
          <x14:cfRule type="cellIs" priority="7" operator="notEqual" id="{26F46B30-16ED-4EB5-A429-9975B6FF5C57}">
            <xm:f>'\Finance\Reports &amp; Surveys\Cost Analysis\Cost Analysis - 2014-15\Received from Colleges\Central Florida\[3 Central FL 2014-15 CA2 10-21-15 with CWE corrected SRF 102215.xlsx]CA2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8" operator="equal" id="{1FFED27F-60E7-414D-BD98-7DA53DF483E0}">
            <xm:f>'\Finance\Reports &amp; Surveys\Cost Analysis\Cost Analysis - 2014-15\Received from Colleges\Central Florida\[3 Central FL 2014-15 CA2 10-21-15 with CWE corrected SRF 102215.xlsx]CA2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G25</xm:sqref>
        </x14:conditionalFormatting>
        <x14:conditionalFormatting xmlns:xm="http://schemas.microsoft.com/office/excel/2006/main">
          <x14:cfRule type="cellIs" priority="5" operator="notEqual" id="{BCB79944-603C-423B-8CB9-B087EECCB189}">
            <xm:f>'\Finance\Reports &amp; Surveys\Cost Analysis\Cost Analysis - 2014-15\Received from Colleges\Central Florida\[3 Central FL 2014-15 CA2 10-21-15 with CWE corrected SRF 102215.xlsx]CA2 Detail'!#REF!+'\Finance\Reports &amp; Surveys\Cost Analysis\Cost Analysis - 2014-15\Received from Colleges\Central Florida\[3 Central FL 2014-15 CA2 10-21-15 with CWE corrected SRF 102215.xlsx]CA2 Detail'!#REF!+'\Finance\Reports &amp; Surveys\Cost Analysis\Cost Analysis - 2014-15\Received from Colleges\Central Florida\[3 Central FL 2014-15 CA2 10-21-15 with CWE corrected SRF 102215.xlsx]CA2 Detail'!#REF!+'\Finance\Reports &amp; Surveys\Cost Analysis\Cost Analysis - 2014-15\Received from Colleges\Central Florida\[3 Central FL 2014-15 CA2 10-21-15 with CWE corrected SRF 102215.xlsx]CA2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6" operator="equal" id="{D9A0F31C-A704-429F-BA58-F37C1FC777C5}">
            <xm:f>'\Finance\Reports &amp; Surveys\Cost Analysis\Cost Analysis - 2014-15\Received from Colleges\Central Florida\[3 Central FL 2014-15 CA2 10-21-15 with CWE corrected SRF 102215.xlsx]CA2 Detail'!#REF!+'\Finance\Reports &amp; Surveys\Cost Analysis\Cost Analysis - 2014-15\Received from Colleges\Central Florida\[3 Central FL 2014-15 CA2 10-21-15 with CWE corrected SRF 102215.xlsx]CA2 Detail'!#REF!+'\Finance\Reports &amp; Surveys\Cost Analysis\Cost Analysis - 2014-15\Received from Colleges\Central Florida\[3 Central FL 2014-15 CA2 10-21-15 with CWE corrected SRF 102215.xlsx]CA2 Detail'!#REF!+'\Finance\Reports &amp; Surveys\Cost Analysis\Cost Analysis - 2014-15\Received from Colleges\Central Florida\[3 Central FL 2014-15 CA2 10-21-15 with CWE corrected SRF 102215.xlsx]CA2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G42</xm:sqref>
        </x14:conditionalFormatting>
        <x14:conditionalFormatting xmlns:xm="http://schemas.microsoft.com/office/excel/2006/main">
          <x14:cfRule type="cellIs" priority="3" operator="notEqual" id="{E9DF9A2A-5ADE-4A98-B31E-A3CD21953C03}">
            <xm:f>'\Finance\Reports &amp; Surveys\Cost Analysis\Cost Analysis - 2014-15\Received from Colleges\Central Florida\[3 Central FL 2014-15 CA2 10-21-15 with CWE corrected SRF 102215.xlsx]CA2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4" operator="equal" id="{9EEAAB4D-E3D5-461F-9AF4-22DF31C9EB51}">
            <xm:f>'\Finance\Reports &amp; Surveys\Cost Analysis\Cost Analysis - 2014-15\Received from Colleges\Central Florida\[3 Central FL 2014-15 CA2 10-21-15 with CWE corrected SRF 102215.xlsx]CA2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G66</xm:sqref>
        </x14:conditionalFormatting>
        <x14:conditionalFormatting xmlns:xm="http://schemas.microsoft.com/office/excel/2006/main">
          <x14:cfRule type="cellIs" priority="1" operator="notEqual" id="{C263EDF7-E418-49BE-BA2A-7CA07446D32B}">
            <xm:f>'\Finance\Reports &amp; Surveys\Cost Analysis\Cost Analysis - 2014-15\Received from Colleges\Central Florida\[3 Central FL 2014-15 CA2 10-21-15 with CWE corrected SRF 102215.xlsx]CA2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2" operator="equal" id="{44379173-5546-4C98-83BD-496C3B6D777A}">
            <xm:f>'\Finance\Reports &amp; Surveys\Cost Analysis\Cost Analysis - 2014-15\Received from Colleges\Central Florida\[3 Central FL 2014-15 CA2 10-21-15 with CWE corrected SRF 102215.xlsx]CA2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G70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00B0F0"/>
    <pageSetUpPr fitToPage="1"/>
  </sheetPr>
  <dimension ref="A1:L140"/>
  <sheetViews>
    <sheetView zoomScaleNormal="100" workbookViewId="0"/>
  </sheetViews>
  <sheetFormatPr defaultColWidth="11.453125" defaultRowHeight="14.5" x14ac:dyDescent="0.35"/>
  <cols>
    <col min="1" max="2" width="2.81640625" customWidth="1"/>
    <col min="3" max="3" width="10.453125" style="26" bestFit="1" customWidth="1"/>
    <col min="4" max="5" width="2.81640625" customWidth="1"/>
    <col min="6" max="6" width="80.7265625" bestFit="1" customWidth="1"/>
    <col min="7" max="7" width="27.81640625" customWidth="1"/>
    <col min="8" max="8" width="15.26953125" bestFit="1" customWidth="1"/>
    <col min="9" max="9" width="27.26953125" customWidth="1"/>
    <col min="10" max="10" width="26.81640625" customWidth="1"/>
    <col min="11" max="11" width="25.81640625" customWidth="1"/>
    <col min="12" max="12" width="82.54296875" customWidth="1"/>
  </cols>
  <sheetData>
    <row r="1" spans="1:12" x14ac:dyDescent="0.35">
      <c r="A1" s="134"/>
      <c r="B1" s="7"/>
      <c r="C1" s="7"/>
      <c r="D1" s="7"/>
      <c r="E1" s="7"/>
      <c r="F1" s="7"/>
      <c r="G1" s="7"/>
      <c r="H1" s="7"/>
      <c r="I1" s="7" t="s">
        <v>0</v>
      </c>
      <c r="J1" s="7"/>
      <c r="K1" s="7"/>
      <c r="L1" s="7"/>
    </row>
    <row r="2" spans="1:12" x14ac:dyDescent="0.35">
      <c r="A2" s="135"/>
      <c r="B2" s="7"/>
      <c r="C2" s="7"/>
      <c r="D2" s="7"/>
      <c r="E2" s="7"/>
      <c r="F2" s="7"/>
      <c r="G2" s="7"/>
      <c r="H2" s="7"/>
      <c r="I2" s="7" t="s">
        <v>197</v>
      </c>
      <c r="J2" s="7"/>
      <c r="K2" s="7"/>
      <c r="L2" s="7"/>
    </row>
    <row r="3" spans="1:12" x14ac:dyDescent="0.35">
      <c r="A3" s="136" t="s">
        <v>198</v>
      </c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</row>
    <row r="4" spans="1:12" ht="19.5" customHeight="1" x14ac:dyDescent="0.35">
      <c r="A4" s="137" t="s">
        <v>150</v>
      </c>
      <c r="C4"/>
    </row>
    <row r="5" spans="1:12" x14ac:dyDescent="0.35">
      <c r="C5"/>
    </row>
    <row r="6" spans="1:12" s="7" customFormat="1" x14ac:dyDescent="0.35">
      <c r="A6" s="3" t="s">
        <v>2</v>
      </c>
      <c r="B6" s="4"/>
      <c r="C6" s="4"/>
      <c r="D6" s="3" t="s">
        <v>3</v>
      </c>
      <c r="E6" s="4"/>
      <c r="F6" s="4"/>
      <c r="G6" s="5" t="s">
        <v>274</v>
      </c>
      <c r="H6" s="6" t="s">
        <v>4</v>
      </c>
      <c r="I6" s="6" t="s">
        <v>5</v>
      </c>
      <c r="J6" s="6" t="s">
        <v>6</v>
      </c>
      <c r="K6" s="6" t="s">
        <v>7</v>
      </c>
      <c r="L6" s="6" t="s">
        <v>199</v>
      </c>
    </row>
    <row r="7" spans="1:12" x14ac:dyDescent="0.35">
      <c r="A7" s="8" t="s">
        <v>9</v>
      </c>
      <c r="B7" s="9"/>
      <c r="C7" s="10"/>
      <c r="D7" s="11" t="s">
        <v>10</v>
      </c>
      <c r="E7" s="10"/>
      <c r="F7" s="10"/>
      <c r="G7" s="12"/>
      <c r="H7" s="9"/>
      <c r="I7" s="12"/>
      <c r="J7" s="12"/>
      <c r="K7" s="12"/>
      <c r="L7" s="11"/>
    </row>
    <row r="8" spans="1:12" x14ac:dyDescent="0.35">
      <c r="A8" s="8"/>
      <c r="B8" s="9" t="s">
        <v>11</v>
      </c>
      <c r="C8" s="10"/>
      <c r="D8" s="13"/>
      <c r="E8" s="9" t="s">
        <v>12</v>
      </c>
      <c r="F8" s="10"/>
      <c r="G8" s="12">
        <v>664682.06000000006</v>
      </c>
      <c r="H8" s="9"/>
      <c r="I8" s="12">
        <v>653320.4</v>
      </c>
      <c r="J8" s="12">
        <v>11361.66</v>
      </c>
      <c r="K8" s="12"/>
      <c r="L8" s="14"/>
    </row>
    <row r="9" spans="1:12" x14ac:dyDescent="0.35">
      <c r="A9" s="8"/>
      <c r="B9" s="9"/>
      <c r="C9" s="10" t="s">
        <v>13</v>
      </c>
      <c r="D9" s="13"/>
      <c r="E9" s="10"/>
      <c r="F9" s="9" t="s">
        <v>14</v>
      </c>
      <c r="G9" s="86"/>
      <c r="H9" s="90"/>
      <c r="I9" s="86"/>
      <c r="J9" s="86"/>
      <c r="K9" s="12">
        <v>0</v>
      </c>
      <c r="L9" s="17"/>
    </row>
    <row r="10" spans="1:12" x14ac:dyDescent="0.35">
      <c r="A10" s="8"/>
      <c r="B10" s="9"/>
      <c r="C10" s="10" t="s">
        <v>16</v>
      </c>
      <c r="D10" s="13"/>
      <c r="E10" s="10"/>
      <c r="F10" s="9" t="s">
        <v>17</v>
      </c>
      <c r="G10" s="86">
        <v>13566.28</v>
      </c>
      <c r="H10" s="90" t="s">
        <v>15</v>
      </c>
      <c r="I10" s="86">
        <v>13566.28</v>
      </c>
      <c r="J10" s="86"/>
      <c r="K10" s="12">
        <v>13566.28</v>
      </c>
      <c r="L10" s="94"/>
    </row>
    <row r="11" spans="1:12" x14ac:dyDescent="0.35">
      <c r="A11" s="8"/>
      <c r="B11" s="9"/>
      <c r="C11" s="10" t="s">
        <v>18</v>
      </c>
      <c r="D11" s="13"/>
      <c r="E11" s="10"/>
      <c r="F11" s="9" t="s">
        <v>19</v>
      </c>
      <c r="G11" s="86">
        <v>413328.66</v>
      </c>
      <c r="H11" s="90" t="s">
        <v>59</v>
      </c>
      <c r="I11" s="86">
        <v>401967</v>
      </c>
      <c r="J11" s="86">
        <v>11361.66</v>
      </c>
      <c r="K11" s="12">
        <v>413328.66</v>
      </c>
      <c r="L11" s="17" t="s">
        <v>275</v>
      </c>
    </row>
    <row r="12" spans="1:12" x14ac:dyDescent="0.35">
      <c r="A12" s="8"/>
      <c r="B12" s="9"/>
      <c r="C12" s="10" t="s">
        <v>20</v>
      </c>
      <c r="D12" s="13"/>
      <c r="E12" s="10"/>
      <c r="F12" s="9" t="s">
        <v>21</v>
      </c>
      <c r="G12" s="86"/>
      <c r="H12" s="90"/>
      <c r="I12" s="86"/>
      <c r="J12" s="86"/>
      <c r="K12" s="12">
        <v>0</v>
      </c>
      <c r="L12" s="17"/>
    </row>
    <row r="13" spans="1:12" x14ac:dyDescent="0.35">
      <c r="A13" s="8"/>
      <c r="B13" s="9"/>
      <c r="C13" s="10" t="s">
        <v>22</v>
      </c>
      <c r="D13" s="13"/>
      <c r="E13" s="10"/>
      <c r="F13" s="9" t="s">
        <v>23</v>
      </c>
      <c r="G13" s="86"/>
      <c r="H13" s="90"/>
      <c r="I13" s="86"/>
      <c r="J13" s="86"/>
      <c r="K13" s="12">
        <v>0</v>
      </c>
      <c r="L13" s="17"/>
    </row>
    <row r="14" spans="1:12" x14ac:dyDescent="0.35">
      <c r="A14" s="8"/>
      <c r="B14" s="9"/>
      <c r="C14" s="10" t="s">
        <v>25</v>
      </c>
      <c r="D14" s="13"/>
      <c r="E14" s="10"/>
      <c r="F14" s="9" t="s">
        <v>26</v>
      </c>
      <c r="G14" s="86"/>
      <c r="H14" s="90"/>
      <c r="I14" s="86"/>
      <c r="J14" s="86"/>
      <c r="K14" s="12">
        <v>0</v>
      </c>
      <c r="L14" s="17"/>
    </row>
    <row r="15" spans="1:12" x14ac:dyDescent="0.35">
      <c r="A15" s="8"/>
      <c r="B15" s="9"/>
      <c r="C15" s="10" t="s">
        <v>27</v>
      </c>
      <c r="D15" s="13"/>
      <c r="E15" s="10"/>
      <c r="F15" s="9" t="s">
        <v>28</v>
      </c>
      <c r="G15" s="86"/>
      <c r="H15" s="90"/>
      <c r="I15" s="86"/>
      <c r="J15" s="86"/>
      <c r="K15" s="12">
        <v>0</v>
      </c>
      <c r="L15" s="17"/>
    </row>
    <row r="16" spans="1:12" x14ac:dyDescent="0.35">
      <c r="A16" s="8"/>
      <c r="B16" s="9"/>
      <c r="C16" s="10" t="s">
        <v>29</v>
      </c>
      <c r="D16" s="13"/>
      <c r="E16" s="10"/>
      <c r="F16" s="9" t="s">
        <v>30</v>
      </c>
      <c r="G16" s="86"/>
      <c r="H16" s="90"/>
      <c r="I16" s="86"/>
      <c r="J16" s="86"/>
      <c r="K16" s="12">
        <v>0</v>
      </c>
      <c r="L16" s="17"/>
    </row>
    <row r="17" spans="1:12" x14ac:dyDescent="0.35">
      <c r="A17" s="8"/>
      <c r="B17" s="9"/>
      <c r="C17" s="10" t="s">
        <v>31</v>
      </c>
      <c r="D17" s="13"/>
      <c r="E17" s="10"/>
      <c r="F17" s="9" t="s">
        <v>32</v>
      </c>
      <c r="G17" s="86">
        <v>237787.12</v>
      </c>
      <c r="H17" s="90" t="s">
        <v>15</v>
      </c>
      <c r="I17" s="86">
        <v>237787.12</v>
      </c>
      <c r="J17" s="86"/>
      <c r="K17" s="12">
        <v>237787.12</v>
      </c>
      <c r="L17" s="17"/>
    </row>
    <row r="18" spans="1:12" x14ac:dyDescent="0.35">
      <c r="A18" s="8"/>
      <c r="B18" s="9"/>
      <c r="C18" s="10" t="s">
        <v>33</v>
      </c>
      <c r="D18" s="13"/>
      <c r="E18" s="10"/>
      <c r="F18" s="9" t="s">
        <v>34</v>
      </c>
      <c r="G18" s="86"/>
      <c r="H18" s="90"/>
      <c r="I18" s="86"/>
      <c r="J18" s="86"/>
      <c r="K18" s="12">
        <v>0</v>
      </c>
      <c r="L18" s="17"/>
    </row>
    <row r="19" spans="1:12" x14ac:dyDescent="0.35">
      <c r="A19" s="8"/>
      <c r="B19" s="9"/>
      <c r="C19" s="10" t="s">
        <v>35</v>
      </c>
      <c r="D19" s="13"/>
      <c r="E19" s="10"/>
      <c r="F19" s="9" t="s">
        <v>36</v>
      </c>
      <c r="G19" s="91"/>
      <c r="H19" s="90"/>
      <c r="I19" s="91"/>
      <c r="J19" s="91"/>
      <c r="K19" s="12">
        <v>0</v>
      </c>
      <c r="L19" s="17"/>
    </row>
    <row r="20" spans="1:12" x14ac:dyDescent="0.35">
      <c r="A20" s="8"/>
      <c r="B20" s="9"/>
      <c r="C20" s="10" t="s">
        <v>37</v>
      </c>
      <c r="D20" s="13"/>
      <c r="E20" s="10"/>
      <c r="F20" s="9" t="s">
        <v>38</v>
      </c>
      <c r="G20" s="86"/>
      <c r="H20" s="90"/>
      <c r="I20" s="86"/>
      <c r="J20" s="86"/>
      <c r="K20" s="12">
        <v>0</v>
      </c>
      <c r="L20" s="17"/>
    </row>
    <row r="21" spans="1:12" x14ac:dyDescent="0.35">
      <c r="A21" s="8"/>
      <c r="B21" s="9"/>
      <c r="C21" s="10" t="s">
        <v>39</v>
      </c>
      <c r="D21" s="13"/>
      <c r="E21" s="10"/>
      <c r="F21" s="9" t="s">
        <v>40</v>
      </c>
      <c r="G21" s="86"/>
      <c r="H21" s="90"/>
      <c r="I21" s="86"/>
      <c r="J21" s="86"/>
      <c r="K21" s="12">
        <v>0</v>
      </c>
      <c r="L21" s="17"/>
    </row>
    <row r="22" spans="1:12" x14ac:dyDescent="0.35">
      <c r="A22" s="8"/>
      <c r="B22" s="9"/>
      <c r="C22" s="10" t="s">
        <v>41</v>
      </c>
      <c r="D22" s="13"/>
      <c r="E22" s="10"/>
      <c r="F22" s="9" t="s">
        <v>42</v>
      </c>
      <c r="G22" s="86"/>
      <c r="H22" s="90"/>
      <c r="I22" s="86"/>
      <c r="J22" s="86"/>
      <c r="K22" s="12">
        <v>0</v>
      </c>
      <c r="L22" s="17"/>
    </row>
    <row r="23" spans="1:12" x14ac:dyDescent="0.35">
      <c r="A23" s="8"/>
      <c r="B23" s="9"/>
      <c r="C23" s="10" t="s">
        <v>43</v>
      </c>
      <c r="D23" s="13"/>
      <c r="E23" s="10"/>
      <c r="F23" s="9" t="s">
        <v>44</v>
      </c>
      <c r="G23" s="86"/>
      <c r="H23" s="90"/>
      <c r="I23" s="86"/>
      <c r="J23" s="86"/>
      <c r="K23" s="12">
        <v>0</v>
      </c>
      <c r="L23" s="17"/>
    </row>
    <row r="24" spans="1:12" x14ac:dyDescent="0.35">
      <c r="A24" s="9"/>
      <c r="B24" s="9"/>
      <c r="C24" s="19" t="s">
        <v>45</v>
      </c>
      <c r="D24" s="13"/>
      <c r="E24" s="19"/>
      <c r="F24" s="9" t="s">
        <v>46</v>
      </c>
      <c r="G24" s="92"/>
      <c r="H24" s="90"/>
      <c r="I24" s="92"/>
      <c r="J24" s="92"/>
      <c r="K24" s="12">
        <v>0</v>
      </c>
      <c r="L24" s="17"/>
    </row>
    <row r="25" spans="1:12" x14ac:dyDescent="0.35">
      <c r="A25" s="8"/>
      <c r="B25" s="9" t="s">
        <v>47</v>
      </c>
      <c r="C25" s="10"/>
      <c r="D25" s="13"/>
      <c r="E25" s="9" t="s">
        <v>48</v>
      </c>
      <c r="F25" s="10"/>
      <c r="G25" s="12">
        <v>628961.54</v>
      </c>
      <c r="H25" s="9"/>
      <c r="I25" s="12">
        <v>476029</v>
      </c>
      <c r="J25" s="12">
        <v>152932.54</v>
      </c>
      <c r="K25" s="12"/>
      <c r="L25" s="14"/>
    </row>
    <row r="26" spans="1:12" x14ac:dyDescent="0.35">
      <c r="A26" s="8"/>
      <c r="B26" s="9"/>
      <c r="C26" s="10" t="s">
        <v>49</v>
      </c>
      <c r="D26" s="13"/>
      <c r="E26" s="10"/>
      <c r="F26" s="9" t="s">
        <v>50</v>
      </c>
      <c r="G26" s="86"/>
      <c r="H26" s="90"/>
      <c r="I26" s="86"/>
      <c r="J26" s="86"/>
      <c r="K26" s="12">
        <v>0</v>
      </c>
      <c r="L26" s="17"/>
    </row>
    <row r="27" spans="1:12" x14ac:dyDescent="0.35">
      <c r="A27" s="8"/>
      <c r="B27" s="9"/>
      <c r="C27" s="10" t="s">
        <v>51</v>
      </c>
      <c r="D27" s="13"/>
      <c r="E27" s="10"/>
      <c r="F27" s="9" t="s">
        <v>52</v>
      </c>
      <c r="G27" s="86"/>
      <c r="H27" s="90"/>
      <c r="I27" s="86"/>
      <c r="J27" s="86"/>
      <c r="K27" s="12">
        <v>0</v>
      </c>
      <c r="L27" s="17"/>
    </row>
    <row r="28" spans="1:12" x14ac:dyDescent="0.35">
      <c r="A28" s="8"/>
      <c r="B28" s="9"/>
      <c r="C28" s="10" t="s">
        <v>53</v>
      </c>
      <c r="D28" s="13"/>
      <c r="E28" s="10"/>
      <c r="F28" s="9" t="s">
        <v>54</v>
      </c>
      <c r="G28" s="86"/>
      <c r="H28" s="90"/>
      <c r="I28" s="86"/>
      <c r="J28" s="86"/>
      <c r="K28" s="12">
        <v>0</v>
      </c>
      <c r="L28" s="17"/>
    </row>
    <row r="29" spans="1:12" x14ac:dyDescent="0.35">
      <c r="A29" s="8"/>
      <c r="B29" s="9"/>
      <c r="C29" s="10" t="s">
        <v>55</v>
      </c>
      <c r="D29" s="13"/>
      <c r="E29" s="10"/>
      <c r="F29" s="9" t="s">
        <v>56</v>
      </c>
      <c r="G29" s="86"/>
      <c r="H29" s="90"/>
      <c r="I29" s="86"/>
      <c r="J29" s="86"/>
      <c r="K29" s="12">
        <v>0</v>
      </c>
      <c r="L29" s="17"/>
    </row>
    <row r="30" spans="1:12" x14ac:dyDescent="0.35">
      <c r="A30" s="8"/>
      <c r="B30" s="9"/>
      <c r="C30" s="10" t="s">
        <v>57</v>
      </c>
      <c r="D30" s="13"/>
      <c r="E30" s="10"/>
      <c r="F30" s="9" t="s">
        <v>58</v>
      </c>
      <c r="G30" s="86">
        <v>628961.54</v>
      </c>
      <c r="H30" s="90" t="s">
        <v>59</v>
      </c>
      <c r="I30" s="86">
        <v>476029</v>
      </c>
      <c r="J30" s="86">
        <v>152932.54</v>
      </c>
      <c r="K30" s="12">
        <v>628961.54</v>
      </c>
      <c r="L30" s="93" t="s">
        <v>256</v>
      </c>
    </row>
    <row r="31" spans="1:12" x14ac:dyDescent="0.35">
      <c r="A31" s="8"/>
      <c r="B31" s="9"/>
      <c r="C31" s="10" t="s">
        <v>60</v>
      </c>
      <c r="D31" s="13"/>
      <c r="E31" s="10"/>
      <c r="F31" s="9" t="s">
        <v>61</v>
      </c>
      <c r="G31" s="86"/>
      <c r="H31" s="90"/>
      <c r="I31" s="86"/>
      <c r="J31" s="86"/>
      <c r="K31" s="12">
        <v>0</v>
      </c>
      <c r="L31" s="17"/>
    </row>
    <row r="32" spans="1:12" x14ac:dyDescent="0.35">
      <c r="A32" s="8"/>
      <c r="B32" s="9"/>
      <c r="C32" s="10" t="s">
        <v>62</v>
      </c>
      <c r="D32" s="13"/>
      <c r="E32" s="10"/>
      <c r="F32" s="9" t="s">
        <v>63</v>
      </c>
      <c r="G32" s="86"/>
      <c r="H32" s="90"/>
      <c r="I32" s="86"/>
      <c r="J32" s="86"/>
      <c r="K32" s="12">
        <v>0</v>
      </c>
      <c r="L32" s="17"/>
    </row>
    <row r="33" spans="1:12" x14ac:dyDescent="0.35">
      <c r="A33" s="9"/>
      <c r="B33" s="9"/>
      <c r="C33" s="10" t="s">
        <v>64</v>
      </c>
      <c r="D33" s="9"/>
      <c r="E33" s="10"/>
      <c r="F33" s="9" t="s">
        <v>65</v>
      </c>
      <c r="G33" s="86"/>
      <c r="H33" s="90"/>
      <c r="I33" s="86"/>
      <c r="J33" s="86"/>
      <c r="K33" s="12">
        <v>0</v>
      </c>
      <c r="L33" s="17"/>
    </row>
    <row r="34" spans="1:12" x14ac:dyDescent="0.35">
      <c r="A34" s="9"/>
      <c r="B34" s="9"/>
      <c r="C34" s="10" t="s">
        <v>66</v>
      </c>
      <c r="D34" s="9"/>
      <c r="E34" s="9"/>
      <c r="F34" s="9" t="s">
        <v>67</v>
      </c>
      <c r="G34" s="86"/>
      <c r="H34" s="90"/>
      <c r="I34" s="86"/>
      <c r="J34" s="86"/>
      <c r="K34" s="12">
        <v>0</v>
      </c>
      <c r="L34" s="17"/>
    </row>
    <row r="35" spans="1:12" x14ac:dyDescent="0.35">
      <c r="A35" s="9"/>
      <c r="B35" s="9"/>
      <c r="C35" s="10" t="s">
        <v>68</v>
      </c>
      <c r="D35" s="9"/>
      <c r="E35" s="10"/>
      <c r="F35" s="9" t="s">
        <v>69</v>
      </c>
      <c r="G35" s="86"/>
      <c r="H35" s="90"/>
      <c r="I35" s="86"/>
      <c r="J35" s="86"/>
      <c r="K35" s="12">
        <v>0</v>
      </c>
      <c r="L35" s="17"/>
    </row>
    <row r="36" spans="1:12" x14ac:dyDescent="0.35">
      <c r="A36" s="9"/>
      <c r="B36" s="9"/>
      <c r="C36" s="10" t="s">
        <v>70</v>
      </c>
      <c r="D36" s="9"/>
      <c r="E36" s="9"/>
      <c r="F36" s="9" t="s">
        <v>71</v>
      </c>
      <c r="G36" s="86"/>
      <c r="H36" s="90"/>
      <c r="I36" s="86"/>
      <c r="J36" s="86"/>
      <c r="K36" s="12">
        <v>0</v>
      </c>
      <c r="L36" s="17"/>
    </row>
    <row r="37" spans="1:12" x14ac:dyDescent="0.35">
      <c r="A37" s="9"/>
      <c r="B37" s="9"/>
      <c r="C37" s="10" t="s">
        <v>72</v>
      </c>
      <c r="D37" s="9"/>
      <c r="E37" s="21"/>
      <c r="F37" s="9" t="s">
        <v>73</v>
      </c>
      <c r="G37" s="86"/>
      <c r="H37" s="90"/>
      <c r="I37" s="86"/>
      <c r="J37" s="86"/>
      <c r="K37" s="12">
        <v>0</v>
      </c>
      <c r="L37" s="17"/>
    </row>
    <row r="38" spans="1:12" x14ac:dyDescent="0.35">
      <c r="A38" s="9"/>
      <c r="B38" s="9"/>
      <c r="C38" s="10" t="s">
        <v>74</v>
      </c>
      <c r="D38" s="9"/>
      <c r="E38" s="9"/>
      <c r="F38" s="9" t="s">
        <v>75</v>
      </c>
      <c r="G38" s="86"/>
      <c r="H38" s="90"/>
      <c r="I38" s="86"/>
      <c r="J38" s="86"/>
      <c r="K38" s="12">
        <v>0</v>
      </c>
      <c r="L38" s="17"/>
    </row>
    <row r="39" spans="1:12" x14ac:dyDescent="0.35">
      <c r="A39" s="9"/>
      <c r="B39" s="9"/>
      <c r="C39" s="10" t="s">
        <v>76</v>
      </c>
      <c r="D39" s="9"/>
      <c r="E39" s="9"/>
      <c r="F39" s="9" t="s">
        <v>77</v>
      </c>
      <c r="G39" s="86"/>
      <c r="H39" s="90"/>
      <c r="I39" s="86"/>
      <c r="J39" s="86"/>
      <c r="K39" s="12">
        <v>0</v>
      </c>
      <c r="L39" s="17"/>
    </row>
    <row r="40" spans="1:12" x14ac:dyDescent="0.35">
      <c r="A40" s="9"/>
      <c r="B40" s="9"/>
      <c r="C40" s="10" t="s">
        <v>78</v>
      </c>
      <c r="D40" s="9"/>
      <c r="E40" s="9"/>
      <c r="F40" s="9" t="s">
        <v>79</v>
      </c>
      <c r="G40" s="86"/>
      <c r="H40" s="90"/>
      <c r="I40" s="86"/>
      <c r="J40" s="86"/>
      <c r="K40" s="12">
        <v>0</v>
      </c>
      <c r="L40" s="17"/>
    </row>
    <row r="41" spans="1:12" x14ac:dyDescent="0.35">
      <c r="A41" s="9"/>
      <c r="B41" s="9"/>
      <c r="C41" s="10" t="s">
        <v>80</v>
      </c>
      <c r="D41" s="9"/>
      <c r="E41" s="9"/>
      <c r="F41" s="9" t="s">
        <v>81</v>
      </c>
      <c r="G41" s="86"/>
      <c r="H41" s="90"/>
      <c r="I41" s="86"/>
      <c r="J41" s="86"/>
      <c r="K41" s="12">
        <v>0</v>
      </c>
      <c r="L41" s="17"/>
    </row>
    <row r="42" spans="1:12" x14ac:dyDescent="0.35">
      <c r="A42" s="9"/>
      <c r="B42" s="9" t="s">
        <v>82</v>
      </c>
      <c r="C42" s="10"/>
      <c r="D42" s="9"/>
      <c r="E42" s="9" t="s">
        <v>83</v>
      </c>
      <c r="F42" s="9"/>
      <c r="G42" s="12">
        <v>2259174.7100000004</v>
      </c>
      <c r="H42" s="9"/>
      <c r="I42" s="12">
        <v>512186.4</v>
      </c>
      <c r="J42" s="12">
        <v>1746988.3099999998</v>
      </c>
      <c r="K42" s="12"/>
      <c r="L42" s="14"/>
    </row>
    <row r="43" spans="1:12" x14ac:dyDescent="0.35">
      <c r="A43" s="9"/>
      <c r="B43" s="9"/>
      <c r="C43" s="10" t="s">
        <v>84</v>
      </c>
      <c r="D43" s="9"/>
      <c r="E43" s="9"/>
      <c r="F43" s="9" t="s">
        <v>85</v>
      </c>
      <c r="G43" s="86">
        <v>891412.46</v>
      </c>
      <c r="H43" s="90" t="s">
        <v>59</v>
      </c>
      <c r="I43" s="86">
        <v>89141</v>
      </c>
      <c r="J43" s="86">
        <v>802271.46</v>
      </c>
      <c r="K43" s="12">
        <v>891412.46</v>
      </c>
      <c r="L43" s="93"/>
    </row>
    <row r="44" spans="1:12" x14ac:dyDescent="0.35">
      <c r="A44" s="9"/>
      <c r="B44" s="9"/>
      <c r="C44" s="10" t="s">
        <v>86</v>
      </c>
      <c r="D44" s="9"/>
      <c r="E44" s="9"/>
      <c r="F44" s="9" t="s">
        <v>87</v>
      </c>
      <c r="G44" s="86"/>
      <c r="H44" s="90"/>
      <c r="I44" s="86"/>
      <c r="J44" s="86"/>
      <c r="K44" s="12">
        <v>0</v>
      </c>
      <c r="L44" s="17"/>
    </row>
    <row r="45" spans="1:12" x14ac:dyDescent="0.35">
      <c r="A45" s="9"/>
      <c r="B45" s="9"/>
      <c r="C45" s="10" t="s">
        <v>88</v>
      </c>
      <c r="D45" s="9"/>
      <c r="E45" s="9"/>
      <c r="F45" s="9" t="s">
        <v>89</v>
      </c>
      <c r="G45" s="86"/>
      <c r="H45" s="90"/>
      <c r="I45" s="86"/>
      <c r="J45" s="86"/>
      <c r="K45" s="12">
        <v>0</v>
      </c>
      <c r="L45" s="17"/>
    </row>
    <row r="46" spans="1:12" x14ac:dyDescent="0.35">
      <c r="A46" s="9"/>
      <c r="B46" s="9"/>
      <c r="C46" s="10" t="s">
        <v>90</v>
      </c>
      <c r="D46" s="9"/>
      <c r="E46" s="9"/>
      <c r="F46" s="9" t="s">
        <v>91</v>
      </c>
      <c r="G46" s="86"/>
      <c r="H46" s="90"/>
      <c r="I46" s="86"/>
      <c r="J46" s="86"/>
      <c r="K46" s="12">
        <v>0</v>
      </c>
      <c r="L46" s="17"/>
    </row>
    <row r="47" spans="1:12" x14ac:dyDescent="0.35">
      <c r="A47" s="9"/>
      <c r="B47" s="9"/>
      <c r="C47" s="10" t="s">
        <v>92</v>
      </c>
      <c r="D47" s="9"/>
      <c r="E47" s="9"/>
      <c r="F47" s="9" t="s">
        <v>93</v>
      </c>
      <c r="G47" s="86">
        <v>335915.34</v>
      </c>
      <c r="H47" s="90" t="s">
        <v>15</v>
      </c>
      <c r="I47" s="86">
        <v>335915.34</v>
      </c>
      <c r="J47" s="86"/>
      <c r="K47" s="12">
        <v>335915.34</v>
      </c>
      <c r="L47" s="17"/>
    </row>
    <row r="48" spans="1:12" x14ac:dyDescent="0.35">
      <c r="A48" s="9"/>
      <c r="B48" s="9"/>
      <c r="C48" s="10" t="s">
        <v>94</v>
      </c>
      <c r="D48" s="9"/>
      <c r="E48" s="9"/>
      <c r="F48" s="9" t="s">
        <v>95</v>
      </c>
      <c r="G48" s="86"/>
      <c r="H48" s="90"/>
      <c r="I48" s="86"/>
      <c r="J48" s="86"/>
      <c r="K48" s="12">
        <v>0</v>
      </c>
      <c r="L48" s="17"/>
    </row>
    <row r="49" spans="1:12" x14ac:dyDescent="0.35">
      <c r="A49" s="9"/>
      <c r="B49" s="9"/>
      <c r="C49" s="10" t="s">
        <v>96</v>
      </c>
      <c r="D49" s="9"/>
      <c r="E49" s="9"/>
      <c r="F49" s="9" t="s">
        <v>97</v>
      </c>
      <c r="G49" s="86"/>
      <c r="H49" s="90"/>
      <c r="I49" s="86"/>
      <c r="J49" s="86"/>
      <c r="K49" s="12">
        <v>0</v>
      </c>
      <c r="L49" s="17"/>
    </row>
    <row r="50" spans="1:12" x14ac:dyDescent="0.35">
      <c r="A50" s="9"/>
      <c r="B50" s="9"/>
      <c r="C50" s="10" t="s">
        <v>98</v>
      </c>
      <c r="D50" s="9"/>
      <c r="E50" s="9"/>
      <c r="F50" s="9" t="s">
        <v>99</v>
      </c>
      <c r="G50" s="86"/>
      <c r="H50" s="90"/>
      <c r="I50" s="86"/>
      <c r="J50" s="86"/>
      <c r="K50" s="12">
        <v>0</v>
      </c>
      <c r="L50" s="17"/>
    </row>
    <row r="51" spans="1:12" x14ac:dyDescent="0.35">
      <c r="A51" s="9"/>
      <c r="B51" s="9"/>
      <c r="C51" s="10" t="s">
        <v>100</v>
      </c>
      <c r="D51" s="9"/>
      <c r="E51" s="9"/>
      <c r="F51" s="9" t="s">
        <v>101</v>
      </c>
      <c r="G51" s="86"/>
      <c r="H51" s="90"/>
      <c r="I51" s="86"/>
      <c r="J51" s="86"/>
      <c r="K51" s="12">
        <v>0</v>
      </c>
      <c r="L51" s="17"/>
    </row>
    <row r="52" spans="1:12" x14ac:dyDescent="0.35">
      <c r="A52" s="9"/>
      <c r="B52" s="9"/>
      <c r="C52" s="10" t="s">
        <v>102</v>
      </c>
      <c r="D52" s="9"/>
      <c r="E52" s="9"/>
      <c r="F52" s="9" t="s">
        <v>103</v>
      </c>
      <c r="G52" s="86"/>
      <c r="H52" s="90"/>
      <c r="I52" s="86"/>
      <c r="J52" s="86"/>
      <c r="K52" s="12">
        <v>0</v>
      </c>
      <c r="L52" s="17"/>
    </row>
    <row r="53" spans="1:12" x14ac:dyDescent="0.35">
      <c r="A53" s="9"/>
      <c r="B53" s="9"/>
      <c r="C53" s="10" t="s">
        <v>104</v>
      </c>
      <c r="D53" s="9"/>
      <c r="E53" s="9"/>
      <c r="F53" s="9" t="s">
        <v>105</v>
      </c>
      <c r="G53" s="86">
        <v>61726.79</v>
      </c>
      <c r="H53" s="90" t="s">
        <v>15</v>
      </c>
      <c r="I53" s="86">
        <v>61726.79</v>
      </c>
      <c r="J53" s="86"/>
      <c r="K53" s="12">
        <v>61726.79</v>
      </c>
      <c r="L53" s="94"/>
    </row>
    <row r="54" spans="1:12" x14ac:dyDescent="0.35">
      <c r="A54" s="9"/>
      <c r="B54" s="9"/>
      <c r="C54" s="10" t="s">
        <v>106</v>
      </c>
      <c r="D54" s="9"/>
      <c r="E54" s="9"/>
      <c r="F54" s="9" t="s">
        <v>107</v>
      </c>
      <c r="G54" s="86">
        <v>67467.23</v>
      </c>
      <c r="H54" s="90" t="s">
        <v>24</v>
      </c>
      <c r="I54" s="86"/>
      <c r="J54" s="86">
        <v>67467.23</v>
      </c>
      <c r="K54" s="12">
        <v>67467.23</v>
      </c>
      <c r="L54" s="94"/>
    </row>
    <row r="55" spans="1:12" x14ac:dyDescent="0.35">
      <c r="A55" s="9"/>
      <c r="B55" s="9"/>
      <c r="C55" s="10" t="s">
        <v>108</v>
      </c>
      <c r="D55" s="9"/>
      <c r="E55" s="9"/>
      <c r="F55" s="9" t="s">
        <v>109</v>
      </c>
      <c r="G55" s="86">
        <v>64499.58</v>
      </c>
      <c r="H55" s="90" t="s">
        <v>24</v>
      </c>
      <c r="I55" s="86"/>
      <c r="J55" s="86">
        <v>64499.58</v>
      </c>
      <c r="K55" s="12">
        <v>64499.58</v>
      </c>
      <c r="L55" s="94"/>
    </row>
    <row r="56" spans="1:12" x14ac:dyDescent="0.35">
      <c r="A56" s="9"/>
      <c r="B56" s="9"/>
      <c r="C56" s="10" t="s">
        <v>110</v>
      </c>
      <c r="D56" s="9"/>
      <c r="E56" s="9"/>
      <c r="F56" s="9" t="s">
        <v>111</v>
      </c>
      <c r="G56" s="86">
        <v>21919.52</v>
      </c>
      <c r="H56" s="90" t="s">
        <v>24</v>
      </c>
      <c r="I56" s="86"/>
      <c r="J56" s="86">
        <v>21919.52</v>
      </c>
      <c r="K56" s="12">
        <v>21919.52</v>
      </c>
      <c r="L56" s="94"/>
    </row>
    <row r="57" spans="1:12" x14ac:dyDescent="0.35">
      <c r="A57" s="9"/>
      <c r="B57" s="9"/>
      <c r="C57" s="10" t="s">
        <v>112</v>
      </c>
      <c r="D57" s="9"/>
      <c r="E57" s="9"/>
      <c r="F57" s="9" t="s">
        <v>113</v>
      </c>
      <c r="G57" s="86">
        <v>112096.57</v>
      </c>
      <c r="H57" s="90" t="s">
        <v>24</v>
      </c>
      <c r="I57" s="86"/>
      <c r="J57" s="86">
        <v>112096.57</v>
      </c>
      <c r="K57" s="12">
        <v>112096.57</v>
      </c>
      <c r="L57" s="94"/>
    </row>
    <row r="58" spans="1:12" x14ac:dyDescent="0.35">
      <c r="A58" s="9"/>
      <c r="B58" s="9"/>
      <c r="C58" s="10" t="s">
        <v>114</v>
      </c>
      <c r="D58" s="9"/>
      <c r="E58" s="9"/>
      <c r="F58" s="9" t="s">
        <v>115</v>
      </c>
      <c r="G58" s="86"/>
      <c r="H58" s="90"/>
      <c r="I58" s="86"/>
      <c r="J58" s="86"/>
      <c r="K58" s="12">
        <v>0</v>
      </c>
      <c r="L58" s="94"/>
    </row>
    <row r="59" spans="1:12" x14ac:dyDescent="0.35">
      <c r="A59" s="9"/>
      <c r="B59" s="9"/>
      <c r="C59" s="10" t="s">
        <v>116</v>
      </c>
      <c r="D59" s="9"/>
      <c r="E59" s="9"/>
      <c r="F59" s="9" t="s">
        <v>117</v>
      </c>
      <c r="G59" s="86">
        <v>11290.83</v>
      </c>
      <c r="H59" s="90" t="s">
        <v>24</v>
      </c>
      <c r="I59" s="86"/>
      <c r="J59" s="86">
        <v>11290.83</v>
      </c>
      <c r="K59" s="12">
        <v>11290.83</v>
      </c>
      <c r="L59" s="94"/>
    </row>
    <row r="60" spans="1:12" x14ac:dyDescent="0.35">
      <c r="A60" s="9"/>
      <c r="B60" s="9"/>
      <c r="C60" s="10" t="s">
        <v>118</v>
      </c>
      <c r="D60" s="9"/>
      <c r="E60" s="9"/>
      <c r="F60" s="9" t="s">
        <v>119</v>
      </c>
      <c r="G60" s="86"/>
      <c r="H60" s="90"/>
      <c r="I60" s="86"/>
      <c r="J60" s="86"/>
      <c r="K60" s="12">
        <v>0</v>
      </c>
      <c r="L60" s="94"/>
    </row>
    <row r="61" spans="1:12" x14ac:dyDescent="0.35">
      <c r="A61" s="9"/>
      <c r="B61" s="9"/>
      <c r="C61" s="10" t="s">
        <v>120</v>
      </c>
      <c r="D61" s="9"/>
      <c r="E61" s="9"/>
      <c r="F61" s="9" t="s">
        <v>121</v>
      </c>
      <c r="G61" s="86">
        <v>25403.27</v>
      </c>
      <c r="H61" s="90" t="s">
        <v>15</v>
      </c>
      <c r="I61" s="86">
        <v>25403.27</v>
      </c>
      <c r="J61" s="86"/>
      <c r="K61" s="12">
        <v>25403.27</v>
      </c>
      <c r="L61" s="94"/>
    </row>
    <row r="62" spans="1:12" x14ac:dyDescent="0.35">
      <c r="A62" s="9"/>
      <c r="B62" s="9"/>
      <c r="C62" s="10" t="s">
        <v>122</v>
      </c>
      <c r="D62" s="9"/>
      <c r="E62" s="9"/>
      <c r="F62" s="9" t="s">
        <v>123</v>
      </c>
      <c r="G62" s="86">
        <v>651726.68999999994</v>
      </c>
      <c r="H62" s="90" t="s">
        <v>24</v>
      </c>
      <c r="I62" s="86"/>
      <c r="J62" s="86">
        <v>651726.68999999994</v>
      </c>
      <c r="K62" s="12">
        <v>651726.68999999994</v>
      </c>
      <c r="L62" s="94"/>
    </row>
    <row r="63" spans="1:12" x14ac:dyDescent="0.35">
      <c r="A63" s="9"/>
      <c r="B63" s="9"/>
      <c r="C63" s="10" t="s">
        <v>124</v>
      </c>
      <c r="D63" s="9"/>
      <c r="E63" s="9"/>
      <c r="F63" s="9" t="s">
        <v>125</v>
      </c>
      <c r="G63" s="86">
        <v>15716.43</v>
      </c>
      <c r="H63" s="90" t="s">
        <v>24</v>
      </c>
      <c r="I63" s="86"/>
      <c r="J63" s="86">
        <v>15716.43</v>
      </c>
      <c r="K63" s="12">
        <v>15716.43</v>
      </c>
      <c r="L63" s="94"/>
    </row>
    <row r="64" spans="1:12" hidden="1" x14ac:dyDescent="0.35">
      <c r="A64" s="9"/>
      <c r="B64" s="9" t="s">
        <v>126</v>
      </c>
      <c r="C64" s="10"/>
      <c r="D64" s="9"/>
      <c r="E64" s="9" t="s">
        <v>127</v>
      </c>
      <c r="F64" s="9"/>
      <c r="G64" s="12"/>
      <c r="H64" s="9"/>
      <c r="I64" s="12"/>
      <c r="J64" s="12"/>
      <c r="K64" s="12"/>
      <c r="L64" s="14"/>
    </row>
    <row r="65" spans="1:12" hidden="1" x14ac:dyDescent="0.35">
      <c r="A65" s="9"/>
      <c r="B65" s="9" t="s">
        <v>128</v>
      </c>
      <c r="C65" s="10"/>
      <c r="D65" s="9"/>
      <c r="E65" s="9" t="s">
        <v>127</v>
      </c>
      <c r="F65" s="9"/>
      <c r="G65" s="12"/>
      <c r="H65" s="9"/>
      <c r="I65" s="12"/>
      <c r="J65" s="12"/>
      <c r="K65" s="12"/>
      <c r="L65" s="14"/>
    </row>
    <row r="66" spans="1:12" x14ac:dyDescent="0.35">
      <c r="A66" s="9"/>
      <c r="B66" s="9" t="s">
        <v>129</v>
      </c>
      <c r="C66" s="10"/>
      <c r="D66" s="9"/>
      <c r="E66" s="9" t="s">
        <v>130</v>
      </c>
      <c r="F66" s="9"/>
      <c r="G66" s="12">
        <v>0</v>
      </c>
      <c r="H66" s="9"/>
      <c r="I66" s="12">
        <v>0</v>
      </c>
      <c r="J66" s="12">
        <v>0</v>
      </c>
      <c r="K66" s="12"/>
      <c r="L66" s="14"/>
    </row>
    <row r="67" spans="1:12" x14ac:dyDescent="0.35">
      <c r="A67" s="9"/>
      <c r="B67" s="9"/>
      <c r="C67" s="10" t="s">
        <v>131</v>
      </c>
      <c r="D67" s="9"/>
      <c r="E67" s="9"/>
      <c r="F67" s="9" t="s">
        <v>132</v>
      </c>
      <c r="G67" s="15"/>
      <c r="H67" s="16"/>
      <c r="I67" s="15"/>
      <c r="J67" s="15">
        <v>0</v>
      </c>
      <c r="K67" s="12">
        <v>0</v>
      </c>
      <c r="L67" s="17"/>
    </row>
    <row r="68" spans="1:12" x14ac:dyDescent="0.35">
      <c r="A68" s="9"/>
      <c r="B68" s="9"/>
      <c r="C68" s="10" t="s">
        <v>133</v>
      </c>
      <c r="D68" s="9"/>
      <c r="E68" s="9"/>
      <c r="F68" s="9" t="s">
        <v>134</v>
      </c>
      <c r="G68" s="15"/>
      <c r="H68" s="16"/>
      <c r="I68" s="15"/>
      <c r="J68" s="15"/>
      <c r="K68" s="12">
        <v>0</v>
      </c>
      <c r="L68" s="17"/>
    </row>
    <row r="69" spans="1:12" x14ac:dyDescent="0.35">
      <c r="A69" s="9"/>
      <c r="B69" s="9"/>
      <c r="C69" s="10" t="s">
        <v>135</v>
      </c>
      <c r="D69" s="9"/>
      <c r="E69" s="9"/>
      <c r="F69" s="9" t="s">
        <v>136</v>
      </c>
      <c r="G69" s="15"/>
      <c r="H69" s="16"/>
      <c r="I69" s="15"/>
      <c r="J69" s="15"/>
      <c r="K69" s="12">
        <v>0</v>
      </c>
      <c r="L69" s="17"/>
    </row>
    <row r="70" spans="1:12" x14ac:dyDescent="0.35">
      <c r="A70" s="9"/>
      <c r="B70" s="9" t="s">
        <v>137</v>
      </c>
      <c r="C70" s="10"/>
      <c r="D70" s="9"/>
      <c r="E70" s="9" t="s">
        <v>138</v>
      </c>
      <c r="F70" s="9"/>
      <c r="G70" s="12">
        <v>559796.75</v>
      </c>
      <c r="H70" s="9"/>
      <c r="I70" s="12">
        <v>75160</v>
      </c>
      <c r="J70" s="12">
        <v>484636.75</v>
      </c>
      <c r="K70" s="12"/>
      <c r="L70" s="14"/>
    </row>
    <row r="71" spans="1:12" x14ac:dyDescent="0.35">
      <c r="A71" s="9"/>
      <c r="B71" s="9"/>
      <c r="C71" s="10" t="s">
        <v>139</v>
      </c>
      <c r="D71" s="9"/>
      <c r="E71" s="9"/>
      <c r="F71" s="9" t="s">
        <v>140</v>
      </c>
      <c r="G71" s="86">
        <v>175517.69</v>
      </c>
      <c r="H71" s="90" t="s">
        <v>24</v>
      </c>
      <c r="I71" s="86"/>
      <c r="J71" s="86">
        <v>175517.69</v>
      </c>
      <c r="K71" s="12">
        <v>175517.69</v>
      </c>
      <c r="L71" s="93"/>
    </row>
    <row r="72" spans="1:12" x14ac:dyDescent="0.35">
      <c r="A72" s="9"/>
      <c r="B72" s="9"/>
      <c r="C72" s="10" t="s">
        <v>141</v>
      </c>
      <c r="D72" s="9"/>
      <c r="E72" s="9"/>
      <c r="F72" s="9" t="s">
        <v>142</v>
      </c>
      <c r="G72" s="86">
        <v>384279.06</v>
      </c>
      <c r="H72" s="90" t="s">
        <v>59</v>
      </c>
      <c r="I72" s="86">
        <v>75160</v>
      </c>
      <c r="J72" s="86">
        <v>309119.06</v>
      </c>
      <c r="K72" s="12">
        <v>384279.06</v>
      </c>
      <c r="L72" s="93"/>
    </row>
    <row r="73" spans="1:12" x14ac:dyDescent="0.35">
      <c r="A73" s="9"/>
      <c r="B73" s="9"/>
      <c r="C73" s="10" t="s">
        <v>143</v>
      </c>
      <c r="D73" s="9"/>
      <c r="E73" s="9"/>
      <c r="F73" s="9" t="s">
        <v>144</v>
      </c>
      <c r="G73" s="86"/>
      <c r="H73" s="90"/>
      <c r="I73" s="86"/>
      <c r="J73" s="86"/>
      <c r="K73" s="12">
        <v>0</v>
      </c>
      <c r="L73" s="17"/>
    </row>
    <row r="74" spans="1:12" hidden="1" x14ac:dyDescent="0.35">
      <c r="A74" s="9"/>
      <c r="B74" s="9" t="s">
        <v>145</v>
      </c>
      <c r="C74" s="10"/>
      <c r="D74" s="9"/>
      <c r="E74" s="9" t="s">
        <v>127</v>
      </c>
      <c r="F74" s="9"/>
      <c r="G74" s="12"/>
      <c r="H74" s="9"/>
      <c r="I74" s="12"/>
      <c r="J74" s="12"/>
      <c r="K74" s="12"/>
      <c r="L74" s="14"/>
    </row>
    <row r="75" spans="1:12" hidden="1" x14ac:dyDescent="0.35">
      <c r="A75" s="9"/>
      <c r="B75" s="9" t="s">
        <v>146</v>
      </c>
      <c r="C75" s="10"/>
      <c r="D75" s="9"/>
      <c r="E75" s="9" t="s">
        <v>127</v>
      </c>
      <c r="F75" s="9"/>
      <c r="G75" s="12"/>
      <c r="H75" s="9"/>
      <c r="I75" s="12"/>
      <c r="J75" s="12"/>
      <c r="K75" s="12"/>
      <c r="L75" s="14"/>
    </row>
    <row r="76" spans="1:12" s="7" customFormat="1" x14ac:dyDescent="0.35">
      <c r="A76" s="4" t="s">
        <v>147</v>
      </c>
      <c r="B76" s="4"/>
      <c r="C76" s="22"/>
      <c r="D76" s="4"/>
      <c r="E76" s="4"/>
      <c r="F76" s="4"/>
      <c r="G76" s="23">
        <v>4112615.0600000005</v>
      </c>
      <c r="H76" s="24"/>
      <c r="I76" s="23">
        <v>1716695.7999999998</v>
      </c>
      <c r="J76" s="23">
        <v>2395919.2599999998</v>
      </c>
      <c r="K76" s="12">
        <v>4112615.0599999996</v>
      </c>
      <c r="L76" s="25"/>
    </row>
    <row r="77" spans="1:12" x14ac:dyDescent="0.35">
      <c r="F77" s="139" t="s">
        <v>200</v>
      </c>
      <c r="G77" s="180">
        <v>4112615.0599999996</v>
      </c>
      <c r="H77" s="13"/>
      <c r="I77" s="66">
        <v>0.41742195049978725</v>
      </c>
      <c r="J77" s="66">
        <v>0.58257804950021252</v>
      </c>
      <c r="K77" s="27"/>
    </row>
    <row r="79" spans="1:12" x14ac:dyDescent="0.35">
      <c r="F79" s="142" t="s">
        <v>201</v>
      </c>
    </row>
    <row r="80" spans="1:12" hidden="1" x14ac:dyDescent="0.35">
      <c r="H80" t="s">
        <v>15</v>
      </c>
    </row>
    <row r="81" spans="3:11" x14ac:dyDescent="0.35">
      <c r="C81"/>
      <c r="H81" t="s">
        <v>24</v>
      </c>
    </row>
    <row r="82" spans="3:11" x14ac:dyDescent="0.35">
      <c r="C82"/>
      <c r="H82" t="s">
        <v>59</v>
      </c>
    </row>
    <row r="83" spans="3:11" x14ac:dyDescent="0.35">
      <c r="C83"/>
      <c r="H83" s="139" t="s">
        <v>202</v>
      </c>
      <c r="I83" s="12">
        <v>16307880.720000003</v>
      </c>
      <c r="J83" s="141">
        <v>0.10526786585424569</v>
      </c>
      <c r="K83" s="142" t="s">
        <v>203</v>
      </c>
    </row>
    <row r="97" customFormat="1" x14ac:dyDescent="0.35"/>
    <row r="98" customFormat="1" x14ac:dyDescent="0.35"/>
    <row r="99" customFormat="1" x14ac:dyDescent="0.35"/>
    <row r="100" customFormat="1" x14ac:dyDescent="0.35"/>
    <row r="101" customFormat="1" x14ac:dyDescent="0.35"/>
    <row r="102" customFormat="1" x14ac:dyDescent="0.35"/>
    <row r="103" customFormat="1" x14ac:dyDescent="0.35"/>
    <row r="104" customFormat="1" x14ac:dyDescent="0.35"/>
    <row r="105" customFormat="1" x14ac:dyDescent="0.35"/>
    <row r="106" customFormat="1" x14ac:dyDescent="0.35"/>
    <row r="107" customFormat="1" x14ac:dyDescent="0.35"/>
    <row r="108" customFormat="1" x14ac:dyDescent="0.35"/>
    <row r="109" customFormat="1" x14ac:dyDescent="0.35"/>
    <row r="110" customFormat="1" x14ac:dyDescent="0.35"/>
    <row r="112" customFormat="1" ht="15" hidden="1" customHeight="1" x14ac:dyDescent="0.35"/>
    <row r="113" customFormat="1" ht="15" hidden="1" customHeight="1" x14ac:dyDescent="0.35"/>
    <row r="114" customFormat="1" ht="15" hidden="1" customHeight="1" x14ac:dyDescent="0.35"/>
    <row r="115" customFormat="1" ht="15" hidden="1" customHeight="1" x14ac:dyDescent="0.35"/>
    <row r="116" customFormat="1" ht="15" hidden="1" customHeight="1" x14ac:dyDescent="0.35"/>
    <row r="117" customFormat="1" ht="15" hidden="1" customHeight="1" x14ac:dyDescent="0.35"/>
    <row r="118" customFormat="1" ht="15" hidden="1" customHeight="1" x14ac:dyDescent="0.35"/>
    <row r="119" customFormat="1" ht="15" hidden="1" customHeight="1" x14ac:dyDescent="0.35"/>
    <row r="120" customFormat="1" ht="15" hidden="1" customHeight="1" x14ac:dyDescent="0.35"/>
    <row r="121" customFormat="1" ht="15" hidden="1" customHeight="1" x14ac:dyDescent="0.35"/>
    <row r="122" customFormat="1" ht="15" hidden="1" customHeight="1" x14ac:dyDescent="0.35"/>
    <row r="123" customFormat="1" ht="15" hidden="1" customHeight="1" x14ac:dyDescent="0.35"/>
    <row r="124" customFormat="1" ht="15" hidden="1" customHeight="1" x14ac:dyDescent="0.35"/>
    <row r="125" customFormat="1" ht="15" hidden="1" customHeight="1" x14ac:dyDescent="0.35"/>
    <row r="126" customFormat="1" ht="15" hidden="1" customHeight="1" x14ac:dyDescent="0.35"/>
    <row r="127" customFormat="1" ht="15" hidden="1" customHeight="1" x14ac:dyDescent="0.35"/>
    <row r="128" customFormat="1" ht="15" hidden="1" customHeight="1" x14ac:dyDescent="0.35"/>
    <row r="129" customFormat="1" ht="15" hidden="1" customHeight="1" x14ac:dyDescent="0.35"/>
    <row r="130" customFormat="1" ht="15" hidden="1" customHeight="1" x14ac:dyDescent="0.35"/>
    <row r="131" customFormat="1" ht="15" hidden="1" customHeight="1" x14ac:dyDescent="0.35"/>
    <row r="132" customFormat="1" ht="15" hidden="1" customHeight="1" x14ac:dyDescent="0.35"/>
    <row r="133" customFormat="1" ht="15" hidden="1" customHeight="1" x14ac:dyDescent="0.35"/>
    <row r="134" customFormat="1" ht="15" hidden="1" customHeight="1" x14ac:dyDescent="0.35"/>
    <row r="135" customFormat="1" ht="15" hidden="1" customHeight="1" x14ac:dyDescent="0.35"/>
    <row r="136" customFormat="1" ht="15" hidden="1" customHeight="1" x14ac:dyDescent="0.35"/>
    <row r="137" customFormat="1" ht="15" hidden="1" customHeight="1" x14ac:dyDescent="0.35"/>
    <row r="138" customFormat="1" ht="15" hidden="1" customHeight="1" x14ac:dyDescent="0.35"/>
    <row r="139" customFormat="1" ht="15" hidden="1" customHeight="1" x14ac:dyDescent="0.35"/>
    <row r="140" customFormat="1" ht="15" hidden="1" customHeight="1" x14ac:dyDescent="0.35"/>
  </sheetData>
  <conditionalFormatting sqref="G76">
    <cfRule type="cellIs" dxfId="449" priority="11" operator="notEqual">
      <formula>$G$77</formula>
    </cfRule>
    <cfRule type="cellIs" dxfId="448" priority="12" operator="equal">
      <formula>$G$77</formula>
    </cfRule>
  </conditionalFormatting>
  <conditionalFormatting sqref="K9:K24">
    <cfRule type="cellIs" dxfId="447" priority="101" operator="notEqual">
      <formula>G9</formula>
    </cfRule>
    <cfRule type="cellIs" dxfId="446" priority="102" operator="equal">
      <formula>G9</formula>
    </cfRule>
  </conditionalFormatting>
  <conditionalFormatting sqref="K26:K41">
    <cfRule type="cellIs" dxfId="445" priority="69" operator="notEqual">
      <formula>G26</formula>
    </cfRule>
    <cfRule type="cellIs" dxfId="444" priority="70" operator="equal">
      <formula>G26</formula>
    </cfRule>
  </conditionalFormatting>
  <conditionalFormatting sqref="K43:K63">
    <cfRule type="cellIs" dxfId="443" priority="27" operator="notEqual">
      <formula>G43</formula>
    </cfRule>
    <cfRule type="cellIs" dxfId="442" priority="28" operator="equal">
      <formula>G43</formula>
    </cfRule>
  </conditionalFormatting>
  <conditionalFormatting sqref="K67:K69">
    <cfRule type="cellIs" dxfId="441" priority="21" operator="notEqual">
      <formula>G67</formula>
    </cfRule>
    <cfRule type="cellIs" dxfId="440" priority="22" operator="equal">
      <formula>G67</formula>
    </cfRule>
  </conditionalFormatting>
  <conditionalFormatting sqref="K71:K73">
    <cfRule type="cellIs" dxfId="439" priority="15" operator="notEqual">
      <formula>G71</formula>
    </cfRule>
    <cfRule type="cellIs" dxfId="438" priority="16" operator="equal">
      <formula>G71</formula>
    </cfRule>
  </conditionalFormatting>
  <conditionalFormatting sqref="K76">
    <cfRule type="cellIs" dxfId="437" priority="13" operator="notEqual">
      <formula>G76</formula>
    </cfRule>
    <cfRule type="cellIs" dxfId="436" priority="14" operator="equal">
      <formula>G76</formula>
    </cfRule>
  </conditionalFormatting>
  <dataValidations disablePrompts="1" count="1">
    <dataValidation type="list" allowBlank="1" showInputMessage="1" showErrorMessage="1" sqref="H9:H75" xr:uid="{00000000-0002-0000-0A00-000000000000}">
      <formula1>$H$80:$H$82</formula1>
    </dataValidation>
  </dataValidations>
  <pageMargins left="0.7" right="0.7" top="0.75" bottom="0.75" header="0.3" footer="0.3"/>
  <pageSetup scale="39" orientation="landscape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9" operator="notEqual" id="{8D02D8D0-BDCE-4776-972C-9BFB6C83B1E2}">
            <xm:f>'D:\Finance\Work\Reports &amp; Surveys\Cost Analysis\Cost Analysis - 2012-2013\Received from Colleges\Chipola\Original\[Chipola 2012-13 CA2.xlsx]CA2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10" operator="equal" id="{E894329E-7F39-4F1B-9657-D26F3189E5E9}">
            <xm:f>'D:\Finance\Work\Reports &amp; Surveys\Cost Analysis\Cost Analysis - 2012-2013\Received from Colleges\Chipola\Original\[Chipola 2012-13 CA2.xlsx]CA2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G8</xm:sqref>
        </x14:conditionalFormatting>
        <x14:conditionalFormatting xmlns:xm="http://schemas.microsoft.com/office/excel/2006/main">
          <x14:cfRule type="cellIs" priority="7" operator="notEqual" id="{D2085F71-BB5F-4CC5-8563-5732762B0DBC}">
            <xm:f>'D:\Finance\Work\Reports &amp; Surveys\Cost Analysis\Cost Analysis - 2012-2013\Received from Colleges\Chipola\Original\[Chipola 2012-13 CA2.xlsx]CA2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8" operator="equal" id="{A3E5279D-17A1-4B74-8FC4-DBD844383E9D}">
            <xm:f>'D:\Finance\Work\Reports &amp; Surveys\Cost Analysis\Cost Analysis - 2012-2013\Received from Colleges\Chipola\Original\[Chipola 2012-13 CA2.xlsx]CA2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G25</xm:sqref>
        </x14:conditionalFormatting>
        <x14:conditionalFormatting xmlns:xm="http://schemas.microsoft.com/office/excel/2006/main">
          <x14:cfRule type="cellIs" priority="5" operator="notEqual" id="{6E33F2A2-0C37-4603-9EA3-DA08B7E049B4}">
            <xm:f>'D:\Finance\Work\Reports &amp; Surveys\Cost Analysis\Cost Analysis - 2012-2013\Received from Colleges\Chipola\Original\[Chipola 2012-13 CA2.xlsx]CA2 Detail'!#REF!+'D:\Finance\Work\Reports &amp; Surveys\Cost Analysis\Cost Analysis - 2012-2013\Received from Colleges\Chipola\Original\[Chipola 2012-13 CA2.xlsx]CA2 Detail'!#REF!+'D:\Finance\Work\Reports &amp; Surveys\Cost Analysis\Cost Analysis - 2012-2013\Received from Colleges\Chipola\Original\[Chipola 2012-13 CA2.xlsx]CA2 Detail'!#REF!+'D:\Finance\Work\Reports &amp; Surveys\Cost Analysis\Cost Analysis - 2012-2013\Received from Colleges\Chipola\Original\[Chipola 2012-13 CA2.xlsx]CA2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6" operator="equal" id="{75D61E0A-47F7-4C74-846A-0031D997E8D2}">
            <xm:f>'D:\Finance\Work\Reports &amp; Surveys\Cost Analysis\Cost Analysis - 2012-2013\Received from Colleges\Chipola\Original\[Chipola 2012-13 CA2.xlsx]CA2 Detail'!#REF!+'D:\Finance\Work\Reports &amp; Surveys\Cost Analysis\Cost Analysis - 2012-2013\Received from Colleges\Chipola\Original\[Chipola 2012-13 CA2.xlsx]CA2 Detail'!#REF!+'D:\Finance\Work\Reports &amp; Surveys\Cost Analysis\Cost Analysis - 2012-2013\Received from Colleges\Chipola\Original\[Chipola 2012-13 CA2.xlsx]CA2 Detail'!#REF!+'D:\Finance\Work\Reports &amp; Surveys\Cost Analysis\Cost Analysis - 2012-2013\Received from Colleges\Chipola\Original\[Chipola 2012-13 CA2.xlsx]CA2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G42</xm:sqref>
        </x14:conditionalFormatting>
        <x14:conditionalFormatting xmlns:xm="http://schemas.microsoft.com/office/excel/2006/main">
          <x14:cfRule type="cellIs" priority="3" operator="notEqual" id="{940CF6CF-318E-4F7C-986A-A6A96D0E0831}">
            <xm:f>'D:\Finance\Work\Reports &amp; Surveys\Cost Analysis\Cost Analysis - 2012-2013\Received from Colleges\Chipola\Original\[Chipola 2012-13 CA2.xlsx]CA2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4" operator="equal" id="{DD0FCBD6-562E-459B-9F30-812B73731CC9}">
            <xm:f>'D:\Finance\Work\Reports &amp; Surveys\Cost Analysis\Cost Analysis - 2012-2013\Received from Colleges\Chipola\Original\[Chipola 2012-13 CA2.xlsx]CA2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G66</xm:sqref>
        </x14:conditionalFormatting>
        <x14:conditionalFormatting xmlns:xm="http://schemas.microsoft.com/office/excel/2006/main">
          <x14:cfRule type="cellIs" priority="1" operator="notEqual" id="{068C306F-21D0-4571-996C-490F5C1CA28B}">
            <xm:f>'D:\Finance\Work\Reports &amp; Surveys\Cost Analysis\Cost Analysis - 2012-2013\Received from Colleges\Chipola\Original\[Chipola 2012-13 CA2.xlsx]CA2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2" operator="equal" id="{EFA16103-C774-411D-B31D-844E925DD40A}">
            <xm:f>'D:\Finance\Work\Reports &amp; Surveys\Cost Analysis\Cost Analysis - 2012-2013\Received from Colleges\Chipola\Original\[Chipola 2012-13 CA2.xlsx]CA2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G70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00B0F0"/>
    <pageSetUpPr fitToPage="1"/>
  </sheetPr>
  <dimension ref="A1:L140"/>
  <sheetViews>
    <sheetView workbookViewId="0"/>
  </sheetViews>
  <sheetFormatPr defaultColWidth="9.1796875" defaultRowHeight="14.5" x14ac:dyDescent="0.35"/>
  <cols>
    <col min="1" max="2" width="2.81640625" style="144" customWidth="1"/>
    <col min="3" max="3" width="10.453125" style="165" bestFit="1" customWidth="1"/>
    <col min="4" max="5" width="2.81640625" style="144" customWidth="1"/>
    <col min="6" max="6" width="80.7265625" style="144" bestFit="1" customWidth="1"/>
    <col min="7" max="7" width="27.81640625" style="144" customWidth="1"/>
    <col min="8" max="8" width="15.26953125" style="144" bestFit="1" customWidth="1"/>
    <col min="9" max="9" width="27.26953125" style="144" customWidth="1"/>
    <col min="10" max="10" width="26.81640625" style="144" customWidth="1"/>
    <col min="11" max="11" width="25.81640625" style="144" customWidth="1"/>
    <col min="12" max="12" width="82.54296875" style="144" customWidth="1"/>
    <col min="13" max="16384" width="9.1796875" style="144"/>
  </cols>
  <sheetData>
    <row r="1" spans="1:12" x14ac:dyDescent="0.35">
      <c r="A1" s="166"/>
      <c r="B1" s="166"/>
      <c r="C1" s="166"/>
      <c r="D1" s="166"/>
      <c r="E1" s="166"/>
      <c r="F1" s="166"/>
      <c r="G1" s="166"/>
      <c r="H1" s="166"/>
      <c r="I1" s="166" t="s">
        <v>0</v>
      </c>
      <c r="J1" s="166"/>
      <c r="K1" s="166"/>
      <c r="L1" s="166"/>
    </row>
    <row r="2" spans="1:12" x14ac:dyDescent="0.35">
      <c r="A2" s="166"/>
      <c r="B2" s="166"/>
      <c r="C2" s="166"/>
      <c r="D2" s="166"/>
      <c r="E2" s="166"/>
      <c r="F2" s="166"/>
      <c r="G2" s="166"/>
      <c r="H2" s="166"/>
      <c r="I2" s="167" t="s">
        <v>197</v>
      </c>
      <c r="J2" s="166"/>
      <c r="K2" s="166"/>
      <c r="L2" s="166"/>
    </row>
    <row r="3" spans="1:12" x14ac:dyDescent="0.35">
      <c r="A3" s="168" t="s">
        <v>198</v>
      </c>
      <c r="B3" s="167"/>
      <c r="C3" s="167"/>
      <c r="D3" s="167"/>
      <c r="E3" s="167"/>
      <c r="F3" s="167"/>
      <c r="G3" s="167"/>
      <c r="H3" s="167"/>
      <c r="I3" s="167"/>
      <c r="J3" s="167"/>
      <c r="K3" s="167"/>
      <c r="L3" s="167"/>
    </row>
    <row r="4" spans="1:12" ht="19.5" customHeight="1" x14ac:dyDescent="0.35">
      <c r="A4" s="169" t="s">
        <v>151</v>
      </c>
      <c r="B4" s="170"/>
      <c r="C4" s="170"/>
      <c r="D4" s="170"/>
      <c r="E4" s="170"/>
      <c r="F4" s="170"/>
      <c r="G4" s="170"/>
      <c r="H4" s="170"/>
      <c r="I4" s="170"/>
      <c r="J4" s="170"/>
      <c r="K4" s="170"/>
      <c r="L4" s="170"/>
    </row>
    <row r="5" spans="1:12" x14ac:dyDescent="0.35">
      <c r="A5" s="170"/>
      <c r="B5" s="170"/>
      <c r="C5" s="170"/>
      <c r="D5" s="170"/>
      <c r="E5" s="170"/>
      <c r="F5" s="170"/>
      <c r="G5" s="170"/>
      <c r="H5" s="170"/>
      <c r="I5" s="170"/>
      <c r="J5" s="170"/>
      <c r="K5" s="170"/>
      <c r="L5" s="170"/>
    </row>
    <row r="6" spans="1:12" s="7" customFormat="1" x14ac:dyDescent="0.35">
      <c r="A6" s="124" t="s">
        <v>2</v>
      </c>
      <c r="B6" s="125"/>
      <c r="C6" s="125"/>
      <c r="D6" s="124" t="s">
        <v>3</v>
      </c>
      <c r="E6" s="125"/>
      <c r="F6" s="125"/>
      <c r="G6" s="118" t="s">
        <v>274</v>
      </c>
      <c r="H6" s="126" t="s">
        <v>4</v>
      </c>
      <c r="I6" s="126" t="s">
        <v>5</v>
      </c>
      <c r="J6" s="126" t="s">
        <v>6</v>
      </c>
      <c r="K6" s="126" t="s">
        <v>7</v>
      </c>
      <c r="L6" s="126" t="s">
        <v>199</v>
      </c>
    </row>
    <row r="7" spans="1:12" x14ac:dyDescent="0.35">
      <c r="A7" s="171" t="s">
        <v>9</v>
      </c>
      <c r="B7" s="172"/>
      <c r="C7" s="153"/>
      <c r="D7" s="173" t="s">
        <v>10</v>
      </c>
      <c r="E7" s="153"/>
      <c r="F7" s="153"/>
      <c r="G7" s="155"/>
      <c r="H7" s="172"/>
      <c r="I7" s="155"/>
      <c r="J7" s="155"/>
      <c r="K7" s="155"/>
      <c r="L7" s="173"/>
    </row>
    <row r="8" spans="1:12" x14ac:dyDescent="0.35">
      <c r="A8" s="171"/>
      <c r="B8" s="172" t="s">
        <v>11</v>
      </c>
      <c r="C8" s="153"/>
      <c r="D8" s="174"/>
      <c r="E8" s="172" t="s">
        <v>12</v>
      </c>
      <c r="F8" s="153"/>
      <c r="G8" s="155">
        <v>2138413.89</v>
      </c>
      <c r="H8" s="172"/>
      <c r="I8" s="155">
        <v>1764299.81</v>
      </c>
      <c r="J8" s="155">
        <v>374114.08</v>
      </c>
      <c r="K8" s="155"/>
      <c r="L8" s="175"/>
    </row>
    <row r="9" spans="1:12" x14ac:dyDescent="0.35">
      <c r="A9" s="171"/>
      <c r="B9" s="172"/>
      <c r="C9" s="153" t="s">
        <v>13</v>
      </c>
      <c r="D9" s="174"/>
      <c r="E9" s="153"/>
      <c r="F9" s="172" t="s">
        <v>14</v>
      </c>
      <c r="G9" s="86"/>
      <c r="H9" s="176"/>
      <c r="I9" s="86"/>
      <c r="J9" s="86"/>
      <c r="K9" s="155">
        <v>0</v>
      </c>
      <c r="L9" s="177"/>
    </row>
    <row r="10" spans="1:12" x14ac:dyDescent="0.35">
      <c r="A10" s="171"/>
      <c r="B10" s="172"/>
      <c r="C10" s="153" t="s">
        <v>16</v>
      </c>
      <c r="D10" s="174"/>
      <c r="E10" s="153"/>
      <c r="F10" s="172" t="s">
        <v>17</v>
      </c>
      <c r="G10" s="86">
        <v>7134.16</v>
      </c>
      <c r="H10" s="176" t="s">
        <v>15</v>
      </c>
      <c r="I10" s="86">
        <v>7134.16</v>
      </c>
      <c r="J10" s="86"/>
      <c r="K10" s="155">
        <v>7134.16</v>
      </c>
      <c r="L10" s="177"/>
    </row>
    <row r="11" spans="1:12" x14ac:dyDescent="0.35">
      <c r="A11" s="171"/>
      <c r="B11" s="172"/>
      <c r="C11" s="153" t="s">
        <v>18</v>
      </c>
      <c r="D11" s="174"/>
      <c r="E11" s="153"/>
      <c r="F11" s="172" t="s">
        <v>19</v>
      </c>
      <c r="G11" s="86">
        <v>736008.31</v>
      </c>
      <c r="H11" s="176" t="s">
        <v>15</v>
      </c>
      <c r="I11" s="86">
        <v>736008.31</v>
      </c>
      <c r="J11" s="86">
        <v>0</v>
      </c>
      <c r="K11" s="155">
        <v>736008.31</v>
      </c>
      <c r="L11" s="177"/>
    </row>
    <row r="12" spans="1:12" x14ac:dyDescent="0.35">
      <c r="A12" s="171"/>
      <c r="B12" s="172"/>
      <c r="C12" s="153" t="s">
        <v>20</v>
      </c>
      <c r="D12" s="174"/>
      <c r="E12" s="153"/>
      <c r="F12" s="172" t="s">
        <v>21</v>
      </c>
      <c r="G12" s="86">
        <v>30301.96</v>
      </c>
      <c r="H12" s="176" t="s">
        <v>15</v>
      </c>
      <c r="I12" s="86">
        <v>30301.96</v>
      </c>
      <c r="J12" s="86"/>
      <c r="K12" s="155">
        <v>30301.96</v>
      </c>
      <c r="L12" s="177"/>
    </row>
    <row r="13" spans="1:12" x14ac:dyDescent="0.35">
      <c r="A13" s="171"/>
      <c r="B13" s="172"/>
      <c r="C13" s="153" t="s">
        <v>22</v>
      </c>
      <c r="D13" s="174"/>
      <c r="E13" s="153"/>
      <c r="F13" s="172" t="s">
        <v>23</v>
      </c>
      <c r="G13" s="86">
        <v>942814.4</v>
      </c>
      <c r="H13" s="176" t="s">
        <v>15</v>
      </c>
      <c r="I13" s="86">
        <v>942814.4</v>
      </c>
      <c r="J13" s="86"/>
      <c r="K13" s="155">
        <v>942814.4</v>
      </c>
      <c r="L13" s="177"/>
    </row>
    <row r="14" spans="1:12" x14ac:dyDescent="0.35">
      <c r="A14" s="171"/>
      <c r="B14" s="172"/>
      <c r="C14" s="153" t="s">
        <v>25</v>
      </c>
      <c r="D14" s="174"/>
      <c r="E14" s="153"/>
      <c r="F14" s="172" t="s">
        <v>26</v>
      </c>
      <c r="G14" s="86"/>
      <c r="H14" s="176"/>
      <c r="I14" s="86"/>
      <c r="J14" s="86"/>
      <c r="K14" s="155">
        <v>0</v>
      </c>
      <c r="L14" s="177"/>
    </row>
    <row r="15" spans="1:12" x14ac:dyDescent="0.35">
      <c r="A15" s="171"/>
      <c r="B15" s="172"/>
      <c r="C15" s="153" t="s">
        <v>27</v>
      </c>
      <c r="D15" s="174"/>
      <c r="E15" s="153"/>
      <c r="F15" s="172" t="s">
        <v>28</v>
      </c>
      <c r="G15" s="86">
        <v>13883.5</v>
      </c>
      <c r="H15" s="176" t="s">
        <v>15</v>
      </c>
      <c r="I15" s="86">
        <v>13883.5</v>
      </c>
      <c r="J15" s="86"/>
      <c r="K15" s="155">
        <v>13883.5</v>
      </c>
      <c r="L15" s="177"/>
    </row>
    <row r="16" spans="1:12" x14ac:dyDescent="0.35">
      <c r="A16" s="171"/>
      <c r="B16" s="172"/>
      <c r="C16" s="153" t="s">
        <v>29</v>
      </c>
      <c r="D16" s="174"/>
      <c r="E16" s="153"/>
      <c r="F16" s="172" t="s">
        <v>30</v>
      </c>
      <c r="G16" s="86"/>
      <c r="H16" s="176"/>
      <c r="I16" s="86"/>
      <c r="J16" s="86"/>
      <c r="K16" s="155">
        <v>0</v>
      </c>
      <c r="L16" s="177"/>
    </row>
    <row r="17" spans="1:12" x14ac:dyDescent="0.35">
      <c r="A17" s="171"/>
      <c r="B17" s="172"/>
      <c r="C17" s="153" t="s">
        <v>31</v>
      </c>
      <c r="D17" s="174"/>
      <c r="E17" s="153"/>
      <c r="F17" s="172" t="s">
        <v>32</v>
      </c>
      <c r="G17" s="86">
        <v>27284.240000000002</v>
      </c>
      <c r="H17" s="176" t="s">
        <v>24</v>
      </c>
      <c r="I17" s="86"/>
      <c r="J17" s="86">
        <v>27284.240000000002</v>
      </c>
      <c r="K17" s="155">
        <v>27284.240000000002</v>
      </c>
      <c r="L17" s="177"/>
    </row>
    <row r="18" spans="1:12" x14ac:dyDescent="0.35">
      <c r="A18" s="171"/>
      <c r="B18" s="172"/>
      <c r="C18" s="153" t="s">
        <v>33</v>
      </c>
      <c r="D18" s="174"/>
      <c r="E18" s="153"/>
      <c r="F18" s="172" t="s">
        <v>34</v>
      </c>
      <c r="G18" s="86">
        <v>346829.84</v>
      </c>
      <c r="H18" s="176" t="s">
        <v>24</v>
      </c>
      <c r="I18" s="86"/>
      <c r="J18" s="86">
        <v>346829.84</v>
      </c>
      <c r="K18" s="155">
        <v>346829.84</v>
      </c>
      <c r="L18" s="177"/>
    </row>
    <row r="19" spans="1:12" x14ac:dyDescent="0.35">
      <c r="A19" s="171"/>
      <c r="B19" s="172"/>
      <c r="C19" s="153" t="s">
        <v>35</v>
      </c>
      <c r="D19" s="174"/>
      <c r="E19" s="153"/>
      <c r="F19" s="172" t="s">
        <v>36</v>
      </c>
      <c r="G19" s="91"/>
      <c r="H19" s="176"/>
      <c r="I19" s="91"/>
      <c r="J19" s="91"/>
      <c r="K19" s="155">
        <v>0</v>
      </c>
      <c r="L19" s="177"/>
    </row>
    <row r="20" spans="1:12" x14ac:dyDescent="0.35">
      <c r="A20" s="171"/>
      <c r="B20" s="172"/>
      <c r="C20" s="153" t="s">
        <v>37</v>
      </c>
      <c r="D20" s="174"/>
      <c r="E20" s="153"/>
      <c r="F20" s="172" t="s">
        <v>38</v>
      </c>
      <c r="G20" s="86">
        <v>33908.69</v>
      </c>
      <c r="H20" s="176" t="s">
        <v>15</v>
      </c>
      <c r="I20" s="86">
        <v>33908.69</v>
      </c>
      <c r="J20" s="86"/>
      <c r="K20" s="155">
        <v>33908.69</v>
      </c>
      <c r="L20" s="177"/>
    </row>
    <row r="21" spans="1:12" x14ac:dyDescent="0.35">
      <c r="A21" s="171"/>
      <c r="B21" s="172"/>
      <c r="C21" s="153" t="s">
        <v>39</v>
      </c>
      <c r="D21" s="174"/>
      <c r="E21" s="153"/>
      <c r="F21" s="172" t="s">
        <v>40</v>
      </c>
      <c r="G21" s="86"/>
      <c r="H21" s="176"/>
      <c r="I21" s="86"/>
      <c r="J21" s="86"/>
      <c r="K21" s="155">
        <v>0</v>
      </c>
      <c r="L21" s="177"/>
    </row>
    <row r="22" spans="1:12" x14ac:dyDescent="0.35">
      <c r="A22" s="171"/>
      <c r="B22" s="172"/>
      <c r="C22" s="153" t="s">
        <v>41</v>
      </c>
      <c r="D22" s="174"/>
      <c r="E22" s="153"/>
      <c r="F22" s="172" t="s">
        <v>42</v>
      </c>
      <c r="G22" s="86">
        <v>0</v>
      </c>
      <c r="H22" s="176"/>
      <c r="I22" s="86"/>
      <c r="J22" s="86"/>
      <c r="K22" s="155">
        <v>0</v>
      </c>
      <c r="L22" s="177"/>
    </row>
    <row r="23" spans="1:12" x14ac:dyDescent="0.35">
      <c r="A23" s="171"/>
      <c r="B23" s="172"/>
      <c r="C23" s="153" t="s">
        <v>43</v>
      </c>
      <c r="D23" s="174"/>
      <c r="E23" s="153"/>
      <c r="F23" s="172" t="s">
        <v>44</v>
      </c>
      <c r="G23" s="86"/>
      <c r="H23" s="176"/>
      <c r="I23" s="86"/>
      <c r="J23" s="86"/>
      <c r="K23" s="155">
        <v>0</v>
      </c>
      <c r="L23" s="177"/>
    </row>
    <row r="24" spans="1:12" x14ac:dyDescent="0.35">
      <c r="A24" s="172"/>
      <c r="B24" s="172"/>
      <c r="C24" s="160" t="s">
        <v>45</v>
      </c>
      <c r="D24" s="174"/>
      <c r="E24" s="160"/>
      <c r="F24" s="172" t="s">
        <v>46</v>
      </c>
      <c r="G24" s="92">
        <v>248.79000000000002</v>
      </c>
      <c r="H24" s="176" t="s">
        <v>15</v>
      </c>
      <c r="I24" s="92">
        <v>248.79000000000002</v>
      </c>
      <c r="J24" s="92"/>
      <c r="K24" s="155">
        <v>248.79000000000002</v>
      </c>
      <c r="L24" s="177"/>
    </row>
    <row r="25" spans="1:12" x14ac:dyDescent="0.35">
      <c r="A25" s="171"/>
      <c r="B25" s="172" t="s">
        <v>47</v>
      </c>
      <c r="C25" s="153"/>
      <c r="D25" s="174"/>
      <c r="E25" s="172" t="s">
        <v>48</v>
      </c>
      <c r="F25" s="153"/>
      <c r="G25" s="155">
        <v>2561703.09</v>
      </c>
      <c r="H25" s="172"/>
      <c r="I25" s="155">
        <v>1925085.4</v>
      </c>
      <c r="J25" s="155">
        <v>636617.68999999994</v>
      </c>
      <c r="K25" s="155"/>
      <c r="L25" s="175"/>
    </row>
    <row r="26" spans="1:12" x14ac:dyDescent="0.35">
      <c r="A26" s="171"/>
      <c r="B26" s="172"/>
      <c r="C26" s="153" t="s">
        <v>49</v>
      </c>
      <c r="D26" s="174"/>
      <c r="E26" s="153"/>
      <c r="F26" s="172" t="s">
        <v>50</v>
      </c>
      <c r="G26" s="86"/>
      <c r="H26" s="176"/>
      <c r="I26" s="86"/>
      <c r="J26" s="86"/>
      <c r="K26" s="155">
        <v>0</v>
      </c>
      <c r="L26" s="177"/>
    </row>
    <row r="27" spans="1:12" x14ac:dyDescent="0.35">
      <c r="A27" s="171"/>
      <c r="B27" s="172"/>
      <c r="C27" s="153" t="s">
        <v>51</v>
      </c>
      <c r="D27" s="174"/>
      <c r="E27" s="153"/>
      <c r="F27" s="172" t="s">
        <v>52</v>
      </c>
      <c r="G27" s="86">
        <v>296196.65999999997</v>
      </c>
      <c r="H27" s="176" t="s">
        <v>15</v>
      </c>
      <c r="I27" s="86">
        <v>296196.65999999997</v>
      </c>
      <c r="J27" s="86"/>
      <c r="K27" s="155">
        <v>296196.65999999997</v>
      </c>
      <c r="L27" s="177"/>
    </row>
    <row r="28" spans="1:12" x14ac:dyDescent="0.35">
      <c r="A28" s="171"/>
      <c r="B28" s="172"/>
      <c r="C28" s="153" t="s">
        <v>53</v>
      </c>
      <c r="D28" s="174"/>
      <c r="E28" s="153"/>
      <c r="F28" s="172" t="s">
        <v>54</v>
      </c>
      <c r="G28" s="86"/>
      <c r="H28" s="176"/>
      <c r="I28" s="86"/>
      <c r="J28" s="86"/>
      <c r="K28" s="155">
        <v>0</v>
      </c>
      <c r="L28" s="177"/>
    </row>
    <row r="29" spans="1:12" x14ac:dyDescent="0.35">
      <c r="A29" s="171"/>
      <c r="B29" s="172"/>
      <c r="C29" s="153" t="s">
        <v>55</v>
      </c>
      <c r="D29" s="174"/>
      <c r="E29" s="153"/>
      <c r="F29" s="172" t="s">
        <v>56</v>
      </c>
      <c r="G29" s="86">
        <v>157464.31</v>
      </c>
      <c r="H29" s="176" t="s">
        <v>15</v>
      </c>
      <c r="I29" s="86">
        <v>157464.31</v>
      </c>
      <c r="J29" s="86"/>
      <c r="K29" s="155">
        <v>157464.31</v>
      </c>
      <c r="L29" s="177"/>
    </row>
    <row r="30" spans="1:12" x14ac:dyDescent="0.35">
      <c r="A30" s="171"/>
      <c r="B30" s="172"/>
      <c r="C30" s="153" t="s">
        <v>57</v>
      </c>
      <c r="D30" s="174"/>
      <c r="E30" s="153"/>
      <c r="F30" s="172" t="s">
        <v>58</v>
      </c>
      <c r="G30" s="86"/>
      <c r="H30" s="176"/>
      <c r="I30" s="86"/>
      <c r="J30" s="86"/>
      <c r="K30" s="155">
        <v>0</v>
      </c>
      <c r="L30" s="177"/>
    </row>
    <row r="31" spans="1:12" x14ac:dyDescent="0.35">
      <c r="A31" s="171"/>
      <c r="B31" s="172"/>
      <c r="C31" s="153" t="s">
        <v>60</v>
      </c>
      <c r="D31" s="174"/>
      <c r="E31" s="153"/>
      <c r="F31" s="172" t="s">
        <v>61</v>
      </c>
      <c r="G31" s="86">
        <v>372919.23</v>
      </c>
      <c r="H31" s="176" t="s">
        <v>15</v>
      </c>
      <c r="I31" s="86">
        <v>372919.23</v>
      </c>
      <c r="J31" s="86"/>
      <c r="K31" s="155">
        <v>372919.23</v>
      </c>
      <c r="L31" s="177"/>
    </row>
    <row r="32" spans="1:12" x14ac:dyDescent="0.35">
      <c r="A32" s="171"/>
      <c r="B32" s="172"/>
      <c r="C32" s="153" t="s">
        <v>62</v>
      </c>
      <c r="D32" s="174"/>
      <c r="E32" s="153"/>
      <c r="F32" s="172" t="s">
        <v>63</v>
      </c>
      <c r="G32" s="86">
        <v>496711.54</v>
      </c>
      <c r="H32" s="176" t="s">
        <v>59</v>
      </c>
      <c r="I32" s="86">
        <v>91964.87</v>
      </c>
      <c r="J32" s="86">
        <v>404746.67</v>
      </c>
      <c r="K32" s="155">
        <v>496711.54</v>
      </c>
      <c r="L32" s="177" t="s">
        <v>220</v>
      </c>
    </row>
    <row r="33" spans="1:12" x14ac:dyDescent="0.35">
      <c r="A33" s="172"/>
      <c r="B33" s="172"/>
      <c r="C33" s="153" t="s">
        <v>64</v>
      </c>
      <c r="D33" s="172"/>
      <c r="E33" s="153"/>
      <c r="F33" s="172" t="s">
        <v>65</v>
      </c>
      <c r="G33" s="86"/>
      <c r="H33" s="176"/>
      <c r="I33" s="86"/>
      <c r="J33" s="86"/>
      <c r="K33" s="155">
        <v>0</v>
      </c>
      <c r="L33" s="177"/>
    </row>
    <row r="34" spans="1:12" x14ac:dyDescent="0.35">
      <c r="A34" s="172"/>
      <c r="B34" s="172"/>
      <c r="C34" s="153" t="s">
        <v>66</v>
      </c>
      <c r="D34" s="172"/>
      <c r="E34" s="172"/>
      <c r="F34" s="172" t="s">
        <v>67</v>
      </c>
      <c r="G34" s="86">
        <v>216063.69</v>
      </c>
      <c r="H34" s="176" t="s">
        <v>15</v>
      </c>
      <c r="I34" s="86">
        <v>216063.69</v>
      </c>
      <c r="J34" s="86"/>
      <c r="K34" s="155">
        <v>216063.69</v>
      </c>
      <c r="L34" s="177"/>
    </row>
    <row r="35" spans="1:12" x14ac:dyDescent="0.35">
      <c r="A35" s="172"/>
      <c r="B35" s="172"/>
      <c r="C35" s="153" t="s">
        <v>68</v>
      </c>
      <c r="D35" s="172"/>
      <c r="E35" s="153"/>
      <c r="F35" s="172" t="s">
        <v>69</v>
      </c>
      <c r="G35" s="86">
        <v>1022347.66</v>
      </c>
      <c r="H35" s="176" t="s">
        <v>59</v>
      </c>
      <c r="I35" s="86">
        <v>790476.64</v>
      </c>
      <c r="J35" s="86">
        <v>231871.02</v>
      </c>
      <c r="K35" s="155">
        <v>1022347.66</v>
      </c>
      <c r="L35" s="177" t="s">
        <v>210</v>
      </c>
    </row>
    <row r="36" spans="1:12" x14ac:dyDescent="0.35">
      <c r="A36" s="172"/>
      <c r="B36" s="172"/>
      <c r="C36" s="153" t="s">
        <v>70</v>
      </c>
      <c r="D36" s="172"/>
      <c r="E36" s="172"/>
      <c r="F36" s="172" t="s">
        <v>71</v>
      </c>
      <c r="G36" s="86"/>
      <c r="H36" s="176"/>
      <c r="I36" s="86"/>
      <c r="J36" s="86"/>
      <c r="K36" s="155">
        <v>0</v>
      </c>
      <c r="L36" s="177"/>
    </row>
    <row r="37" spans="1:12" x14ac:dyDescent="0.35">
      <c r="A37" s="172"/>
      <c r="B37" s="172"/>
      <c r="C37" s="153" t="s">
        <v>72</v>
      </c>
      <c r="D37" s="172"/>
      <c r="E37" s="161"/>
      <c r="F37" s="172" t="s">
        <v>73</v>
      </c>
      <c r="G37" s="86"/>
      <c r="H37" s="176"/>
      <c r="I37" s="86"/>
      <c r="J37" s="86"/>
      <c r="K37" s="155">
        <v>0</v>
      </c>
      <c r="L37" s="177"/>
    </row>
    <row r="38" spans="1:12" x14ac:dyDescent="0.35">
      <c r="A38" s="172"/>
      <c r="B38" s="172"/>
      <c r="C38" s="153" t="s">
        <v>74</v>
      </c>
      <c r="D38" s="172"/>
      <c r="E38" s="172"/>
      <c r="F38" s="172" t="s">
        <v>75</v>
      </c>
      <c r="G38" s="86"/>
      <c r="H38" s="176"/>
      <c r="I38" s="86"/>
      <c r="J38" s="86"/>
      <c r="K38" s="155">
        <v>0</v>
      </c>
      <c r="L38" s="177"/>
    </row>
    <row r="39" spans="1:12" x14ac:dyDescent="0.35">
      <c r="A39" s="172"/>
      <c r="B39" s="172"/>
      <c r="C39" s="153" t="s">
        <v>76</v>
      </c>
      <c r="D39" s="172"/>
      <c r="E39" s="172"/>
      <c r="F39" s="172" t="s">
        <v>77</v>
      </c>
      <c r="G39" s="86"/>
      <c r="H39" s="176"/>
      <c r="I39" s="86"/>
      <c r="J39" s="86"/>
      <c r="K39" s="155">
        <v>0</v>
      </c>
      <c r="L39" s="177"/>
    </row>
    <row r="40" spans="1:12" x14ac:dyDescent="0.35">
      <c r="A40" s="172"/>
      <c r="B40" s="172"/>
      <c r="C40" s="153" t="s">
        <v>78</v>
      </c>
      <c r="D40" s="172"/>
      <c r="E40" s="172"/>
      <c r="F40" s="172" t="s">
        <v>79</v>
      </c>
      <c r="G40" s="86"/>
      <c r="H40" s="176"/>
      <c r="I40" s="86"/>
      <c r="J40" s="86"/>
      <c r="K40" s="155">
        <v>0</v>
      </c>
      <c r="L40" s="177"/>
    </row>
    <row r="41" spans="1:12" x14ac:dyDescent="0.35">
      <c r="A41" s="172"/>
      <c r="B41" s="172"/>
      <c r="C41" s="153" t="s">
        <v>80</v>
      </c>
      <c r="D41" s="172"/>
      <c r="E41" s="172"/>
      <c r="F41" s="172" t="s">
        <v>81</v>
      </c>
      <c r="G41" s="86"/>
      <c r="H41" s="176"/>
      <c r="I41" s="86"/>
      <c r="J41" s="86"/>
      <c r="K41" s="155">
        <v>0</v>
      </c>
      <c r="L41" s="177"/>
    </row>
    <row r="42" spans="1:12" x14ac:dyDescent="0.35">
      <c r="A42" s="172"/>
      <c r="B42" s="172" t="s">
        <v>82</v>
      </c>
      <c r="C42" s="153"/>
      <c r="D42" s="172"/>
      <c r="E42" s="172" t="s">
        <v>83</v>
      </c>
      <c r="F42" s="172"/>
      <c r="G42" s="155">
        <v>8566025.5700000003</v>
      </c>
      <c r="H42" s="172"/>
      <c r="I42" s="155">
        <v>3209054.93</v>
      </c>
      <c r="J42" s="155">
        <v>5356970.6400000006</v>
      </c>
      <c r="K42" s="155"/>
      <c r="L42" s="175"/>
    </row>
    <row r="43" spans="1:12" x14ac:dyDescent="0.35">
      <c r="A43" s="172"/>
      <c r="B43" s="172"/>
      <c r="C43" s="153" t="s">
        <v>84</v>
      </c>
      <c r="D43" s="172"/>
      <c r="E43" s="172"/>
      <c r="F43" s="172" t="s">
        <v>85</v>
      </c>
      <c r="G43" s="86">
        <v>2495860.3600000003</v>
      </c>
      <c r="H43" s="176" t="s">
        <v>24</v>
      </c>
      <c r="I43" s="86"/>
      <c r="J43" s="86">
        <v>2495860.3600000003</v>
      </c>
      <c r="K43" s="155">
        <v>2495860.3600000003</v>
      </c>
      <c r="L43" s="177"/>
    </row>
    <row r="44" spans="1:12" x14ac:dyDescent="0.35">
      <c r="A44" s="172"/>
      <c r="B44" s="172"/>
      <c r="C44" s="153" t="s">
        <v>86</v>
      </c>
      <c r="D44" s="172"/>
      <c r="E44" s="172"/>
      <c r="F44" s="172" t="s">
        <v>87</v>
      </c>
      <c r="G44" s="86">
        <v>1052848.1399999999</v>
      </c>
      <c r="H44" s="176" t="s">
        <v>24</v>
      </c>
      <c r="I44" s="86"/>
      <c r="J44" s="86">
        <v>1052848.1399999999</v>
      </c>
      <c r="K44" s="155">
        <v>1052848.1399999999</v>
      </c>
      <c r="L44" s="177"/>
    </row>
    <row r="45" spans="1:12" x14ac:dyDescent="0.35">
      <c r="A45" s="172"/>
      <c r="B45" s="172"/>
      <c r="C45" s="153" t="s">
        <v>88</v>
      </c>
      <c r="D45" s="172"/>
      <c r="E45" s="172"/>
      <c r="F45" s="172" t="s">
        <v>89</v>
      </c>
      <c r="G45" s="86">
        <v>788552.69</v>
      </c>
      <c r="H45" s="176" t="s">
        <v>15</v>
      </c>
      <c r="I45" s="86">
        <v>788552.69</v>
      </c>
      <c r="J45" s="86"/>
      <c r="K45" s="155">
        <v>788552.69</v>
      </c>
      <c r="L45" s="177"/>
    </row>
    <row r="46" spans="1:12" x14ac:dyDescent="0.35">
      <c r="A46" s="172"/>
      <c r="B46" s="172"/>
      <c r="C46" s="153" t="s">
        <v>90</v>
      </c>
      <c r="D46" s="172"/>
      <c r="E46" s="172"/>
      <c r="F46" s="172" t="s">
        <v>91</v>
      </c>
      <c r="G46" s="86">
        <v>1391009.31</v>
      </c>
      <c r="H46" s="176" t="s">
        <v>24</v>
      </c>
      <c r="I46" s="86"/>
      <c r="J46" s="86">
        <v>1391009.31</v>
      </c>
      <c r="K46" s="155">
        <v>1391009.31</v>
      </c>
      <c r="L46" s="177"/>
    </row>
    <row r="47" spans="1:12" x14ac:dyDescent="0.35">
      <c r="A47" s="172"/>
      <c r="B47" s="172"/>
      <c r="C47" s="153" t="s">
        <v>92</v>
      </c>
      <c r="D47" s="172"/>
      <c r="E47" s="172"/>
      <c r="F47" s="172" t="s">
        <v>93</v>
      </c>
      <c r="G47" s="86">
        <v>1061793.21</v>
      </c>
      <c r="H47" s="176" t="s">
        <v>15</v>
      </c>
      <c r="I47" s="86">
        <v>1061793.21</v>
      </c>
      <c r="J47" s="86"/>
      <c r="K47" s="155">
        <v>1061793.21</v>
      </c>
      <c r="L47" s="177"/>
    </row>
    <row r="48" spans="1:12" x14ac:dyDescent="0.35">
      <c r="A48" s="172"/>
      <c r="B48" s="172"/>
      <c r="C48" s="153" t="s">
        <v>94</v>
      </c>
      <c r="D48" s="172"/>
      <c r="E48" s="172"/>
      <c r="F48" s="172" t="s">
        <v>95</v>
      </c>
      <c r="G48" s="86"/>
      <c r="H48" s="176"/>
      <c r="I48" s="86"/>
      <c r="J48" s="86"/>
      <c r="K48" s="155">
        <v>0</v>
      </c>
      <c r="L48" s="177"/>
    </row>
    <row r="49" spans="1:12" x14ac:dyDescent="0.35">
      <c r="A49" s="172"/>
      <c r="B49" s="172"/>
      <c r="C49" s="153" t="s">
        <v>96</v>
      </c>
      <c r="D49" s="172"/>
      <c r="E49" s="172"/>
      <c r="F49" s="172" t="s">
        <v>97</v>
      </c>
      <c r="G49" s="86">
        <v>301714.77</v>
      </c>
      <c r="H49" s="176" t="s">
        <v>15</v>
      </c>
      <c r="I49" s="86">
        <v>301714.77</v>
      </c>
      <c r="J49" s="86"/>
      <c r="K49" s="155">
        <v>301714.77</v>
      </c>
      <c r="L49" s="177"/>
    </row>
    <row r="50" spans="1:12" x14ac:dyDescent="0.35">
      <c r="A50" s="172"/>
      <c r="B50" s="172"/>
      <c r="C50" s="153" t="s">
        <v>98</v>
      </c>
      <c r="D50" s="172"/>
      <c r="E50" s="172"/>
      <c r="F50" s="172" t="s">
        <v>99</v>
      </c>
      <c r="G50" s="86">
        <v>250371.87</v>
      </c>
      <c r="H50" s="176" t="s">
        <v>15</v>
      </c>
      <c r="I50" s="86">
        <v>250371.87</v>
      </c>
      <c r="J50" s="86"/>
      <c r="K50" s="155">
        <v>250371.87</v>
      </c>
      <c r="L50" s="177"/>
    </row>
    <row r="51" spans="1:12" x14ac:dyDescent="0.35">
      <c r="A51" s="172"/>
      <c r="B51" s="172"/>
      <c r="C51" s="153" t="s">
        <v>100</v>
      </c>
      <c r="D51" s="172"/>
      <c r="E51" s="172"/>
      <c r="F51" s="172" t="s">
        <v>101</v>
      </c>
      <c r="G51" s="86"/>
      <c r="H51" s="176"/>
      <c r="I51" s="86"/>
      <c r="J51" s="86"/>
      <c r="K51" s="155">
        <v>0</v>
      </c>
      <c r="L51" s="177"/>
    </row>
    <row r="52" spans="1:12" x14ac:dyDescent="0.35">
      <c r="A52" s="172"/>
      <c r="B52" s="172"/>
      <c r="C52" s="153" t="s">
        <v>102</v>
      </c>
      <c r="D52" s="172"/>
      <c r="E52" s="172"/>
      <c r="F52" s="172" t="s">
        <v>103</v>
      </c>
      <c r="G52" s="86"/>
      <c r="H52" s="176"/>
      <c r="I52" s="86"/>
      <c r="J52" s="86"/>
      <c r="K52" s="155">
        <v>0</v>
      </c>
      <c r="L52" s="177"/>
    </row>
    <row r="53" spans="1:12" x14ac:dyDescent="0.35">
      <c r="A53" s="172"/>
      <c r="B53" s="172"/>
      <c r="C53" s="153" t="s">
        <v>104</v>
      </c>
      <c r="D53" s="172"/>
      <c r="E53" s="172"/>
      <c r="F53" s="172" t="s">
        <v>105</v>
      </c>
      <c r="G53" s="86">
        <v>184237.98</v>
      </c>
      <c r="H53" s="176" t="s">
        <v>15</v>
      </c>
      <c r="I53" s="86">
        <v>184237.98</v>
      </c>
      <c r="J53" s="86"/>
      <c r="K53" s="155">
        <v>184237.98</v>
      </c>
      <c r="L53" s="177"/>
    </row>
    <row r="54" spans="1:12" x14ac:dyDescent="0.35">
      <c r="A54" s="172"/>
      <c r="B54" s="172"/>
      <c r="C54" s="153" t="s">
        <v>106</v>
      </c>
      <c r="D54" s="172"/>
      <c r="E54" s="172"/>
      <c r="F54" s="172" t="s">
        <v>107</v>
      </c>
      <c r="G54" s="86">
        <v>235195.2</v>
      </c>
      <c r="H54" s="176" t="s">
        <v>15</v>
      </c>
      <c r="I54" s="86">
        <v>235195.2</v>
      </c>
      <c r="J54" s="86"/>
      <c r="K54" s="155">
        <v>235195.2</v>
      </c>
      <c r="L54" s="177"/>
    </row>
    <row r="55" spans="1:12" x14ac:dyDescent="0.35">
      <c r="A55" s="172"/>
      <c r="B55" s="172"/>
      <c r="C55" s="153" t="s">
        <v>108</v>
      </c>
      <c r="D55" s="172"/>
      <c r="E55" s="172"/>
      <c r="F55" s="172" t="s">
        <v>109</v>
      </c>
      <c r="G55" s="86"/>
      <c r="H55" s="176"/>
      <c r="I55" s="86"/>
      <c r="J55" s="86"/>
      <c r="K55" s="155">
        <v>0</v>
      </c>
      <c r="L55" s="177"/>
    </row>
    <row r="56" spans="1:12" x14ac:dyDescent="0.35">
      <c r="A56" s="172"/>
      <c r="B56" s="172"/>
      <c r="C56" s="153" t="s">
        <v>110</v>
      </c>
      <c r="D56" s="172"/>
      <c r="E56" s="172"/>
      <c r="F56" s="172" t="s">
        <v>111</v>
      </c>
      <c r="G56" s="86">
        <v>387189.21</v>
      </c>
      <c r="H56" s="176" t="s">
        <v>15</v>
      </c>
      <c r="I56" s="86">
        <v>387189.21</v>
      </c>
      <c r="J56" s="86"/>
      <c r="K56" s="155">
        <v>387189.21</v>
      </c>
      <c r="L56" s="177"/>
    </row>
    <row r="57" spans="1:12" x14ac:dyDescent="0.35">
      <c r="A57" s="172"/>
      <c r="B57" s="172"/>
      <c r="C57" s="153" t="s">
        <v>112</v>
      </c>
      <c r="D57" s="172"/>
      <c r="E57" s="172"/>
      <c r="F57" s="172" t="s">
        <v>113</v>
      </c>
      <c r="G57" s="86">
        <v>190405.49</v>
      </c>
      <c r="H57" s="176" t="s">
        <v>24</v>
      </c>
      <c r="I57" s="86"/>
      <c r="J57" s="86">
        <v>190405.49</v>
      </c>
      <c r="K57" s="155">
        <v>190405.49</v>
      </c>
      <c r="L57" s="177"/>
    </row>
    <row r="58" spans="1:12" x14ac:dyDescent="0.35">
      <c r="A58" s="172"/>
      <c r="B58" s="172"/>
      <c r="C58" s="153" t="s">
        <v>114</v>
      </c>
      <c r="D58" s="172"/>
      <c r="E58" s="172"/>
      <c r="F58" s="172" t="s">
        <v>115</v>
      </c>
      <c r="G58" s="86"/>
      <c r="H58" s="176"/>
      <c r="I58" s="86"/>
      <c r="J58" s="86"/>
      <c r="K58" s="155">
        <v>0</v>
      </c>
      <c r="L58" s="177"/>
    </row>
    <row r="59" spans="1:12" x14ac:dyDescent="0.35">
      <c r="A59" s="172"/>
      <c r="B59" s="172"/>
      <c r="C59" s="153" t="s">
        <v>116</v>
      </c>
      <c r="D59" s="172"/>
      <c r="E59" s="172"/>
      <c r="F59" s="172" t="s">
        <v>117</v>
      </c>
      <c r="G59" s="86"/>
      <c r="H59" s="176"/>
      <c r="I59" s="86"/>
      <c r="J59" s="86"/>
      <c r="K59" s="155">
        <v>0</v>
      </c>
      <c r="L59" s="177"/>
    </row>
    <row r="60" spans="1:12" x14ac:dyDescent="0.35">
      <c r="A60" s="172"/>
      <c r="B60" s="172"/>
      <c r="C60" s="153" t="s">
        <v>118</v>
      </c>
      <c r="D60" s="172"/>
      <c r="E60" s="172"/>
      <c r="F60" s="172" t="s">
        <v>119</v>
      </c>
      <c r="G60" s="86"/>
      <c r="H60" s="176"/>
      <c r="I60" s="86"/>
      <c r="J60" s="86"/>
      <c r="K60" s="155">
        <v>0</v>
      </c>
      <c r="L60" s="177"/>
    </row>
    <row r="61" spans="1:12" x14ac:dyDescent="0.35">
      <c r="A61" s="172"/>
      <c r="B61" s="172"/>
      <c r="C61" s="153" t="s">
        <v>120</v>
      </c>
      <c r="D61" s="172"/>
      <c r="E61" s="172"/>
      <c r="F61" s="172" t="s">
        <v>121</v>
      </c>
      <c r="G61" s="86">
        <v>147988.88</v>
      </c>
      <c r="H61" s="176" t="s">
        <v>24</v>
      </c>
      <c r="I61" s="86"/>
      <c r="J61" s="86">
        <v>147988.88</v>
      </c>
      <c r="K61" s="155">
        <v>147988.88</v>
      </c>
      <c r="L61" s="177"/>
    </row>
    <row r="62" spans="1:12" x14ac:dyDescent="0.35">
      <c r="A62" s="172"/>
      <c r="B62" s="172"/>
      <c r="C62" s="153" t="s">
        <v>122</v>
      </c>
      <c r="D62" s="172"/>
      <c r="E62" s="172"/>
      <c r="F62" s="172" t="s">
        <v>123</v>
      </c>
      <c r="G62" s="86">
        <v>1061.3699999999999</v>
      </c>
      <c r="H62" s="176" t="s">
        <v>24</v>
      </c>
      <c r="I62" s="86"/>
      <c r="J62" s="86">
        <v>1061.3699999999999</v>
      </c>
      <c r="K62" s="155">
        <v>1061.3699999999999</v>
      </c>
      <c r="L62" s="177"/>
    </row>
    <row r="63" spans="1:12" x14ac:dyDescent="0.35">
      <c r="A63" s="172"/>
      <c r="B63" s="172"/>
      <c r="C63" s="153" t="s">
        <v>124</v>
      </c>
      <c r="D63" s="172"/>
      <c r="E63" s="172"/>
      <c r="F63" s="172" t="s">
        <v>125</v>
      </c>
      <c r="G63" s="86">
        <v>77797.09</v>
      </c>
      <c r="H63" s="176" t="s">
        <v>24</v>
      </c>
      <c r="I63" s="86"/>
      <c r="J63" s="86">
        <v>77797.09</v>
      </c>
      <c r="K63" s="155">
        <v>77797.09</v>
      </c>
      <c r="L63" s="177"/>
    </row>
    <row r="64" spans="1:12" hidden="1" x14ac:dyDescent="0.35">
      <c r="A64" s="172"/>
      <c r="B64" s="172" t="s">
        <v>126</v>
      </c>
      <c r="C64" s="153"/>
      <c r="D64" s="172"/>
      <c r="E64" s="172" t="s">
        <v>127</v>
      </c>
      <c r="F64" s="172"/>
      <c r="G64" s="155"/>
      <c r="H64" s="172"/>
      <c r="I64" s="155"/>
      <c r="J64" s="155"/>
      <c r="K64" s="155"/>
      <c r="L64" s="175"/>
    </row>
    <row r="65" spans="1:12" hidden="1" x14ac:dyDescent="0.35">
      <c r="A65" s="172"/>
      <c r="B65" s="172" t="s">
        <v>128</v>
      </c>
      <c r="C65" s="153"/>
      <c r="D65" s="172"/>
      <c r="E65" s="172" t="s">
        <v>127</v>
      </c>
      <c r="F65" s="172"/>
      <c r="G65" s="155"/>
      <c r="H65" s="172"/>
      <c r="I65" s="155"/>
      <c r="J65" s="155"/>
      <c r="K65" s="155"/>
      <c r="L65" s="175"/>
    </row>
    <row r="66" spans="1:12" x14ac:dyDescent="0.35">
      <c r="A66" s="172"/>
      <c r="B66" s="172" t="s">
        <v>129</v>
      </c>
      <c r="C66" s="153"/>
      <c r="D66" s="172"/>
      <c r="E66" s="172" t="s">
        <v>130</v>
      </c>
      <c r="F66" s="172"/>
      <c r="G66" s="155">
        <v>0</v>
      </c>
      <c r="H66" s="172"/>
      <c r="I66" s="155">
        <v>0</v>
      </c>
      <c r="J66" s="155">
        <v>0</v>
      </c>
      <c r="K66" s="155"/>
      <c r="L66" s="175"/>
    </row>
    <row r="67" spans="1:12" x14ac:dyDescent="0.35">
      <c r="A67" s="172"/>
      <c r="B67" s="172"/>
      <c r="C67" s="153" t="s">
        <v>131</v>
      </c>
      <c r="D67" s="172"/>
      <c r="E67" s="172"/>
      <c r="F67" s="172" t="s">
        <v>132</v>
      </c>
      <c r="G67" s="86"/>
      <c r="H67" s="176"/>
      <c r="I67" s="86"/>
      <c r="J67" s="86">
        <v>0</v>
      </c>
      <c r="K67" s="155">
        <v>0</v>
      </c>
      <c r="L67" s="177"/>
    </row>
    <row r="68" spans="1:12" x14ac:dyDescent="0.35">
      <c r="A68" s="172"/>
      <c r="B68" s="172"/>
      <c r="C68" s="153" t="s">
        <v>133</v>
      </c>
      <c r="D68" s="172"/>
      <c r="E68" s="172"/>
      <c r="F68" s="172" t="s">
        <v>134</v>
      </c>
      <c r="G68" s="86"/>
      <c r="H68" s="176"/>
      <c r="I68" s="86"/>
      <c r="J68" s="86"/>
      <c r="K68" s="155">
        <v>0</v>
      </c>
      <c r="L68" s="177"/>
    </row>
    <row r="69" spans="1:12" x14ac:dyDescent="0.35">
      <c r="A69" s="172"/>
      <c r="B69" s="172"/>
      <c r="C69" s="153" t="s">
        <v>135</v>
      </c>
      <c r="D69" s="172"/>
      <c r="E69" s="172"/>
      <c r="F69" s="172" t="s">
        <v>136</v>
      </c>
      <c r="G69" s="86"/>
      <c r="H69" s="176"/>
      <c r="I69" s="86"/>
      <c r="J69" s="86"/>
      <c r="K69" s="155">
        <v>0</v>
      </c>
      <c r="L69" s="177"/>
    </row>
    <row r="70" spans="1:12" x14ac:dyDescent="0.35">
      <c r="A70" s="172"/>
      <c r="B70" s="172" t="s">
        <v>137</v>
      </c>
      <c r="C70" s="153"/>
      <c r="D70" s="172"/>
      <c r="E70" s="172" t="s">
        <v>138</v>
      </c>
      <c r="F70" s="172"/>
      <c r="G70" s="155">
        <v>1877427.8499999999</v>
      </c>
      <c r="H70" s="172"/>
      <c r="I70" s="155">
        <v>1183673.1099999999</v>
      </c>
      <c r="J70" s="155">
        <v>693754.74</v>
      </c>
      <c r="K70" s="155"/>
      <c r="L70" s="175"/>
    </row>
    <row r="71" spans="1:12" x14ac:dyDescent="0.35">
      <c r="A71" s="172"/>
      <c r="B71" s="172"/>
      <c r="C71" s="153" t="s">
        <v>139</v>
      </c>
      <c r="D71" s="172"/>
      <c r="E71" s="172"/>
      <c r="F71" s="172" t="s">
        <v>140</v>
      </c>
      <c r="G71" s="86">
        <v>125908.67</v>
      </c>
      <c r="H71" s="176" t="s">
        <v>15</v>
      </c>
      <c r="I71" s="86">
        <v>125908.67</v>
      </c>
      <c r="J71" s="86"/>
      <c r="K71" s="155">
        <v>125908.67</v>
      </c>
      <c r="L71" s="177"/>
    </row>
    <row r="72" spans="1:12" x14ac:dyDescent="0.35">
      <c r="A72" s="172"/>
      <c r="B72" s="172"/>
      <c r="C72" s="153" t="s">
        <v>141</v>
      </c>
      <c r="D72" s="172"/>
      <c r="E72" s="172"/>
      <c r="F72" s="172" t="s">
        <v>142</v>
      </c>
      <c r="G72" s="86">
        <v>1057764.44</v>
      </c>
      <c r="H72" s="176" t="s">
        <v>15</v>
      </c>
      <c r="I72" s="86">
        <v>1057764.44</v>
      </c>
      <c r="J72" s="86"/>
      <c r="K72" s="155">
        <v>1057764.44</v>
      </c>
      <c r="L72" s="177"/>
    </row>
    <row r="73" spans="1:12" x14ac:dyDescent="0.35">
      <c r="A73" s="172"/>
      <c r="B73" s="172"/>
      <c r="C73" s="153" t="s">
        <v>143</v>
      </c>
      <c r="D73" s="172"/>
      <c r="E73" s="172"/>
      <c r="F73" s="172" t="s">
        <v>144</v>
      </c>
      <c r="G73" s="86">
        <v>693754.74</v>
      </c>
      <c r="H73" s="176" t="s">
        <v>24</v>
      </c>
      <c r="I73" s="86"/>
      <c r="J73" s="86">
        <v>693754.74</v>
      </c>
      <c r="K73" s="155">
        <v>693754.74</v>
      </c>
      <c r="L73" s="177"/>
    </row>
    <row r="74" spans="1:12" hidden="1" x14ac:dyDescent="0.35">
      <c r="A74" s="172"/>
      <c r="B74" s="172" t="s">
        <v>145</v>
      </c>
      <c r="C74" s="153"/>
      <c r="D74" s="172"/>
      <c r="E74" s="172" t="s">
        <v>127</v>
      </c>
      <c r="F74" s="172"/>
      <c r="G74" s="155"/>
      <c r="H74" s="172"/>
      <c r="I74" s="155"/>
      <c r="J74" s="155"/>
      <c r="K74" s="155"/>
      <c r="L74" s="175"/>
    </row>
    <row r="75" spans="1:12" hidden="1" x14ac:dyDescent="0.35">
      <c r="A75" s="172"/>
      <c r="B75" s="172" t="s">
        <v>146</v>
      </c>
      <c r="C75" s="153"/>
      <c r="D75" s="172"/>
      <c r="E75" s="172" t="s">
        <v>127</v>
      </c>
      <c r="F75" s="172"/>
      <c r="G75" s="155"/>
      <c r="H75" s="172"/>
      <c r="I75" s="155"/>
      <c r="J75" s="155"/>
      <c r="K75" s="155"/>
      <c r="L75" s="175"/>
    </row>
    <row r="76" spans="1:12" s="7" customFormat="1" x14ac:dyDescent="0.35">
      <c r="A76" s="125" t="s">
        <v>147</v>
      </c>
      <c r="B76" s="125"/>
      <c r="C76" s="122"/>
      <c r="D76" s="125"/>
      <c r="E76" s="125"/>
      <c r="F76" s="125"/>
      <c r="G76" s="138">
        <v>15143570.4</v>
      </c>
      <c r="H76" s="88"/>
      <c r="I76" s="138">
        <v>8082113.25</v>
      </c>
      <c r="J76" s="138">
        <v>7061457.1500000004</v>
      </c>
      <c r="K76" s="155">
        <v>15143570.4</v>
      </c>
      <c r="L76" s="127"/>
    </row>
    <row r="77" spans="1:12" x14ac:dyDescent="0.35">
      <c r="A77" s="170"/>
      <c r="B77" s="170"/>
      <c r="C77" s="170"/>
      <c r="D77" s="170"/>
      <c r="E77" s="170"/>
      <c r="F77" s="178" t="s">
        <v>200</v>
      </c>
      <c r="G77" s="140">
        <v>15143570.4</v>
      </c>
      <c r="H77" s="174"/>
      <c r="I77" s="163">
        <v>0.53369932166063028</v>
      </c>
      <c r="J77" s="163">
        <v>0.46630067833936972</v>
      </c>
      <c r="K77" s="179"/>
      <c r="L77" s="170"/>
    </row>
    <row r="79" spans="1:12" x14ac:dyDescent="0.35">
      <c r="A79" s="170"/>
      <c r="B79" s="170"/>
      <c r="C79" s="170"/>
      <c r="D79" s="170"/>
      <c r="E79" s="170"/>
      <c r="F79" s="170" t="s">
        <v>201</v>
      </c>
      <c r="G79" s="170"/>
      <c r="H79" s="170"/>
      <c r="I79" s="170"/>
      <c r="J79" s="170"/>
      <c r="K79" s="170"/>
      <c r="L79" s="170"/>
    </row>
    <row r="80" spans="1:12" hidden="1" x14ac:dyDescent="0.35">
      <c r="A80" s="170"/>
      <c r="B80" s="170"/>
      <c r="C80" s="170"/>
      <c r="D80" s="170"/>
      <c r="E80" s="170"/>
      <c r="F80" s="170"/>
      <c r="G80" s="170"/>
      <c r="H80" s="170" t="s">
        <v>15</v>
      </c>
      <c r="I80" s="170"/>
      <c r="J80" s="170"/>
      <c r="K80" s="170"/>
      <c r="L80" s="170"/>
    </row>
    <row r="81" spans="3:11" x14ac:dyDescent="0.35">
      <c r="C81" s="170"/>
      <c r="D81" s="170"/>
      <c r="E81" s="170"/>
      <c r="F81" s="170"/>
      <c r="G81" s="170"/>
      <c r="H81" s="170" t="s">
        <v>24</v>
      </c>
      <c r="I81" s="170"/>
      <c r="J81" s="170"/>
      <c r="K81" s="170"/>
    </row>
    <row r="82" spans="3:11" x14ac:dyDescent="0.35">
      <c r="C82" s="170"/>
      <c r="D82" s="170"/>
      <c r="E82" s="170"/>
      <c r="F82" s="170"/>
      <c r="G82" s="170"/>
      <c r="H82" s="170" t="s">
        <v>59</v>
      </c>
      <c r="I82" s="170"/>
      <c r="J82" s="170"/>
      <c r="K82" s="170"/>
    </row>
    <row r="83" spans="3:11" x14ac:dyDescent="0.35">
      <c r="C83" s="170"/>
      <c r="D83" s="170"/>
      <c r="E83" s="170"/>
      <c r="F83" s="170"/>
      <c r="G83" s="170"/>
      <c r="H83" s="178" t="s">
        <v>202</v>
      </c>
      <c r="I83" s="155">
        <v>82053444.910536319</v>
      </c>
      <c r="J83" s="161">
        <v>9.8498158837962355E-2</v>
      </c>
      <c r="K83" s="170" t="s">
        <v>203</v>
      </c>
    </row>
    <row r="97" s="144" customFormat="1" x14ac:dyDescent="0.35"/>
    <row r="98" s="144" customFormat="1" x14ac:dyDescent="0.35"/>
    <row r="99" s="144" customFormat="1" x14ac:dyDescent="0.35"/>
    <row r="100" s="144" customFormat="1" x14ac:dyDescent="0.35"/>
    <row r="101" s="144" customFormat="1" x14ac:dyDescent="0.35"/>
    <row r="102" s="144" customFormat="1" x14ac:dyDescent="0.35"/>
    <row r="103" s="144" customFormat="1" x14ac:dyDescent="0.35"/>
    <row r="104" s="144" customFormat="1" x14ac:dyDescent="0.35"/>
    <row r="105" s="144" customFormat="1" x14ac:dyDescent="0.35"/>
    <row r="106" s="144" customFormat="1" x14ac:dyDescent="0.35"/>
    <row r="107" s="144" customFormat="1" x14ac:dyDescent="0.35"/>
    <row r="108" s="144" customFormat="1" x14ac:dyDescent="0.35"/>
    <row r="109" s="144" customFormat="1" x14ac:dyDescent="0.35"/>
    <row r="110" s="144" customFormat="1" x14ac:dyDescent="0.35"/>
    <row r="112" s="144" customFormat="1" ht="15" hidden="1" customHeight="1" x14ac:dyDescent="0.35"/>
    <row r="113" s="144" customFormat="1" ht="15" hidden="1" customHeight="1" x14ac:dyDescent="0.35"/>
    <row r="114" s="144" customFormat="1" ht="15" hidden="1" customHeight="1" x14ac:dyDescent="0.35"/>
    <row r="115" s="144" customFormat="1" ht="15" hidden="1" customHeight="1" x14ac:dyDescent="0.35"/>
    <row r="116" s="144" customFormat="1" ht="15" hidden="1" customHeight="1" x14ac:dyDescent="0.35"/>
    <row r="117" s="144" customFormat="1" ht="15" hidden="1" customHeight="1" x14ac:dyDescent="0.35"/>
    <row r="118" s="144" customFormat="1" ht="15" hidden="1" customHeight="1" x14ac:dyDescent="0.35"/>
    <row r="119" s="144" customFormat="1" ht="15" hidden="1" customHeight="1" x14ac:dyDescent="0.35"/>
    <row r="120" s="144" customFormat="1" ht="15" hidden="1" customHeight="1" x14ac:dyDescent="0.35"/>
    <row r="121" s="144" customFormat="1" ht="15" hidden="1" customHeight="1" x14ac:dyDescent="0.35"/>
    <row r="122" s="144" customFormat="1" ht="15" hidden="1" customHeight="1" x14ac:dyDescent="0.35"/>
    <row r="123" s="144" customFormat="1" ht="15" hidden="1" customHeight="1" x14ac:dyDescent="0.35"/>
    <row r="124" s="144" customFormat="1" ht="15" hidden="1" customHeight="1" x14ac:dyDescent="0.35"/>
    <row r="125" s="144" customFormat="1" ht="15" hidden="1" customHeight="1" x14ac:dyDescent="0.35"/>
    <row r="126" s="144" customFormat="1" ht="15" hidden="1" customHeight="1" x14ac:dyDescent="0.35"/>
    <row r="127" s="144" customFormat="1" ht="15" hidden="1" customHeight="1" x14ac:dyDescent="0.35"/>
    <row r="128" s="144" customFormat="1" ht="15" hidden="1" customHeight="1" x14ac:dyDescent="0.35"/>
    <row r="129" s="144" customFormat="1" ht="15" hidden="1" customHeight="1" x14ac:dyDescent="0.35"/>
    <row r="130" s="144" customFormat="1" ht="15" hidden="1" customHeight="1" x14ac:dyDescent="0.35"/>
    <row r="131" s="144" customFormat="1" ht="15" hidden="1" customHeight="1" x14ac:dyDescent="0.35"/>
    <row r="132" s="144" customFormat="1" ht="15" hidden="1" customHeight="1" x14ac:dyDescent="0.35"/>
    <row r="133" s="144" customFormat="1" ht="15" hidden="1" customHeight="1" x14ac:dyDescent="0.35"/>
    <row r="134" s="144" customFormat="1" ht="15" hidden="1" customHeight="1" x14ac:dyDescent="0.35"/>
    <row r="135" s="144" customFormat="1" ht="15" hidden="1" customHeight="1" x14ac:dyDescent="0.35"/>
    <row r="136" s="144" customFormat="1" ht="15" hidden="1" customHeight="1" x14ac:dyDescent="0.35"/>
    <row r="137" s="144" customFormat="1" ht="15" hidden="1" customHeight="1" x14ac:dyDescent="0.35"/>
    <row r="138" s="144" customFormat="1" ht="15" hidden="1" customHeight="1" x14ac:dyDescent="0.35"/>
    <row r="139" s="144" customFormat="1" ht="15" hidden="1" customHeight="1" x14ac:dyDescent="0.35"/>
    <row r="140" s="144" customFormat="1" ht="15" hidden="1" customHeight="1" x14ac:dyDescent="0.35"/>
  </sheetData>
  <conditionalFormatting sqref="G76">
    <cfRule type="cellIs" dxfId="425" priority="11" operator="notEqual">
      <formula>$G$77</formula>
    </cfRule>
    <cfRule type="cellIs" dxfId="424" priority="12" operator="equal">
      <formula>$G$77</formula>
    </cfRule>
  </conditionalFormatting>
  <conditionalFormatting sqref="K9:K24">
    <cfRule type="cellIs" dxfId="423" priority="101" operator="notEqual">
      <formula>G9</formula>
    </cfRule>
    <cfRule type="cellIs" dxfId="422" priority="102" operator="equal">
      <formula>G9</formula>
    </cfRule>
  </conditionalFormatting>
  <conditionalFormatting sqref="K26:K41">
    <cfRule type="cellIs" dxfId="421" priority="69" operator="notEqual">
      <formula>G26</formula>
    </cfRule>
    <cfRule type="cellIs" dxfId="420" priority="70" operator="equal">
      <formula>G26</formula>
    </cfRule>
  </conditionalFormatting>
  <conditionalFormatting sqref="K43:K63">
    <cfRule type="cellIs" dxfId="419" priority="27" operator="notEqual">
      <formula>G43</formula>
    </cfRule>
    <cfRule type="cellIs" dxfId="418" priority="28" operator="equal">
      <formula>G43</formula>
    </cfRule>
  </conditionalFormatting>
  <conditionalFormatting sqref="K67:K69">
    <cfRule type="cellIs" dxfId="417" priority="21" operator="notEqual">
      <formula>G67</formula>
    </cfRule>
    <cfRule type="cellIs" dxfId="416" priority="22" operator="equal">
      <formula>G67</formula>
    </cfRule>
  </conditionalFormatting>
  <conditionalFormatting sqref="K71:K73">
    <cfRule type="cellIs" dxfId="415" priority="15" operator="notEqual">
      <formula>G71</formula>
    </cfRule>
    <cfRule type="cellIs" dxfId="414" priority="16" operator="equal">
      <formula>G71</formula>
    </cfRule>
  </conditionalFormatting>
  <conditionalFormatting sqref="K76">
    <cfRule type="cellIs" dxfId="413" priority="13" operator="notEqual">
      <formula>G76</formula>
    </cfRule>
    <cfRule type="cellIs" dxfId="412" priority="14" operator="equal">
      <formula>G76</formula>
    </cfRule>
  </conditionalFormatting>
  <dataValidations count="1">
    <dataValidation type="list" allowBlank="1" showInputMessage="1" showErrorMessage="1" sqref="H9:H75" xr:uid="{00000000-0002-0000-0B00-000000000000}">
      <formula1>$H$80:$H$82</formula1>
    </dataValidation>
  </dataValidations>
  <pageMargins left="0.7" right="0.7" top="0.75" bottom="0.75" header="0.3" footer="0.3"/>
  <pageSetup scale="39" orientation="landscape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9" operator="notEqual" id="{C24E1224-D515-4A87-A49D-E275BB9F7E81}">
            <xm:f>'D:\Finance\Work\Reports &amp; Surveys\Cost Analysis\Cost Analysis - 2012-2013\Received from Colleges\Daytona\Original\[Daytona SC CA2 Report 2012-13 10-18-13.xlsx]CA2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10" operator="equal" id="{0EB5749B-2765-4EB8-A270-6468A99E5D19}">
            <xm:f>'D:\Finance\Work\Reports &amp; Surveys\Cost Analysis\Cost Analysis - 2012-2013\Received from Colleges\Daytona\Original\[Daytona SC CA2 Report 2012-13 10-18-13.xlsx]CA2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G8</xm:sqref>
        </x14:conditionalFormatting>
        <x14:conditionalFormatting xmlns:xm="http://schemas.microsoft.com/office/excel/2006/main">
          <x14:cfRule type="cellIs" priority="7" operator="notEqual" id="{06773989-62C0-44D8-A33E-32313AF5DE8D}">
            <xm:f>'D:\Finance\Work\Reports &amp; Surveys\Cost Analysis\Cost Analysis - 2012-2013\Received from Colleges\Daytona\Original\[Daytona SC CA2 Report 2012-13 10-18-13.xlsx]CA2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8" operator="equal" id="{D4AAA7D4-B612-48FD-935D-7DDBDC2745EE}">
            <xm:f>'D:\Finance\Work\Reports &amp; Surveys\Cost Analysis\Cost Analysis - 2012-2013\Received from Colleges\Daytona\Original\[Daytona SC CA2 Report 2012-13 10-18-13.xlsx]CA2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G25</xm:sqref>
        </x14:conditionalFormatting>
        <x14:conditionalFormatting xmlns:xm="http://schemas.microsoft.com/office/excel/2006/main">
          <x14:cfRule type="cellIs" priority="5" operator="notEqual" id="{8964F969-157F-4CE6-99BA-F2250E67F656}">
            <xm:f>'D:\Finance\Work\Reports &amp; Surveys\Cost Analysis\Cost Analysis - 2012-2013\Received from Colleges\Daytona\Original\[Daytona SC CA2 Report 2012-13 10-18-13.xlsx]CA2 Detail'!#REF!+'D:\Finance\Work\Reports &amp; Surveys\Cost Analysis\Cost Analysis - 2012-2013\Received from Colleges\Daytona\Original\[Daytona SC CA2 Report 2012-13 10-18-13.xlsx]CA2 Detail'!#REF!+'D:\Finance\Work\Reports &amp; Surveys\Cost Analysis\Cost Analysis - 2012-2013\Received from Colleges\Daytona\Original\[Daytona SC CA2 Report 2012-13 10-18-13.xlsx]CA2 Detail'!#REF!+'D:\Finance\Work\Reports &amp; Surveys\Cost Analysis\Cost Analysis - 2012-2013\Received from Colleges\Daytona\Original\[Daytona SC CA2 Report 2012-13 10-18-13.xlsx]CA2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6" operator="equal" id="{AB5541E0-0DD4-44C3-920A-75F6A30DC268}">
            <xm:f>'D:\Finance\Work\Reports &amp; Surveys\Cost Analysis\Cost Analysis - 2012-2013\Received from Colleges\Daytona\Original\[Daytona SC CA2 Report 2012-13 10-18-13.xlsx]CA2 Detail'!#REF!+'D:\Finance\Work\Reports &amp; Surveys\Cost Analysis\Cost Analysis - 2012-2013\Received from Colleges\Daytona\Original\[Daytona SC CA2 Report 2012-13 10-18-13.xlsx]CA2 Detail'!#REF!+'D:\Finance\Work\Reports &amp; Surveys\Cost Analysis\Cost Analysis - 2012-2013\Received from Colleges\Daytona\Original\[Daytona SC CA2 Report 2012-13 10-18-13.xlsx]CA2 Detail'!#REF!+'D:\Finance\Work\Reports &amp; Surveys\Cost Analysis\Cost Analysis - 2012-2013\Received from Colleges\Daytona\Original\[Daytona SC CA2 Report 2012-13 10-18-13.xlsx]CA2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G42</xm:sqref>
        </x14:conditionalFormatting>
        <x14:conditionalFormatting xmlns:xm="http://schemas.microsoft.com/office/excel/2006/main">
          <x14:cfRule type="cellIs" priority="3" operator="notEqual" id="{614E735D-5A15-43B3-9E91-A67552A632D0}">
            <xm:f>'D:\Finance\Work\Reports &amp; Surveys\Cost Analysis\Cost Analysis - 2012-2013\Received from Colleges\Daytona\Original\[Daytona SC CA2 Report 2012-13 10-18-13.xlsx]CA2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4" operator="equal" id="{AABD8484-8D37-4E53-9FFC-65FF3C896BB7}">
            <xm:f>'D:\Finance\Work\Reports &amp; Surveys\Cost Analysis\Cost Analysis - 2012-2013\Received from Colleges\Daytona\Original\[Daytona SC CA2 Report 2012-13 10-18-13.xlsx]CA2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G66</xm:sqref>
        </x14:conditionalFormatting>
        <x14:conditionalFormatting xmlns:xm="http://schemas.microsoft.com/office/excel/2006/main">
          <x14:cfRule type="cellIs" priority="1" operator="notEqual" id="{D0202D52-E30E-4BD8-8A1C-35E4620BC76E}">
            <xm:f>'D:\Finance\Work\Reports &amp; Surveys\Cost Analysis\Cost Analysis - 2012-2013\Received from Colleges\Daytona\Original\[Daytona SC CA2 Report 2012-13 10-18-13.xlsx]CA2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2" operator="equal" id="{6A60BC78-EA85-4765-85A8-A549FDE77D12}">
            <xm:f>'D:\Finance\Work\Reports &amp; Surveys\Cost Analysis\Cost Analysis - 2012-2013\Received from Colleges\Daytona\Original\[Daytona SC CA2 Report 2012-13 10-18-13.xlsx]CA2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G70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32</vt:i4>
      </vt:variant>
      <vt:variant>
        <vt:lpstr>Charts</vt:lpstr>
      </vt:variant>
      <vt:variant>
        <vt:i4>3</vt:i4>
      </vt:variant>
      <vt:variant>
        <vt:lpstr>Named Ranges</vt:lpstr>
      </vt:variant>
      <vt:variant>
        <vt:i4>258</vt:i4>
      </vt:variant>
    </vt:vector>
  </HeadingPairs>
  <TitlesOfParts>
    <vt:vector size="293" baseType="lpstr">
      <vt:lpstr>Summary Analytics</vt:lpstr>
      <vt:lpstr>Comparative Matrices</vt:lpstr>
      <vt:lpstr>Chart Data</vt:lpstr>
      <vt:lpstr>System Summary</vt:lpstr>
      <vt:lpstr>EASTERN</vt:lpstr>
      <vt:lpstr>BROWARD</vt:lpstr>
      <vt:lpstr>CENTRAL</vt:lpstr>
      <vt:lpstr>CHIPOLA</vt:lpstr>
      <vt:lpstr>DAYTONA</vt:lpstr>
      <vt:lpstr>SOUTHWESTERN</vt:lpstr>
      <vt:lpstr>FSC JAX</vt:lpstr>
      <vt:lpstr>FL KEYS</vt:lpstr>
      <vt:lpstr>GULF COAST</vt:lpstr>
      <vt:lpstr>HILLSBOROUGH</vt:lpstr>
      <vt:lpstr>INDIAN RIVER</vt:lpstr>
      <vt:lpstr>GATEWAY</vt:lpstr>
      <vt:lpstr>LAKE SUMTER</vt:lpstr>
      <vt:lpstr>SCF MANATEE</vt:lpstr>
      <vt:lpstr>MIAMI</vt:lpstr>
      <vt:lpstr>NORTH FLORIDA</vt:lpstr>
      <vt:lpstr>NORTHWEST FLORIDA</vt:lpstr>
      <vt:lpstr>PALM BEACH</vt:lpstr>
      <vt:lpstr>PASCO</vt:lpstr>
      <vt:lpstr>PENSACOLA</vt:lpstr>
      <vt:lpstr>POLK</vt:lpstr>
      <vt:lpstr>ST JOHNS</vt:lpstr>
      <vt:lpstr>ST PETE</vt:lpstr>
      <vt:lpstr>SANTA FE</vt:lpstr>
      <vt:lpstr>SEMINOLE</vt:lpstr>
      <vt:lpstr>SOUTH FLORIDA</vt:lpstr>
      <vt:lpstr>TALLAHASSEE</vt:lpstr>
      <vt:lpstr>VALENCIA</vt:lpstr>
      <vt:lpstr>Admin Cost % Excl Transfers</vt:lpstr>
      <vt:lpstr>Admin Cost % and per FTE</vt:lpstr>
      <vt:lpstr>% I. S. Excluded</vt:lpstr>
      <vt:lpstr>_</vt:lpstr>
      <vt:lpstr>_2021_22_ADMINISTRATIVE_COST___OVER_COST_ANALYSIS_TOTAL_EXPENDITURES_EXCLUDING_TRANSFERS</vt:lpstr>
      <vt:lpstr>_2022_23_FTE_3</vt:lpstr>
      <vt:lpstr>Acc</vt:lpstr>
      <vt:lpstr>Account</vt:lpstr>
      <vt:lpstr>Account_</vt:lpstr>
      <vt:lpstr>Account00</vt:lpstr>
      <vt:lpstr>Account09</vt:lpstr>
      <vt:lpstr>Account11</vt:lpstr>
      <vt:lpstr>Account12</vt:lpstr>
      <vt:lpstr>Account13</vt:lpstr>
      <vt:lpstr>Account14</vt:lpstr>
      <vt:lpstr>Account22</vt:lpstr>
      <vt:lpstr>Account23</vt:lpstr>
      <vt:lpstr>Account24</vt:lpstr>
      <vt:lpstr>Account33</vt:lpstr>
      <vt:lpstr>Account34</vt:lpstr>
      <vt:lpstr>Account4</vt:lpstr>
      <vt:lpstr>Account44</vt:lpstr>
      <vt:lpstr>Account5</vt:lpstr>
      <vt:lpstr>Account55</vt:lpstr>
      <vt:lpstr>Account66</vt:lpstr>
      <vt:lpstr>Account7</vt:lpstr>
      <vt:lpstr>Account77</vt:lpstr>
      <vt:lpstr>Account8</vt:lpstr>
      <vt:lpstr>Account88</vt:lpstr>
      <vt:lpstr>Account89</vt:lpstr>
      <vt:lpstr>Account9</vt:lpstr>
      <vt:lpstr>Account90</vt:lpstr>
      <vt:lpstr>Account99</vt:lpstr>
      <vt:lpstr>acct</vt:lpstr>
      <vt:lpstr>Acct3</vt:lpstr>
      <vt:lpstr>adm</vt:lpstr>
      <vt:lpstr>adm_</vt:lpstr>
      <vt:lpstr>Admin?</vt:lpstr>
      <vt:lpstr>admin3</vt:lpstr>
      <vt:lpstr>Admin4</vt:lpstr>
      <vt:lpstr>Admin5</vt:lpstr>
      <vt:lpstr>Admin7</vt:lpstr>
      <vt:lpstr>Admin8</vt:lpstr>
      <vt:lpstr>Admin9</vt:lpstr>
      <vt:lpstr>AdminAmnt</vt:lpstr>
      <vt:lpstr>Adminamnt4</vt:lpstr>
      <vt:lpstr>Adminamt</vt:lpstr>
      <vt:lpstr>Adminamt00</vt:lpstr>
      <vt:lpstr>Adminamt09</vt:lpstr>
      <vt:lpstr>Adminamt11</vt:lpstr>
      <vt:lpstr>Adminamt12</vt:lpstr>
      <vt:lpstr>Adminamt13</vt:lpstr>
      <vt:lpstr>Adminamt14</vt:lpstr>
      <vt:lpstr>Adminamt22</vt:lpstr>
      <vt:lpstr>Adminamt23</vt:lpstr>
      <vt:lpstr>Adminamt24</vt:lpstr>
      <vt:lpstr>adminamt3</vt:lpstr>
      <vt:lpstr>Adminamt33</vt:lpstr>
      <vt:lpstr>Adminamt34</vt:lpstr>
      <vt:lpstr>Adminamt44</vt:lpstr>
      <vt:lpstr>adminamt5</vt:lpstr>
      <vt:lpstr>Adminamt66</vt:lpstr>
      <vt:lpstr>Adminamt7</vt:lpstr>
      <vt:lpstr>Adminamt77</vt:lpstr>
      <vt:lpstr>Adminamt8</vt:lpstr>
      <vt:lpstr>Adminamt88</vt:lpstr>
      <vt:lpstr>Adminamt89</vt:lpstr>
      <vt:lpstr>Adminamt9</vt:lpstr>
      <vt:lpstr>Adminamt90</vt:lpstr>
      <vt:lpstr>Adminamt99</vt:lpstr>
      <vt:lpstr>admincost</vt:lpstr>
      <vt:lpstr>Administration?</vt:lpstr>
      <vt:lpstr>Administration00</vt:lpstr>
      <vt:lpstr>Administration09</vt:lpstr>
      <vt:lpstr>Administration11</vt:lpstr>
      <vt:lpstr>Administration12</vt:lpstr>
      <vt:lpstr>Administration13</vt:lpstr>
      <vt:lpstr>Administration22</vt:lpstr>
      <vt:lpstr>Administration23</vt:lpstr>
      <vt:lpstr>Administration24</vt:lpstr>
      <vt:lpstr>Administration33</vt:lpstr>
      <vt:lpstr>Administration34</vt:lpstr>
      <vt:lpstr>Administration44</vt:lpstr>
      <vt:lpstr>Administration55</vt:lpstr>
      <vt:lpstr>Administration66</vt:lpstr>
      <vt:lpstr>Administration77</vt:lpstr>
      <vt:lpstr>Administration88</vt:lpstr>
      <vt:lpstr>Administration89</vt:lpstr>
      <vt:lpstr>Administration90</vt:lpstr>
      <vt:lpstr>Administration99</vt:lpstr>
      <vt:lpstr>Administrative_Amount</vt:lpstr>
      <vt:lpstr>ADMINISTRATIVE_COST</vt:lpstr>
      <vt:lpstr>ADMINISTRATIVE_COST___OVER_COST_ANALYSIS_TOTAL_EXPENDITURES_EXCLUDING_TRANSFERS</vt:lpstr>
      <vt:lpstr>ADMINISTRATIVE_COST_PER_FUNDABLE_FTE</vt:lpstr>
      <vt:lpstr>Administrative55</vt:lpstr>
      <vt:lpstr>adminperc</vt:lpstr>
      <vt:lpstr>Aministration14</vt:lpstr>
      <vt:lpstr>AMOUNT_CHANGE</vt:lpstr>
      <vt:lpstr>Broward_College</vt:lpstr>
      <vt:lpstr>CHANGE_OVER_PRIOR_YEAR</vt:lpstr>
      <vt:lpstr>Chipola_College</vt:lpstr>
      <vt:lpstr>COLLEGE</vt:lpstr>
      <vt:lpstr>College_of_Central_Florida</vt:lpstr>
      <vt:lpstr>College1</vt:lpstr>
      <vt:lpstr>college11</vt:lpstr>
      <vt:lpstr>College2</vt:lpstr>
      <vt:lpstr>College44</vt:lpstr>
      <vt:lpstr>College90</vt:lpstr>
      <vt:lpstr>College99</vt:lpstr>
      <vt:lpstr>Comment</vt:lpstr>
      <vt:lpstr>comment00</vt:lpstr>
      <vt:lpstr>Comment09</vt:lpstr>
      <vt:lpstr>Comment11</vt:lpstr>
      <vt:lpstr>Comment12</vt:lpstr>
      <vt:lpstr>Comment13</vt:lpstr>
      <vt:lpstr>Comment14</vt:lpstr>
      <vt:lpstr>Comment22</vt:lpstr>
      <vt:lpstr>Comment33</vt:lpstr>
      <vt:lpstr>Comment34</vt:lpstr>
      <vt:lpstr>Comment4</vt:lpstr>
      <vt:lpstr>Comment44</vt:lpstr>
      <vt:lpstr>Comment5</vt:lpstr>
      <vt:lpstr>Comment55</vt:lpstr>
      <vt:lpstr>Comment7</vt:lpstr>
      <vt:lpstr>Comment77</vt:lpstr>
      <vt:lpstr>Comment8</vt:lpstr>
      <vt:lpstr>Comment88</vt:lpstr>
      <vt:lpstr>Comment89</vt:lpstr>
      <vt:lpstr>Comment9</vt:lpstr>
      <vt:lpstr>Comment90</vt:lpstr>
      <vt:lpstr>Comment99</vt:lpstr>
      <vt:lpstr>comments</vt:lpstr>
      <vt:lpstr>Comments___Additional_Details</vt:lpstr>
      <vt:lpstr>Comments23</vt:lpstr>
      <vt:lpstr>Comments24</vt:lpstr>
      <vt:lpstr>comments3</vt:lpstr>
      <vt:lpstr>Comments66</vt:lpstr>
      <vt:lpstr>Data</vt:lpstr>
      <vt:lpstr>Data_Validation</vt:lpstr>
      <vt:lpstr>Daytona_State_College</vt:lpstr>
      <vt:lpstr>dv</vt:lpstr>
      <vt:lpstr>DV_00</vt:lpstr>
      <vt:lpstr>DV_09</vt:lpstr>
      <vt:lpstr>DV_11</vt:lpstr>
      <vt:lpstr>DV_12</vt:lpstr>
      <vt:lpstr>DV_13</vt:lpstr>
      <vt:lpstr>DV_14</vt:lpstr>
      <vt:lpstr>DV_22</vt:lpstr>
      <vt:lpstr>DV_23</vt:lpstr>
      <vt:lpstr>DV_24</vt:lpstr>
      <vt:lpstr>dv_3</vt:lpstr>
      <vt:lpstr>DV_33</vt:lpstr>
      <vt:lpstr>DV_34</vt:lpstr>
      <vt:lpstr>dv_4</vt:lpstr>
      <vt:lpstr>DV_44</vt:lpstr>
      <vt:lpstr>DV_5</vt:lpstr>
      <vt:lpstr>DV_55</vt:lpstr>
      <vt:lpstr>DV_66</vt:lpstr>
      <vt:lpstr>DV_7</vt:lpstr>
      <vt:lpstr>DV_77</vt:lpstr>
      <vt:lpstr>DV_8</vt:lpstr>
      <vt:lpstr>DV_88</vt:lpstr>
      <vt:lpstr>DV_89</vt:lpstr>
      <vt:lpstr>DV_9</vt:lpstr>
      <vt:lpstr>DV_90</vt:lpstr>
      <vt:lpstr>DV_99</vt:lpstr>
      <vt:lpstr>ea</vt:lpstr>
      <vt:lpstr>Eastern_Florida_State_College</vt:lpstr>
      <vt:lpstr>Esclamt24</vt:lpstr>
      <vt:lpstr>Excamnt4</vt:lpstr>
      <vt:lpstr>Excamt11</vt:lpstr>
      <vt:lpstr>Exclamnt</vt:lpstr>
      <vt:lpstr>Exclamt09</vt:lpstr>
      <vt:lpstr>Exclamt12</vt:lpstr>
      <vt:lpstr>Exclamt13</vt:lpstr>
      <vt:lpstr>Exclamt14</vt:lpstr>
      <vt:lpstr>Exclamt22</vt:lpstr>
      <vt:lpstr>Exclamt23</vt:lpstr>
      <vt:lpstr>exclamt3</vt:lpstr>
      <vt:lpstr>Exclamt34</vt:lpstr>
      <vt:lpstr>Exclamt44</vt:lpstr>
      <vt:lpstr>Exclamt77</vt:lpstr>
      <vt:lpstr>exclamt88</vt:lpstr>
      <vt:lpstr>Exclamt89</vt:lpstr>
      <vt:lpstr>Excldamt66</vt:lpstr>
      <vt:lpstr>Excludamt00</vt:lpstr>
      <vt:lpstr>Excludamt55</vt:lpstr>
      <vt:lpstr>Excludamt99</vt:lpstr>
      <vt:lpstr>Excluded</vt:lpstr>
      <vt:lpstr>Excluded_Amount</vt:lpstr>
      <vt:lpstr>Excludedamt33</vt:lpstr>
      <vt:lpstr>Excludedamt5</vt:lpstr>
      <vt:lpstr>Excludedamt7</vt:lpstr>
      <vt:lpstr>Excludedamt8</vt:lpstr>
      <vt:lpstr>Excludedamt9</vt:lpstr>
      <vt:lpstr>Excludedamt90</vt:lpstr>
      <vt:lpstr>FCS</vt:lpstr>
      <vt:lpstr>Florida_Gateway_College</vt:lpstr>
      <vt:lpstr>Florida_SouthWestern_State_College</vt:lpstr>
      <vt:lpstr>Florida_State_College_at_Jacksonville</vt:lpstr>
      <vt:lpstr>FY_2022_23</vt:lpstr>
      <vt:lpstr>FY22_23</vt:lpstr>
      <vt:lpstr>Gulf_Coast_State_College</vt:lpstr>
      <vt:lpstr>Hillsborough_Community_College</vt:lpstr>
      <vt:lpstr>Indian_River_State_College</vt:lpstr>
      <vt:lpstr>IndianRiverStateCollege</vt:lpstr>
      <vt:lpstr>Lake_Sumter_Community_College</vt:lpstr>
      <vt:lpstr>Miami_Dade_College</vt:lpstr>
      <vt:lpstr>Name</vt:lpstr>
      <vt:lpstr>Name_</vt:lpstr>
      <vt:lpstr>Name00</vt:lpstr>
      <vt:lpstr>Name09</vt:lpstr>
      <vt:lpstr>Name1</vt:lpstr>
      <vt:lpstr>Name11</vt:lpstr>
      <vt:lpstr>Name12</vt:lpstr>
      <vt:lpstr>Name13</vt:lpstr>
      <vt:lpstr>Name14</vt:lpstr>
      <vt:lpstr>Name22</vt:lpstr>
      <vt:lpstr>Name23</vt:lpstr>
      <vt:lpstr>Name24</vt:lpstr>
      <vt:lpstr>Name3</vt:lpstr>
      <vt:lpstr>Name33</vt:lpstr>
      <vt:lpstr>Name34</vt:lpstr>
      <vt:lpstr>Name4</vt:lpstr>
      <vt:lpstr>Name44</vt:lpstr>
      <vt:lpstr>Name5</vt:lpstr>
      <vt:lpstr>Name55</vt:lpstr>
      <vt:lpstr>Name66</vt:lpstr>
      <vt:lpstr>Name7</vt:lpstr>
      <vt:lpstr>Name77</vt:lpstr>
      <vt:lpstr>Name8</vt:lpstr>
      <vt:lpstr>Name88</vt:lpstr>
      <vt:lpstr>Name89</vt:lpstr>
      <vt:lpstr>Name9</vt:lpstr>
      <vt:lpstr>Name90</vt:lpstr>
      <vt:lpstr>Name99</vt:lpstr>
      <vt:lpstr>nm</vt:lpstr>
      <vt:lpstr>North_Florida_College</vt:lpstr>
      <vt:lpstr>Northwest_Florida_State_College</vt:lpstr>
      <vt:lpstr>Northwest_State_College</vt:lpstr>
      <vt:lpstr>OF_INSTITUTIONAL_SUPPORT_EXCLUDED</vt:lpstr>
      <vt:lpstr>Palm_Beach_State_College</vt:lpstr>
      <vt:lpstr>Pasco_Hernando_State_College</vt:lpstr>
      <vt:lpstr>Pensacola_State_College</vt:lpstr>
      <vt:lpstr>Percentage</vt:lpstr>
      <vt:lpstr>percentofinst</vt:lpstr>
      <vt:lpstr>Polk_State_College</vt:lpstr>
      <vt:lpstr>'Comparative Matrices'!Print_Area</vt:lpstr>
      <vt:lpstr>PASCO!Print_Area</vt:lpstr>
      <vt:lpstr>'Summary Analytics'!Print_Area</vt:lpstr>
      <vt:lpstr>'System Summary'!Print_Area</vt:lpstr>
      <vt:lpstr>Prior_Year_s_Data</vt:lpstr>
      <vt:lpstr>Santa_Fe_College</vt:lpstr>
      <vt:lpstr>Seminole_State_College_of_Florida</vt:lpstr>
      <vt:lpstr>South_Florida_State_College</vt:lpstr>
      <vt:lpstr>St._Johns_River_State_College</vt:lpstr>
      <vt:lpstr>St._Petersburg_College</vt:lpstr>
      <vt:lpstr>State_College_of_Florida__Manatee_Sarasota</vt:lpstr>
      <vt:lpstr>Tallahassee_Community_College</vt:lpstr>
      <vt:lpstr>The_College_of_the_Florida_Keys</vt:lpstr>
      <vt:lpstr>Valencia_College</vt:lpstr>
    </vt:vector>
  </TitlesOfParts>
  <Company>Florida 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Department of Education</dc:creator>
  <cp:lastModifiedBy>Escribano, Natalia</cp:lastModifiedBy>
  <cp:lastPrinted>2020-03-02T21:54:24Z</cp:lastPrinted>
  <dcterms:created xsi:type="dcterms:W3CDTF">2012-09-26T13:23:55Z</dcterms:created>
  <dcterms:modified xsi:type="dcterms:W3CDTF">2023-12-07T16:59:42Z</dcterms:modified>
</cp:coreProperties>
</file>