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FAA762A1-B16A-4A29-94BC-87DC94404A96}"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64" i="7" l="1"/>
  <c r="G252" i="7"/>
  <c r="D10" i="6" l="1"/>
  <c r="D11" i="6"/>
  <c r="G59" i="7" l="1"/>
  <c r="G58" i="7"/>
  <c r="G50" i="7"/>
  <c r="G68" i="7"/>
  <c r="E26" i="4"/>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B13" i="23"/>
  <c r="D13" i="23"/>
  <c r="B12" i="23"/>
  <c r="D12" i="23" s="1"/>
  <c r="B11" i="23"/>
  <c r="D11" i="23" s="1"/>
  <c r="B10" i="23"/>
  <c r="D10" i="23" s="1"/>
  <c r="B9" i="23"/>
  <c r="D8" i="23"/>
  <c r="B7" i="23"/>
  <c r="D7" i="23" s="1"/>
  <c r="D9" i="23"/>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G14" i="6"/>
  <c r="G15" i="6"/>
  <c r="F32" i="6"/>
  <c r="G32" i="6"/>
  <c r="H32" i="6"/>
  <c r="G30" i="7"/>
  <c r="F33" i="6"/>
  <c r="G33" i="6"/>
  <c r="F34" i="6"/>
  <c r="G34" i="6"/>
  <c r="H34" i="6"/>
  <c r="H36" i="6" s="1"/>
  <c r="F35" i="6"/>
  <c r="G35" i="6"/>
  <c r="E19" i="6"/>
  <c r="F19" i="6"/>
  <c r="G21" i="7" s="1"/>
  <c r="E20" i="6"/>
  <c r="F20" i="6" s="1"/>
  <c r="G22" i="7" s="1"/>
  <c r="E21" i="6"/>
  <c r="F21" i="6" s="1"/>
  <c r="G23" i="7" s="1"/>
  <c r="E22" i="6"/>
  <c r="F22" i="6" s="1"/>
  <c r="G24" i="7" s="1"/>
  <c r="E23" i="6"/>
  <c r="F23" i="6" s="1"/>
  <c r="G25" i="7" s="1"/>
  <c r="E24" i="6"/>
  <c r="F24" i="6" s="1"/>
  <c r="G26" i="7" s="1"/>
  <c r="B34" i="5"/>
  <c r="E39" i="6"/>
  <c r="F39" i="6"/>
  <c r="G37" i="7" s="1"/>
  <c r="B35" i="5"/>
  <c r="E40" i="6"/>
  <c r="F40" i="6"/>
  <c r="G38" i="7" s="1"/>
  <c r="B37" i="5"/>
  <c r="E41" i="6"/>
  <c r="F41" i="6"/>
  <c r="G39" i="7" s="1"/>
  <c r="B38" i="5"/>
  <c r="E42" i="6"/>
  <c r="F42" i="6"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7" i="22" s="1"/>
  <c r="D65" i="22"/>
  <c r="D67" i="22" s="1"/>
  <c r="D59" i="22"/>
  <c r="D60" i="22" s="1"/>
  <c r="B52" i="22"/>
  <c r="E33" i="22"/>
  <c r="E34" i="22" s="1"/>
  <c r="D33" i="22"/>
  <c r="D34" i="22"/>
  <c r="D26" i="22"/>
  <c r="D38" i="22"/>
  <c r="C38" i="22"/>
  <c r="E15" i="22"/>
  <c r="D15" i="22"/>
  <c r="B46" i="22"/>
  <c r="E26" i="22"/>
  <c r="E59" i="22"/>
  <c r="E61" i="22"/>
  <c r="E38" i="22"/>
  <c r="B29" i="5"/>
  <c r="H14" i="5"/>
  <c r="G246" i="7"/>
  <c r="E15" i="8"/>
  <c r="E36" i="6"/>
  <c r="D36" i="6"/>
  <c r="F36" i="6" s="1"/>
  <c r="D43" i="6"/>
  <c r="D26" i="6"/>
  <c r="E17" i="6"/>
  <c r="G20" i="5"/>
  <c r="H20" i="5"/>
  <c r="G19" i="5"/>
  <c r="H19" i="5" s="1"/>
  <c r="G22" i="5"/>
  <c r="H22" i="5"/>
  <c r="G23" i="5"/>
  <c r="H23" i="5"/>
  <c r="E20" i="12"/>
  <c r="E29" i="12"/>
  <c r="E30" i="12"/>
  <c r="G194" i="7"/>
  <c r="D21" i="8"/>
  <c r="E59" i="3"/>
  <c r="C94" i="12"/>
  <c r="B31" i="5"/>
  <c r="H31" i="5"/>
  <c r="I31" i="5" s="1"/>
  <c r="B30" i="5"/>
  <c r="H30" i="5" s="1"/>
  <c r="I30" i="5" s="1"/>
  <c r="G16" i="5"/>
  <c r="H16" i="5" s="1"/>
  <c r="G15" i="5"/>
  <c r="H15" i="5" s="1"/>
  <c r="D96" i="8"/>
  <c r="C96" i="8"/>
  <c r="B69" i="6"/>
  <c r="C75" i="3" s="1"/>
  <c r="E60" i="3"/>
  <c r="E61" i="3"/>
  <c r="E62" i="3"/>
  <c r="E63" i="3"/>
  <c r="E64" i="3"/>
  <c r="B21" i="8"/>
  <c r="C21" i="8"/>
  <c r="E10" i="8"/>
  <c r="E12" i="8"/>
  <c r="E16" i="8"/>
  <c r="E17" i="8"/>
  <c r="E18" i="8"/>
  <c r="E19" i="8"/>
  <c r="E20" i="8"/>
  <c r="E36" i="4"/>
  <c r="C109" i="3" s="1"/>
  <c r="D33" i="4"/>
  <c r="B60" i="6"/>
  <c r="C78" i="3" s="1"/>
  <c r="C77" i="3"/>
  <c r="E16" i="4"/>
  <c r="G262" i="7"/>
  <c r="G266" i="7" s="1"/>
  <c r="C102" i="3" s="1"/>
  <c r="D61" i="22"/>
  <c r="E14" i="8"/>
  <c r="G228" i="7"/>
  <c r="X139" i="23"/>
  <c r="E60" i="22"/>
  <c r="H35" i="6"/>
  <c r="G33" i="7"/>
  <c r="H33" i="6"/>
  <c r="H34" i="5"/>
  <c r="I34" i="5"/>
  <c r="E62" i="22"/>
  <c r="H38" i="5"/>
  <c r="I38" i="5" s="1"/>
  <c r="H37" i="5"/>
  <c r="I37" i="5" s="1"/>
  <c r="G31" i="7"/>
  <c r="D17" i="6"/>
  <c r="F12" i="6"/>
  <c r="H12" i="6" s="1"/>
  <c r="G14" i="7" s="1"/>
  <c r="F11" i="6"/>
  <c r="H11" i="6" s="1"/>
  <c r="G13" i="7" s="1"/>
  <c r="F14" i="6"/>
  <c r="H14" i="6" s="1"/>
  <c r="G16" i="7" s="1"/>
  <c r="H13" i="6"/>
  <c r="G15" i="7" s="1"/>
  <c r="F15" i="6"/>
  <c r="E49" i="3" s="1"/>
  <c r="F10" i="6"/>
  <c r="H10" i="6" s="1"/>
  <c r="G12" i="7" s="1"/>
  <c r="E47" i="3"/>
  <c r="E46" i="3"/>
  <c r="C74" i="3" l="1"/>
  <c r="E44" i="3"/>
  <c r="H15" i="6"/>
  <c r="G17" i="7" s="1"/>
  <c r="G19" i="7" s="1"/>
  <c r="E48" i="3"/>
  <c r="E21" i="8"/>
  <c r="H29" i="5"/>
  <c r="I29" i="5" s="1"/>
  <c r="G40" i="7"/>
  <c r="F43" i="6"/>
  <c r="H44" i="6" s="1"/>
  <c r="E66" i="22"/>
  <c r="G32" i="7"/>
  <c r="C93" i="3"/>
  <c r="D66" i="22"/>
  <c r="C95" i="3"/>
  <c r="D118" i="15"/>
  <c r="C126" i="3" s="1"/>
  <c r="D62" i="22"/>
  <c r="B70" i="6"/>
  <c r="F17" i="6"/>
  <c r="E50" i="3" s="1"/>
  <c r="E45" i="3"/>
  <c r="E65" i="3"/>
  <c r="G75" i="7"/>
  <c r="G85" i="7" s="1"/>
  <c r="D88" i="3"/>
  <c r="F111" i="15"/>
  <c r="G248" i="7"/>
  <c r="G35" i="7"/>
  <c r="T111" i="23"/>
  <c r="C94" i="3"/>
  <c r="C103" i="3"/>
  <c r="G28" i="7"/>
  <c r="G42" i="7"/>
  <c r="H17" i="6"/>
  <c r="F26" i="6"/>
  <c r="D119" i="15"/>
  <c r="D129" i="15" s="1"/>
  <c r="C110" i="3"/>
  <c r="C114" i="3" s="1"/>
  <c r="E113" i="15"/>
  <c r="E131" i="15" s="1"/>
  <c r="F93" i="15"/>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F48" i="3" s="1"/>
  <c r="G48" i="3" s="1"/>
  <c r="D64" i="3"/>
  <c r="F64" i="3" s="1"/>
  <c r="G64" i="3" s="1"/>
  <c r="D139" i="23"/>
  <c r="P139" i="23"/>
  <c r="D60" i="3"/>
  <c r="D45" i="3" s="1"/>
  <c r="F45" i="3" s="1"/>
  <c r="G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46" i="3" s="1"/>
  <c r="G46" i="3" s="1"/>
  <c r="F86" i="3"/>
  <c r="D35" i="23"/>
  <c r="C119" i="3" l="1"/>
  <c r="F118" i="15"/>
  <c r="H27" i="6"/>
  <c r="H46" i="6" s="1"/>
  <c r="D70" i="22"/>
  <c r="D69" i="22"/>
  <c r="D68" i="22"/>
  <c r="E70" i="22"/>
  <c r="E69" i="22"/>
  <c r="E68" i="22"/>
  <c r="E25" i="4"/>
  <c r="E28" i="4" s="1"/>
  <c r="E84" i="3"/>
  <c r="E88" i="3" s="1"/>
  <c r="F113" i="15"/>
  <c r="C96" i="3"/>
  <c r="G44" i="7"/>
  <c r="G63" i="7" s="1"/>
  <c r="G142" i="7" s="1"/>
  <c r="C121" i="3"/>
  <c r="F119" i="15"/>
  <c r="F129" i="15" s="1"/>
  <c r="C129" i="3"/>
  <c r="D131" i="15"/>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E18" i="4" l="1"/>
  <c r="E21" i="4" s="1"/>
  <c r="E23" i="4" s="1"/>
  <c r="E44" i="4" s="1"/>
  <c r="C17" i="3" s="1"/>
  <c r="F84" i="3"/>
  <c r="F88" i="3" s="1"/>
  <c r="C34" i="3"/>
  <c r="C135" i="3"/>
  <c r="F131" i="15"/>
  <c r="D32" i="4" l="1"/>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<sst xmlns="http://schemas.openxmlformats.org/spreadsheetml/2006/main" count="1351" uniqueCount="785">
  <si>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</si>
  <si>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</si>
  <si>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</si>
  <si>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</si>
  <si>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</si>
  <si>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</si>
  <si>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</si>
  <si>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</si>
  <si>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</si>
  <si>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</si>
  <si>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</si>
  <si>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</si>
  <si>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</si>
  <si>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</si>
  <si>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</si>
  <si>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</si>
  <si>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</si>
  <si>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</si>
  <si>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</si>
  <si>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</si>
  <si>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</si>
  <si>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</si>
  <si>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</si>
  <si>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</si>
  <si>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</si>
  <si>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</si>
  <si>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</si>
  <si>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</si>
  <si>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</si>
  <si>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</si>
  <si>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</si>
  <si>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</si>
  <si>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</si>
  <si>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</si>
  <si>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</si>
  <si>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</si>
  <si>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</si>
  <si>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</si>
  <si>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</si>
  <si>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</si>
  <si>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</si>
  <si>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</si>
  <si>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</si>
  <si>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</si>
  <si>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</si>
  <si>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</si>
  <si>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</si>
  <si>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</si>
  <si>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</si>
  <si>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</si>
  <si>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</si>
  <si>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</si>
  <si>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</si>
  <si>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</si>
  <si>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</si>
  <si>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</si>
  <si>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</si>
  <si>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</si>
  <si>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</si>
  <si>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</si>
  <si>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</si>
  <si>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</si>
  <si>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</si>
  <si>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</si>
  <si>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</si>
  <si>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</si>
  <si>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</si>
  <si>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</si>
  <si>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</si>
  <si>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</si>
  <si>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</si>
  <si>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</si>
  <si>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</si>
  <si>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</si>
  <si>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</si>
  <si>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</si>
  <si>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</si>
  <si>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</si>
  <si>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</si>
  <si>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</si>
  <si>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</si>
  <si>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</si>
  <si>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</si>
  <si>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</si>
  <si>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</si>
  <si>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</si>
  <si>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</si>
  <si>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</si>
  <si>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</si>
  <si>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</si>
  <si>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</si>
  <si>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</si>
  <si>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</si>
  <si>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</si>
  <si>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</si>
  <si>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</si>
  <si>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</si>
  <si>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</si>
  <si>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</si>
  <si>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</si>
  <si>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</si>
  <si>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</si>
  <si>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</si>
  <si>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</si>
  <si>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</si>
  <si>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</si>
  <si>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</si>
  <si>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</si>
  <si>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</si>
  <si>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</si>
  <si>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</si>
  <si>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</si>
  <si>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</si>
  <si>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</si>
  <si>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</si>
  <si>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</si>
  <si>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</si>
  <si>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</si>
  <si>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</si>
  <si>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</si>
  <si>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</si>
  <si>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</si>
  <si>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</si>
  <si>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</si>
  <si>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</si>
  <si>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</si>
  <si>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</si>
  <si>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</si>
  <si>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</si>
  <si>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</si>
  <si>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</si>
  <si>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</si>
  <si>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</si>
  <si>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</si>
  <si>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</si>
  <si>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</si>
  <si>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</si>
  <si>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</si>
  <si>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</si>
  <si>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</si>
  <si>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</si>
  <si>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</si>
  <si>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</si>
  <si>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</si>
  <si>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</si>
  <si>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</si>
  <si>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</si>
  <si>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</si>
  <si>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</si>
  <si>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</si>
  <si>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</si>
  <si>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</si>
  <si>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</si>
  <si>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</si>
  <si>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</si>
  <si>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</si>
  <si>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</si>
  <si>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</si>
  <si>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</si>
  <si>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</si>
  <si>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</si>
  <si>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</si>
  <si>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</si>
  <si>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</si>
  <si>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</si>
  <si>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</si>
  <si>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</si>
  <si>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</si>
  <si>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</si>
  <si>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</si>
  <si>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</si>
  <si>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</si>
  <si>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</si>
  <si>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</si>
  <si>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</si>
  <si>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</si>
  <si>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</si>
  <si>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</si>
  <si>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</si>
  <si>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</si>
  <si>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</si>
  <si>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</si>
  <si>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</si>
  <si>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</si>
  <si>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</si>
  <si>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</si>
  <si>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</si>
  <si>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</si>
  <si>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</si>
  <si>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</si>
  <si>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</si>
  <si>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</si>
  <si>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</si>
  <si>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</si>
  <si>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</si>
  <si>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</si>
  <si>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</si>
  <si>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</si>
  <si>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</si>
  <si>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</si>
  <si>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</si>
  <si>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</si>
  <si>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</si>
  <si>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</si>
  <si>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</si>
  <si>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</si>
  <si>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</si>
  <si>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</si>
  <si>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</si>
  <si>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</si>
  <si>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</si>
  <si>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</si>
  <si>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</si>
  <si>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</si>
  <si>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</si>
  <si>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</si>
  <si>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</si>
  <si>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</si>
  <si>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</si>
  <si>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</si>
  <si>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</si>
  <si>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</si>
  <si>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</si>
  <si>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</si>
  <si>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</si>
  <si>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</si>
  <si>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</si>
  <si>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</si>
  <si>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</si>
  <si>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</si>
  <si>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</si>
  <si>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</si>
  <si>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</si>
  <si>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</si>
  <si>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</si>
  <si>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</si>
  <si>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</si>
  <si>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</si>
  <si>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</si>
  <si>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</si>
  <si>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</si>
  <si>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</si>
  <si>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</si>
  <si>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</si>
  <si>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</si>
  <si>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</si>
  <si>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</si>
  <si>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</si>
  <si>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</si>
  <si>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</si>
  <si>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</si>
  <si>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</si>
  <si>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</si>
  <si>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</si>
  <si>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</si>
  <si>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</si>
  <si>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</si>
  <si>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</si>
  <si>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</si>
  <si>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</si>
  <si>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</si>
  <si>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</si>
  <si>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</si>
  <si>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</si>
  <si>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</si>
  <si>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</si>
  <si>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</si>
  <si>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</si>
  <si>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</si>
  <si>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</si>
  <si>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</si>
  <si>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</si>
  <si>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</si>
  <si>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</si>
  <si>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</si>
  <si>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</si>
  <si>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</si>
  <si>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</si>
  <si>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</si>
  <si>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</si>
  <si>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</si>
  <si>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</si>
  <si>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</si>
  <si>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</si>
  <si>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</si>
  <si>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</si>
  <si>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</si>
  <si>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</si>
  <si>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</si>
  <si>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</si>
  <si>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</si>
  <si>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</si>
  <si>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</si>
  <si>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</si>
  <si>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</si>
  <si>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</si>
  <si>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</si>
  <si>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</si>
  <si>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</si>
  <si>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</si>
  <si>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</si>
  <si>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</si>
  <si>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</si>
  <si>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</si>
  <si>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</si>
  <si>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</si>
  <si>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</si>
  <si>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</si>
  <si>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</si>
  <si>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</si>
  <si>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</si>
  <si>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</si>
  <si>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</si>
  <si>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</si>
  <si>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</si>
  <si>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</si>
  <si>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</si>
  <si>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</si>
  <si>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</si>
  <si>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</si>
  <si>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</si>
  <si>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</si>
  <si>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</si>
  <si>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</si>
  <si>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</si>
  <si>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</si>
  <si>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</si>
  <si>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</si>
  <si>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</si>
  <si>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</si>
  <si>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</si>
  <si>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</si>
  <si>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</si>
  <si>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</si>
  <si>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</si>
  <si>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</si>
  <si>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</si>
  <si>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</si>
  <si>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</si>
  <si>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</si>
  <si>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</si>
  <si>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</si>
  <si>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</si>
  <si>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</si>
  <si>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</si>
  <si>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</si>
  <si>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</si>
  <si>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</si>
  <si>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</si>
  <si>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</si>
  <si>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</si>
  <si>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</si>
  <si>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</si>
  <si>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</si>
  <si>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</si>
  <si>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</si>
  <si>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</si>
  <si>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</si>
  <si>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</si>
  <si>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</si>
  <si>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</si>
  <si>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</si>
  <si>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</si>
  <si>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</si>
  <si>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</si>
  <si>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</si>
  <si>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</si>
  <si>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</si>
  <si>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</si>
  <si>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</si>
  <si>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</si>
  <si>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</si>
  <si>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</si>
  <si>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</si>
  <si>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</si>
  <si>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</si>
  <si>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</si>
  <si>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</si>
  <si>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</si>
  <si>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</si>
  <si>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</si>
  <si>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</si>
  <si>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</si>
  <si>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</si>
  <si>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</si>
  <si>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</si>
  <si>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</si>
  <si>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</si>
  <si>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</si>
  <si>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</si>
  <si>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</si>
  <si>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</si>
  <si>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</si>
  <si>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</si>
  <si>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</si>
  <si>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</si>
  <si>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</si>
  <si>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</si>
  <si>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</si>
  <si>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</si>
  <si>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</si>
  <si>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</si>
  <si>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</si>
  <si>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</si>
  <si>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</si>
  <si>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</si>
  <si>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</si>
  <si>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</si>
  <si>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</si>
  <si>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</si>
  <si>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</si>
  <si>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</si>
  <si>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</si>
  <si>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</si>
  <si>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</si>
  <si>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</si>
  <si>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</si>
  <si>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</si>
  <si>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</si>
  <si>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</si>
  <si>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</si>
  <si>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</si>
  <si>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</si>
  <si>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</si>
  <si>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</si>
  <si>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</si>
  <si>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</si>
  <si>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</si>
  <si>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</si>
  <si>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</si>
  <si>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</si>
  <si>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</si>
  <si>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</si>
  <si>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</si>
  <si>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</si>
  <si>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</si>
  <si>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</si>
  <si>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</si>
  <si>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</si>
  <si>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</si>
  <si>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</si>
  <si>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</si>
  <si>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</si>
  <si>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</si>
  <si>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</si>
  <si>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</si>
  <si>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</si>
  <si>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</si>
  <si>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</si>
  <si>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</si>
  <si>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</si>
  <si>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</si>
  <si>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</si>
  <si>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</si>
  <si>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</si>
  <si>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</si>
  <si>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</si>
  <si>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</si>
  <si>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</si>
  <si>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</si>
  <si>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</si>
  <si>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</si>
  <si>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</si>
  <si>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</si>
  <si>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</si>
  <si>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</si>
  <si>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</si>
  <si>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</si>
  <si>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</si>
  <si>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</si>
  <si>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</si>
  <si>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</si>
  <si>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</si>
  <si>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</si>
  <si>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</si>
  <si>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</si>
  <si>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</si>
  <si>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</si>
  <si>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</si>
  <si>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</si>
  <si>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</si>
  <si>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</si>
  <si>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</si>
  <si>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</si>
  <si>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</si>
  <si>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</si>
  <si>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</si>
  <si>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</si>
  <si>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</si>
  <si>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</si>
  <si>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</si>
  <si>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</si>
  <si>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</si>
  <si>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</si>
  <si>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</si>
  <si>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</si>
  <si>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</si>
  <si>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</si>
  <si>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</si>
  <si>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</si>
  <si>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</si>
  <si>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</si>
  <si>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</si>
  <si>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</si>
  <si>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</si>
  <si>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</si>
  <si>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</si>
  <si>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</si>
  <si>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</si>
  <si>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</si>
  <si>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</si>
  <si>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</si>
  <si>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</si>
  <si>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</si>
  <si>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</si>
  <si>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</si>
  <si>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</si>
  <si>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</si>
  <si>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</si>
  <si>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</si>
  <si>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</si>
  <si>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</si>
  <si>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</si>
  <si>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</si>
  <si>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</si>
  <si>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</si>
  <si>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</si>
  <si>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</si>
  <si>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</si>
  <si>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</si>
  <si>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</si>
  <si>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</si>
  <si>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</si>
  <si>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</si>
  <si>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</si>
  <si>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</si>
  <si>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</si>
  <si>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</si>
  <si>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</si>
  <si>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</si>
  <si>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</si>
  <si>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</si>
  <si>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</si>
  <si>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</si>
  <si>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</si>
  <si>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</si>
  <si>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</si>
  <si>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</si>
  <si>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</si>
  <si>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</si>
  <si>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</si>
  <si>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</si>
  <si>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</si>
  <si>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</si>
  <si>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</si>
  <si>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</si>
  <si>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</si>
  <si>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</si>
  <si>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</si>
  <si>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</si>
  <si>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</si>
  <si>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</si>
  <si>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</si>
  <si>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</si>
  <si>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</si>
  <si>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</si>
  <si>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</si>
  <si>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</si>
  <si>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</si>
  <si>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</si>
  <si>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</si>
  <si>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</si>
  <si>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</si>
  <si>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</si>
  <si>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</si>
  <si>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</si>
  <si>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</si>
  <si>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</si>
  <si>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</si>
  <si>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</si>
  <si>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</si>
  <si>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</si>
  <si>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</si>
  <si>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</si>
  <si>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</si>
  <si>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</si>
  <si>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</si>
  <si>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</si>
  <si>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</si>
  <si>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</si>
  <si>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</si>
  <si>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</si>
  <si>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</si>
  <si>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</si>
  <si>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</si>
  <si>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</si>
  <si>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</si>
  <si>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</si>
  <si>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</si>
  <si>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</si>
  <si>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</si>
  <si>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</si>
  <si>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</si>
  <si>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</si>
  <si>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</si>
  <si>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</si>
  <si>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</si>
  <si>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</si>
  <si>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</si>
  <si>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</si>
  <si>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</si>
  <si>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</si>
  <si>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</si>
  <si>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</si>
  <si>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</si>
  <si>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</si>
  <si>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</si>
  <si>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</si>
  <si>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</si>
  <si>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</si>
  <si>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</si>
  <si>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</si>
  <si>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</si>
  <si>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</si>
  <si>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</si>
  <si>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</si>
  <si>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</si>
  <si>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</si>
  <si>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</si>
  <si>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</si>
  <si>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</si>
  <si>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</si>
  <si>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</si>
  <si>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</si>
  <si>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</si>
  <si>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</si>
  <si>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</si>
  <si>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</si>
  <si>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</si>
  <si>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</si>
  <si>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</si>
  <si>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</si>
  <si>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</si>
  <si>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</si>
  <si>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</si>
  <si>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</si>
  <si>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</si>
  <si>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</si>
  <si>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</si>
  <si>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</si>
  <si>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</si>
  <si>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</si>
  <si>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</si>
  <si>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</si>
  <si>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</si>
  <si>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</si>
  <si>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</si>
  <si>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</si>
  <si>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</si>
  <si>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</si>
  <si>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</si>
  <si>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</si>
  <si>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</si>
  <si>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</si>
  <si>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</si>
  <si>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</si>
  <si>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</si>
  <si>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</si>
  <si>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</si>
  <si>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</si>
  <si>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</si>
  <si>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</si>
  <si>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</si>
  <si>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</si>
  <si>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</si>
  <si>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</si>
  <si>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</si>
  <si>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</si>
  <si>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</si>
  <si>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</si>
  <si>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</si>
  <si>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</si>
  <si>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</si>
  <si>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</si>
  <si>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</si>
  <si>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</si>
  <si>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</si>
  <si>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</si>
  <si>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</si>
  <si>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</si>
  <si>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</si>
  <si>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</si>
  <si>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</si>
  <si>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</si>
  <si>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</si>
  <si>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</si>
  <si>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</si>
  <si>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</si>
  <si>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</si>
  <si>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</si>
  <si>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</si>
  <si>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</si>
  <si>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</si>
  <si>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</si>
  <si>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</si>
  <si>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</si>
  <si>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</si>
  <si>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</si>
  <si>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</si>
  <si>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</si>
  <si>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</si>
  <si>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</si>
  <si>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</si>
  <si>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</si>
  <si>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</si>
  <si>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</si>
  <si>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</si>
  <si>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</si>
  <si>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</si>
  <si>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</si>
  <si>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</si>
  <si>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</si>
  <si>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</si>
  <si>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</si>
  <si>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</si>
  <si>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</si>
  <si>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</si>
  <si>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</si>
  <si>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</si>
  <si>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</si>
  <si>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</si>
  <si>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</si>
  <si>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</si>
  <si>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</si>
  <si>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</si>
  <si>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</si>
  <si>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</si>
  <si>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</si>
  <si>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</si>
  <si>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</si>
  <si>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</si>
  <si>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</si>
  <si>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</si>
  <si>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</si>
  <si>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</si>
  <si>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</si>
  <si>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</si>
  <si>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</si>
  <si>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</si>
  <si>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</si>
  <si>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</si>
  <si>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</si>
  <si>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</si>
  <si>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</si>
  <si>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</si>
  <si>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</si>
  <si>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</si>
  <si>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</si>
  <si>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</si>
  <si>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</si>
  <si>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</si>
  <si>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</si>
  <si>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</si>
  <si>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</si>
  <si>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</si>
  <si>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</si>
  <si>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</si>
  <si>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</si>
  <si>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</si>
  <si>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</si>
  <si>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</si>
  <si>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</si>
  <si>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</si>
  <si>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</si>
  <si>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</si>
  <si>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</si>
  <si>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</si>
  <si>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</si>
  <si>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</si>
  <si>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</si>
  <si>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</si>
  <si>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Advanced and Professional Tuition has increased due to recruiting efforts to promote the programs, especially with Nursing and the Education Programs.  The College has stackable credentials for those programs associated with career certificates to encourage completion of certificate programs.    The College maintains low enrollment in the developmental education classes.  Despite increased recruitment efforts, enrollment still lags in the educator preparation institutes.</t>
  </si>
  <si>
    <t xml:space="preserve">Due to increased enrollment in our online learning, the College has seen an increase in out of state fees and expects to see a continuation of this trend.   The out of state students are not participating in postsecondary vocational programs.  The College maintains low enrollment in the developmental education classes.  </t>
  </si>
  <si>
    <t>Fund 3</t>
  </si>
  <si>
    <t>Fund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</si>
</sst>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xf numFmtId="0" fontId="74" fillId="37" borderId="0" xfId="0" applyFont="1" applyFill="1" applyAlignment="1">
      <alignment horizontal="centerContinuous" vertical="center" wrapText="1"/>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981075</xdr:colOff>
          <xdr:row>10</xdr:row>
          <xdr:rowOff>28575</xdr:rowOff>
        </xdr:from>
        <xdr:to>
          <xdr:col>0</xdr:col>
          <xdr:colOff>6162675</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533400</xdr:colOff>
          <xdr:row>10</xdr:row>
          <xdr:rowOff>76200</xdr:rowOff>
        </xdr:from>
        <xdr:to>
          <xdr:col>0</xdr:col>
          <xdr:colOff>5200650</xdr:colOff>
          <xdr:row>46</xdr:row>
          <xdr:rowOff>76200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3.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693</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r:id="rId1"/>
  <headerFooter alignWithMargins="0">
    <oddFooter>&amp;L&amp;Z&amp;F&amp;R&amp;D</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Polk State College</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717</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26905240</v>
      </c>
      <c r="C10" s="456">
        <v>1301577</v>
      </c>
      <c r="D10" s="456">
        <v>125000</v>
      </c>
      <c r="E10" s="371">
        <f>SUM(B10:D10)</f>
        <v>28331817</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199298</v>
      </c>
      <c r="C12" s="446">
        <v>5785</v>
      </c>
      <c r="D12" s="446">
        <v>0</v>
      </c>
      <c r="E12" s="372">
        <f>SUM(B12:D12)</f>
        <v>205083</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5480697</v>
      </c>
      <c r="C14" s="458">
        <v>1156958</v>
      </c>
      <c r="D14" s="458">
        <v>0</v>
      </c>
      <c r="E14" s="372">
        <f t="shared" ref="E14:E20" si="0">SUM(B14:D14)</f>
        <v>6637655</v>
      </c>
      <c r="F14" s="354"/>
    </row>
    <row r="15" spans="1:8" s="17" customFormat="1" ht="20.100000000000001" customHeight="1">
      <c r="A15" s="370" t="s">
        <v>592</v>
      </c>
      <c r="B15" s="457">
        <v>0</v>
      </c>
      <c r="C15" s="446">
        <v>0</v>
      </c>
      <c r="D15" s="446">
        <v>0</v>
      </c>
      <c r="E15" s="372">
        <f>SUM(B15:D15)</f>
        <v>0</v>
      </c>
      <c r="F15" s="354"/>
    </row>
    <row r="16" spans="1:8" s="17" customFormat="1" ht="20.100000000000001" customHeight="1">
      <c r="A16" s="370" t="s">
        <v>593</v>
      </c>
      <c r="B16" s="457">
        <v>7772625</v>
      </c>
      <c r="C16" s="446">
        <v>578479</v>
      </c>
      <c r="D16" s="446">
        <v>0</v>
      </c>
      <c r="E16" s="372">
        <f t="shared" si="0"/>
        <v>8351104</v>
      </c>
      <c r="F16" s="354"/>
    </row>
    <row r="17" spans="1:6" s="17" customFormat="1" ht="20.100000000000001" customHeight="1">
      <c r="A17" s="370" t="s">
        <v>594</v>
      </c>
      <c r="B17" s="457">
        <v>7971923</v>
      </c>
      <c r="C17" s="446">
        <v>4193971</v>
      </c>
      <c r="D17" s="446">
        <v>810000</v>
      </c>
      <c r="E17" s="372">
        <f t="shared" si="0"/>
        <v>12975894</v>
      </c>
      <c r="F17" s="354"/>
    </row>
    <row r="18" spans="1:6" s="17" customFormat="1" ht="20.100000000000001" customHeight="1">
      <c r="A18" s="370" t="s">
        <v>595</v>
      </c>
      <c r="B18" s="457">
        <v>1494735</v>
      </c>
      <c r="C18" s="446">
        <v>7225198</v>
      </c>
      <c r="D18" s="446">
        <v>0</v>
      </c>
      <c r="E18" s="372">
        <f t="shared" si="0"/>
        <v>8719933</v>
      </c>
      <c r="F18" s="354"/>
    </row>
    <row r="19" spans="1:6" s="17" customFormat="1" ht="20.100000000000001" customHeight="1">
      <c r="A19" s="370" t="s">
        <v>596</v>
      </c>
      <c r="B19" s="457">
        <v>0</v>
      </c>
      <c r="C19" s="446">
        <v>0</v>
      </c>
      <c r="D19" s="446">
        <v>0</v>
      </c>
      <c r="E19" s="372">
        <f t="shared" si="0"/>
        <v>0</v>
      </c>
      <c r="F19" s="354"/>
    </row>
    <row r="20" spans="1:6" s="17" customFormat="1" ht="20.100000000000001" customHeight="1" thickBot="1">
      <c r="A20" s="370" t="s">
        <v>597</v>
      </c>
      <c r="B20" s="457">
        <v>1210024</v>
      </c>
      <c r="C20" s="447">
        <v>1520000</v>
      </c>
      <c r="D20" s="447">
        <v>0</v>
      </c>
      <c r="E20" s="372">
        <f t="shared" si="0"/>
        <v>2730024</v>
      </c>
      <c r="F20" s="354"/>
    </row>
    <row r="21" spans="1:6" s="17" customFormat="1" ht="24" customHeight="1" thickBot="1">
      <c r="A21" s="295" t="s">
        <v>50</v>
      </c>
      <c r="B21" s="355">
        <f>SUM(B10:B20)</f>
        <v>51034542</v>
      </c>
      <c r="C21" s="358">
        <f>SUM(C10:C20)</f>
        <v>15981968</v>
      </c>
      <c r="D21" s="358">
        <f>SUM(D10:D20)</f>
        <v>935000</v>
      </c>
      <c r="E21" s="357">
        <f>SUM(E10:E20)</f>
        <v>67951510</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533400</xdr:colOff>
                <xdr:row>10</xdr:row>
                <xdr:rowOff>76200</xdr:rowOff>
              </from>
              <to>
                <xdr:col>0</xdr:col>
                <xdr:colOff>5200650</xdr:colOff>
                <xdr:row>46</xdr:row>
                <xdr:rowOff>76200</xdr:rowOff>
              </to>
            </anchor>
          </objectPr>
        </oleObject>
      </mc:Choice>
      <mc:Fallback>
        <oleObject progId="Acrobat.Document.DC" shapeId="38913"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Polk State College</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717</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718</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v>78110</v>
      </c>
      <c r="E11" s="773">
        <v>0</v>
      </c>
      <c r="F11" s="774">
        <f t="shared" si="0"/>
        <v>78110</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662238</v>
      </c>
      <c r="E15" s="773">
        <v>0</v>
      </c>
      <c r="F15" s="774">
        <f t="shared" si="0"/>
        <v>662238</v>
      </c>
      <c r="I15" s="88"/>
      <c r="J15" s="29"/>
      <c r="K15" s="93"/>
      <c r="L15" s="93"/>
      <c r="M15" s="93"/>
      <c r="N15" s="93"/>
    </row>
    <row r="16" spans="1:224" s="17" customFormat="1" ht="30" customHeight="1">
      <c r="A16" s="770" t="s">
        <v>416</v>
      </c>
      <c r="B16" s="771"/>
      <c r="C16" s="772" t="s">
        <v>417</v>
      </c>
      <c r="D16" s="773">
        <v>178935</v>
      </c>
      <c r="E16" s="773">
        <v>0</v>
      </c>
      <c r="F16" s="774">
        <f t="shared" si="0"/>
        <v>178935</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710</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220338</v>
      </c>
      <c r="E25" s="773">
        <v>0</v>
      </c>
      <c r="F25" s="774">
        <f t="shared" si="0"/>
        <v>220338</v>
      </c>
    </row>
    <row r="26" spans="1:6" s="17" customFormat="1" ht="30" customHeight="1">
      <c r="A26" s="770" t="s">
        <v>435</v>
      </c>
      <c r="B26" s="771"/>
      <c r="C26" s="772" t="s">
        <v>436</v>
      </c>
      <c r="D26" s="773">
        <v>0</v>
      </c>
      <c r="E26" s="773">
        <v>0</v>
      </c>
      <c r="F26" s="774">
        <f t="shared" si="0"/>
        <v>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34500</v>
      </c>
      <c r="E30" s="773">
        <v>0</v>
      </c>
      <c r="F30" s="774">
        <f t="shared" si="0"/>
        <v>34500</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275050</v>
      </c>
      <c r="E34" s="773">
        <v>0</v>
      </c>
      <c r="F34" s="774">
        <f t="shared" si="0"/>
        <v>275050</v>
      </c>
    </row>
    <row r="35" spans="1:6" s="17" customFormat="1" ht="30" customHeight="1">
      <c r="A35" s="770" t="s">
        <v>453</v>
      </c>
      <c r="B35" s="771"/>
      <c r="C35" s="772">
        <v>56001</v>
      </c>
      <c r="D35" s="773">
        <v>0</v>
      </c>
      <c r="E35" s="773">
        <v>0</v>
      </c>
      <c r="F35" s="774">
        <f>+D35+E35</f>
        <v>0</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68645</v>
      </c>
      <c r="E40" s="773">
        <v>0</v>
      </c>
      <c r="F40" s="774">
        <f t="shared" si="0"/>
        <v>68645</v>
      </c>
    </row>
    <row r="41" spans="1:6" s="17" customFormat="1" ht="30" customHeight="1">
      <c r="A41" s="770" t="s">
        <v>462</v>
      </c>
      <c r="B41" s="771"/>
      <c r="C41" s="772" t="s">
        <v>463</v>
      </c>
      <c r="D41" s="773">
        <v>0</v>
      </c>
      <c r="E41" s="773">
        <v>0</v>
      </c>
      <c r="F41" s="774">
        <f t="shared" si="0"/>
        <v>0</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v>100878</v>
      </c>
      <c r="E48" s="773">
        <v>0</v>
      </c>
      <c r="F48" s="774">
        <f t="shared" si="0"/>
        <v>100878</v>
      </c>
    </row>
    <row r="49" spans="1:6" s="17" customFormat="1" ht="30" customHeight="1">
      <c r="A49" s="770" t="s">
        <v>478</v>
      </c>
      <c r="B49" s="771"/>
      <c r="C49" s="772" t="s">
        <v>479</v>
      </c>
      <c r="D49" s="773">
        <v>101551</v>
      </c>
      <c r="E49" s="773">
        <v>0</v>
      </c>
      <c r="F49" s="774">
        <f t="shared" si="0"/>
        <v>101551</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114670</v>
      </c>
      <c r="E54" s="773">
        <v>0</v>
      </c>
      <c r="F54" s="774">
        <f t="shared" si="0"/>
        <v>114670</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184075</v>
      </c>
      <c r="E56" s="778">
        <v>0</v>
      </c>
      <c r="F56" s="779">
        <f t="shared" si="0"/>
        <v>184075</v>
      </c>
    </row>
    <row r="57" spans="1:6" s="177" customFormat="1" ht="30" customHeight="1" thickBot="1">
      <c r="A57" s="264" t="s">
        <v>493</v>
      </c>
      <c r="B57" s="265"/>
      <c r="C57" s="567"/>
      <c r="D57" s="270">
        <f>SUM(D10:D56)</f>
        <v>2018990</v>
      </c>
      <c r="E57" s="270">
        <f>SUM(E10:E56)</f>
        <v>0</v>
      </c>
      <c r="F57" s="270">
        <f t="shared" si="0"/>
        <v>2018990</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v>15550</v>
      </c>
      <c r="E64" s="459">
        <v>0</v>
      </c>
      <c r="F64" s="236">
        <f t="shared" si="0"/>
        <v>15550</v>
      </c>
    </row>
    <row r="65" spans="1:6" s="17" customFormat="1" ht="30" customHeight="1">
      <c r="A65" s="770" t="s">
        <v>497</v>
      </c>
      <c r="B65" s="771"/>
      <c r="C65" s="780" t="s">
        <v>498</v>
      </c>
      <c r="D65" s="773">
        <v>225</v>
      </c>
      <c r="E65" s="773">
        <v>0</v>
      </c>
      <c r="F65" s="774">
        <f t="shared" si="0"/>
        <v>225</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v>1226</v>
      </c>
      <c r="E67" s="773">
        <v>0</v>
      </c>
      <c r="F67" s="774">
        <f t="shared" si="0"/>
        <v>1226</v>
      </c>
    </row>
    <row r="68" spans="1:6" s="17" customFormat="1" ht="30" customHeight="1">
      <c r="A68" s="770" t="s">
        <v>609</v>
      </c>
      <c r="B68" s="771"/>
      <c r="C68" s="780" t="s">
        <v>504</v>
      </c>
      <c r="D68" s="773">
        <v>12000</v>
      </c>
      <c r="E68" s="773">
        <v>0</v>
      </c>
      <c r="F68" s="774">
        <f t="shared" si="0"/>
        <v>12000</v>
      </c>
    </row>
    <row r="69" spans="1:6" s="17" customFormat="1" ht="30" customHeight="1">
      <c r="A69" s="770" t="s">
        <v>505</v>
      </c>
      <c r="B69" s="771"/>
      <c r="C69" s="780" t="s">
        <v>506</v>
      </c>
      <c r="D69" s="773">
        <v>0</v>
      </c>
      <c r="E69" s="773">
        <v>0</v>
      </c>
      <c r="F69" s="774">
        <f t="shared" si="0"/>
        <v>0</v>
      </c>
    </row>
    <row r="70" spans="1:6" s="17" customFormat="1" ht="30" customHeight="1">
      <c r="A70" s="1040" t="s">
        <v>697</v>
      </c>
      <c r="B70" s="771"/>
      <c r="C70" s="1037">
        <v>63100</v>
      </c>
      <c r="D70" s="1038">
        <v>0</v>
      </c>
      <c r="E70" s="1038">
        <v>0</v>
      </c>
      <c r="F70" s="1039">
        <v>0</v>
      </c>
    </row>
    <row r="71" spans="1:6" s="17" customFormat="1" ht="30" customHeight="1">
      <c r="A71" s="770" t="s">
        <v>507</v>
      </c>
      <c r="B71" s="771"/>
      <c r="C71" s="780" t="s">
        <v>508</v>
      </c>
      <c r="D71" s="773">
        <v>0</v>
      </c>
      <c r="E71" s="773">
        <v>0</v>
      </c>
      <c r="F71" s="774">
        <f t="shared" si="0"/>
        <v>0</v>
      </c>
    </row>
    <row r="72" spans="1:6" s="17" customFormat="1" ht="30" customHeight="1">
      <c r="A72" s="770" t="s">
        <v>714</v>
      </c>
      <c r="B72" s="771"/>
      <c r="C72" s="780" t="s">
        <v>510</v>
      </c>
      <c r="D72" s="773">
        <v>0</v>
      </c>
      <c r="E72" s="773">
        <v>0</v>
      </c>
      <c r="F72" s="774">
        <f t="shared" si="0"/>
        <v>0</v>
      </c>
    </row>
    <row r="73" spans="1:6" s="17" customFormat="1" ht="30" customHeight="1">
      <c r="A73" s="770" t="s">
        <v>511</v>
      </c>
      <c r="B73" s="771"/>
      <c r="C73" s="780" t="s">
        <v>512</v>
      </c>
      <c r="D73" s="773">
        <v>24500</v>
      </c>
      <c r="E73" s="773">
        <v>0</v>
      </c>
      <c r="F73" s="774">
        <f t="shared" si="0"/>
        <v>24500</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v>0</v>
      </c>
      <c r="E76" s="773">
        <v>0</v>
      </c>
      <c r="F76" s="774">
        <f t="shared" si="1"/>
        <v>0</v>
      </c>
    </row>
    <row r="77" spans="1:6" s="17" customFormat="1" ht="30" customHeight="1">
      <c r="A77" s="770" t="s">
        <v>518</v>
      </c>
      <c r="B77" s="771"/>
      <c r="C77" s="780" t="s">
        <v>519</v>
      </c>
      <c r="D77" s="773">
        <v>15460</v>
      </c>
      <c r="E77" s="773">
        <v>0</v>
      </c>
      <c r="F77" s="774">
        <f t="shared" si="1"/>
        <v>15460</v>
      </c>
    </row>
    <row r="78" spans="1:6" s="17" customFormat="1" ht="30" customHeight="1">
      <c r="A78" s="770" t="s">
        <v>520</v>
      </c>
      <c r="B78" s="771"/>
      <c r="C78" s="780" t="s">
        <v>521</v>
      </c>
      <c r="D78" s="773">
        <v>0</v>
      </c>
      <c r="E78" s="773">
        <v>0</v>
      </c>
      <c r="F78" s="774">
        <f t="shared" si="1"/>
        <v>0</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0</v>
      </c>
      <c r="E80" s="773">
        <v>0</v>
      </c>
      <c r="F80" s="774">
        <f t="shared" si="1"/>
        <v>0</v>
      </c>
    </row>
    <row r="81" spans="1:6" s="17" customFormat="1" ht="30" customHeight="1">
      <c r="A81" s="770" t="s">
        <v>526</v>
      </c>
      <c r="B81" s="771"/>
      <c r="C81" s="780" t="s">
        <v>527</v>
      </c>
      <c r="D81" s="773">
        <v>22376</v>
      </c>
      <c r="E81" s="773">
        <v>0</v>
      </c>
      <c r="F81" s="774">
        <f t="shared" ref="F81:F86" si="2">+D81+E81</f>
        <v>22376</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200000</v>
      </c>
      <c r="E92" s="773">
        <v>0</v>
      </c>
      <c r="F92" s="779">
        <f t="shared" si="1"/>
        <v>200000</v>
      </c>
    </row>
    <row r="93" spans="1:6" s="17" customFormat="1" ht="30" customHeight="1" thickBot="1">
      <c r="A93" s="885" t="s">
        <v>612</v>
      </c>
      <c r="B93" s="890"/>
      <c r="C93" s="267"/>
      <c r="D93" s="266">
        <f>SUM(D64:D92)</f>
        <v>291337</v>
      </c>
      <c r="E93" s="266">
        <f>SUM(E64:E92)</f>
        <v>0</v>
      </c>
      <c r="F93" s="266">
        <f t="shared" si="1"/>
        <v>291337</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22110</v>
      </c>
      <c r="E98" s="459">
        <v>0</v>
      </c>
      <c r="F98" s="236">
        <f t="shared" si="1"/>
        <v>22110</v>
      </c>
    </row>
    <row r="99" spans="1:6" s="17" customFormat="1" ht="30" customHeight="1">
      <c r="A99" s="770" t="s">
        <v>613</v>
      </c>
      <c r="B99" s="771"/>
      <c r="C99" s="780" t="s">
        <v>550</v>
      </c>
      <c r="D99" s="773">
        <v>5500</v>
      </c>
      <c r="E99" s="773">
        <v>0</v>
      </c>
      <c r="F99" s="774">
        <f t="shared" si="1"/>
        <v>5500</v>
      </c>
    </row>
    <row r="100" spans="1:6" s="17" customFormat="1" ht="30" customHeight="1">
      <c r="A100" s="770" t="s">
        <v>551</v>
      </c>
      <c r="B100" s="771"/>
      <c r="C100" s="780" t="s">
        <v>552</v>
      </c>
      <c r="D100" s="773">
        <v>0</v>
      </c>
      <c r="E100" s="773">
        <v>0</v>
      </c>
      <c r="F100" s="774">
        <f t="shared" si="1"/>
        <v>0</v>
      </c>
    </row>
    <row r="101" spans="1:6" s="17" customFormat="1" ht="30" customHeight="1">
      <c r="A101" s="770" t="s">
        <v>553</v>
      </c>
      <c r="B101" s="771"/>
      <c r="C101" s="780" t="s">
        <v>554</v>
      </c>
      <c r="D101" s="773">
        <v>1200</v>
      </c>
      <c r="E101" s="773">
        <v>0</v>
      </c>
      <c r="F101" s="774">
        <f t="shared" si="1"/>
        <v>1200</v>
      </c>
    </row>
    <row r="102" spans="1:6" s="17" customFormat="1" ht="30" customHeight="1">
      <c r="A102" s="770" t="s">
        <v>556</v>
      </c>
      <c r="B102" s="771"/>
      <c r="C102" s="1037" t="s">
        <v>557</v>
      </c>
      <c r="D102" s="1038">
        <v>0</v>
      </c>
      <c r="E102" s="1038">
        <v>0</v>
      </c>
      <c r="F102" s="1039">
        <f t="shared" si="1"/>
        <v>0</v>
      </c>
    </row>
    <row r="103" spans="1:6" s="17" customFormat="1" ht="30" customHeight="1">
      <c r="A103" s="1121" t="s">
        <v>701</v>
      </c>
      <c r="B103" s="1122"/>
      <c r="C103" s="1123">
        <v>73001</v>
      </c>
      <c r="D103" s="1147">
        <v>0</v>
      </c>
      <c r="E103" s="1147">
        <v>0</v>
      </c>
      <c r="F103" s="1078">
        <f t="shared" si="1"/>
        <v>0</v>
      </c>
    </row>
    <row r="104" spans="1:6" s="17" customFormat="1" ht="30" customHeight="1">
      <c r="A104" s="1124" t="s">
        <v>702</v>
      </c>
      <c r="B104" s="1125"/>
      <c r="C104" s="1126">
        <v>73002</v>
      </c>
      <c r="D104" s="1148">
        <v>0</v>
      </c>
      <c r="E104" s="1148">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696</v>
      </c>
      <c r="B106" s="771"/>
      <c r="C106" s="1037">
        <v>73100</v>
      </c>
      <c r="D106" s="1038">
        <v>0</v>
      </c>
      <c r="E106" s="1038">
        <v>0</v>
      </c>
      <c r="F106" s="1077">
        <f>+D106+E106</f>
        <v>0</v>
      </c>
    </row>
    <row r="107" spans="1:6" s="17" customFormat="1" ht="47.25" customHeight="1">
      <c r="A107" s="1104" t="s">
        <v>614</v>
      </c>
      <c r="B107" s="1105"/>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28810</v>
      </c>
      <c r="E111" s="270">
        <f>SUM(E98:E110)</f>
        <v>0</v>
      </c>
      <c r="F111" s="270">
        <f>SUM(D111:E111)</f>
        <v>28810</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2339137</v>
      </c>
      <c r="E113" s="266">
        <f>+E57+E93+E111</f>
        <v>0</v>
      </c>
      <c r="F113" s="266">
        <f>SUM(D113:E113)</f>
        <v>2339137</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2165551</v>
      </c>
      <c r="E118" s="773">
        <v>0</v>
      </c>
      <c r="F118" s="774">
        <f t="shared" ref="F118:F128" si="3">+D118+E118</f>
        <v>2165551</v>
      </c>
    </row>
    <row r="119" spans="1:6" s="69" customFormat="1" ht="30" customHeight="1">
      <c r="A119" s="770" t="s">
        <v>618</v>
      </c>
      <c r="B119" s="615"/>
      <c r="C119" s="782"/>
      <c r="D119" s="1103">
        <f>'EXHIBIT C'!F19</f>
        <v>173586</v>
      </c>
      <c r="E119" s="773">
        <v>0</v>
      </c>
      <c r="F119" s="774">
        <f t="shared" si="3"/>
        <v>173586</v>
      </c>
    </row>
    <row r="120" spans="1:6" s="69" customFormat="1" ht="50.25" customHeight="1">
      <c r="A120" s="770" t="s">
        <v>619</v>
      </c>
      <c r="B120" s="615"/>
      <c r="C120" s="782"/>
      <c r="D120" s="773">
        <v>0</v>
      </c>
      <c r="E120" s="773">
        <v>0</v>
      </c>
      <c r="F120" s="774">
        <f t="shared" si="3"/>
        <v>0</v>
      </c>
    </row>
    <row r="121" spans="1:6" s="69" customFormat="1" ht="30" customHeight="1">
      <c r="A121" s="770" t="s">
        <v>620</v>
      </c>
      <c r="B121" s="615"/>
      <c r="C121" s="782"/>
      <c r="D121" s="773">
        <v>0</v>
      </c>
      <c r="E121" s="773">
        <v>0</v>
      </c>
      <c r="F121" s="774">
        <f t="shared" si="3"/>
        <v>0</v>
      </c>
    </row>
    <row r="122" spans="1:6" s="69" customFormat="1" ht="30" customHeight="1">
      <c r="A122" s="1012" t="s">
        <v>694</v>
      </c>
      <c r="B122" s="615"/>
      <c r="C122" s="782"/>
      <c r="D122" s="773">
        <v>0</v>
      </c>
      <c r="E122" s="773">
        <v>0</v>
      </c>
      <c r="F122" s="774">
        <f t="shared" si="3"/>
        <v>0</v>
      </c>
    </row>
    <row r="123" spans="1:6" s="69" customFormat="1" ht="30" customHeight="1">
      <c r="A123" s="770" t="s">
        <v>621</v>
      </c>
      <c r="B123" s="615"/>
      <c r="C123" s="782"/>
      <c r="D123" s="773">
        <v>0</v>
      </c>
      <c r="E123" s="773">
        <v>0</v>
      </c>
      <c r="F123" s="774">
        <f t="shared" si="3"/>
        <v>0</v>
      </c>
    </row>
    <row r="124" spans="1:6" s="69" customFormat="1" ht="30" customHeight="1">
      <c r="A124" s="770" t="s">
        <v>622</v>
      </c>
      <c r="B124" s="615"/>
      <c r="C124" s="782"/>
      <c r="D124" s="773">
        <v>0</v>
      </c>
      <c r="E124" s="773">
        <v>0</v>
      </c>
      <c r="F124" s="774">
        <f t="shared" si="3"/>
        <v>0</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2339137</v>
      </c>
      <c r="E129" s="260">
        <f>SUM(E117:E128)</f>
        <v>0</v>
      </c>
      <c r="F129" s="261">
        <f>SUM(F117:F128)</f>
        <v>2339137</v>
      </c>
    </row>
    <row r="130" spans="1:6" ht="14.1" customHeight="1">
      <c r="A130" s="249"/>
      <c r="B130" s="249"/>
      <c r="C130" s="250"/>
      <c r="D130" s="251"/>
      <c r="E130" s="251"/>
      <c r="F130" s="251"/>
    </row>
    <row r="131" spans="1:6" ht="83.25" customHeight="1">
      <c r="A131" s="949" t="s">
        <v>715</v>
      </c>
      <c r="B131" s="949"/>
      <c r="C131" s="950"/>
      <c r="D131" s="252">
        <f>D129-D113</f>
        <v>0</v>
      </c>
      <c r="E131" s="252">
        <f>E129-E113</f>
        <v>0</v>
      </c>
      <c r="F131" s="252">
        <f>F129-F113</f>
        <v>0</v>
      </c>
    </row>
    <row r="132" spans="1:6" ht="30" customHeight="1">
      <c r="A132" s="249"/>
      <c r="B132" s="249"/>
      <c r="C132" s="250"/>
      <c r="D132" s="251"/>
      <c r="E132" s="251"/>
      <c r="F132" s="251"/>
    </row>
    <row r="133" spans="1:6" ht="30" customHeight="1" thickBot="1">
      <c r="A133" s="464" t="s">
        <v>716</v>
      </c>
      <c r="B133" s="17"/>
      <c r="C133" s="17"/>
      <c r="D133" s="253"/>
      <c r="E133" s="253"/>
      <c r="F133" s="254"/>
    </row>
    <row r="134" spans="1:6" ht="238.5" customHeight="1" thickBot="1">
      <c r="A134" s="1106"/>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election activeCell="B3" sqref="B3"/>
    </sheetView>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745</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746</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747</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981075</xdr:colOff>
                <xdr:row>10</xdr:row>
                <xdr:rowOff>28575</xdr:rowOff>
              </from>
              <to>
                <xdr:col>0</xdr:col>
                <xdr:colOff>6162675</xdr:colOff>
                <xdr:row>55</xdr:row>
                <xdr:rowOff>19050</xdr:rowOff>
              </to>
            </anchor>
          </objectPr>
        </oleObject>
      </mc:Choice>
      <mc:Fallback>
        <oleObject progId="Acrobat.Document.DC" shapeId="1025"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topLeftCell="A15"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778</v>
      </c>
      <c r="C3" s="64"/>
      <c r="D3" s="73"/>
      <c r="E3" s="72"/>
    </row>
    <row r="4" spans="1:10" ht="25.35" customHeight="1" thickBot="1">
      <c r="A4" s="62">
        <v>1</v>
      </c>
      <c r="B4" s="52">
        <v>2</v>
      </c>
      <c r="C4" s="52">
        <v>3</v>
      </c>
      <c r="D4" s="52">
        <v>4</v>
      </c>
      <c r="E4" s="19"/>
    </row>
    <row r="5" spans="1:10" ht="44.1" customHeight="1" thickBot="1">
      <c r="A5" s="38" t="s">
        <v>16</v>
      </c>
      <c r="B5" s="1090" t="s">
        <v>765</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6">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707</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700</v>
      </c>
      <c r="B40" s="954" t="s">
        <v>779</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706</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767</v>
      </c>
      <c r="C46" s="639"/>
      <c r="D46" s="639">
        <v>650000</v>
      </c>
      <c r="E46" s="640">
        <f t="shared" si="1"/>
        <v>650000</v>
      </c>
    </row>
    <row r="47" spans="1:12" ht="84.75" customHeight="1">
      <c r="A47" s="962" t="s">
        <v>772</v>
      </c>
      <c r="B47" s="1041" t="s">
        <v>773</v>
      </c>
      <c r="C47" s="1042"/>
      <c r="D47" s="1042">
        <v>970000</v>
      </c>
      <c r="E47" s="1145"/>
      <c r="G47" s="163" t="s">
        <v>10</v>
      </c>
    </row>
    <row r="48" spans="1:12" ht="62.45" customHeight="1">
      <c r="A48" s="962" t="s">
        <v>30</v>
      </c>
      <c r="B48" s="641" t="s">
        <v>58</v>
      </c>
      <c r="C48" s="639">
        <v>2500000</v>
      </c>
      <c r="D48" s="639"/>
      <c r="E48" s="640">
        <f t="shared" si="1"/>
        <v>2500000</v>
      </c>
    </row>
    <row r="49" spans="1:5" ht="62.45" customHeight="1">
      <c r="A49" s="962" t="s">
        <v>30</v>
      </c>
      <c r="B49" s="1041" t="s">
        <v>770</v>
      </c>
      <c r="C49" s="1042"/>
      <c r="D49" s="1042">
        <v>500000</v>
      </c>
      <c r="E49" s="640">
        <f t="shared" si="1"/>
        <v>500000</v>
      </c>
    </row>
    <row r="50" spans="1:5" ht="62.45" customHeight="1">
      <c r="A50" s="962" t="s">
        <v>31</v>
      </c>
      <c r="B50" s="1041" t="s">
        <v>774</v>
      </c>
      <c r="C50" s="1042"/>
      <c r="D50" s="1042">
        <v>2200000</v>
      </c>
      <c r="E50" s="640">
        <f t="shared" si="1"/>
        <v>2200000</v>
      </c>
    </row>
    <row r="51" spans="1:5" ht="62.45" customHeight="1">
      <c r="A51" s="962" t="s">
        <v>776</v>
      </c>
      <c r="B51" s="1041" t="s">
        <v>777</v>
      </c>
      <c r="C51" s="1042"/>
      <c r="D51" s="1042">
        <v>3850000</v>
      </c>
      <c r="E51" s="1145">
        <f t="shared" si="1"/>
        <v>3850000</v>
      </c>
    </row>
    <row r="52" spans="1:5" ht="62.45" customHeight="1">
      <c r="A52" s="962" t="s">
        <v>37</v>
      </c>
      <c r="B52" s="1041" t="s">
        <v>771</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769</v>
      </c>
      <c r="C54" s="639"/>
      <c r="D54" s="639">
        <v>386940</v>
      </c>
      <c r="E54" s="640">
        <f t="shared" si="1"/>
        <v>386940</v>
      </c>
    </row>
    <row r="55" spans="1:5" ht="86.25" customHeight="1" thickBot="1">
      <c r="A55" s="965" t="s">
        <v>60</v>
      </c>
      <c r="B55" s="1041" t="s">
        <v>768</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718</v>
      </c>
      <c r="B60" s="394" t="s">
        <v>764</v>
      </c>
      <c r="C60" s="16" t="s">
        <v>10</v>
      </c>
      <c r="D60" s="16"/>
    </row>
    <row r="61" spans="1:5" ht="69" customHeight="1" thickBot="1">
      <c r="A61" s="1059" t="s">
        <v>775</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762</v>
      </c>
      <c r="B67" s="1061" t="s">
        <v>761</v>
      </c>
      <c r="C67" s="1062"/>
      <c r="D67" s="1062"/>
      <c r="E67" s="1063"/>
      <c r="F67" s="18"/>
      <c r="G67" s="16"/>
    </row>
    <row r="68" spans="1:7" ht="87.6" customHeight="1" thickBot="1">
      <c r="A68" s="40" t="s">
        <v>17</v>
      </c>
      <c r="B68" s="24" t="s">
        <v>763</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780</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754</v>
      </c>
      <c r="B106" s="1045" t="s">
        <v>759</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704</v>
      </c>
      <c r="U108" s="32"/>
      <c r="V108" s="33"/>
      <c r="W108" s="34"/>
      <c r="X108" s="35"/>
      <c r="Y108" s="59"/>
      <c r="Z108" s="1068"/>
      <c r="AA108" s="1069"/>
      <c r="AB108" s="1070"/>
      <c r="AC108" s="19"/>
      <c r="AD108" s="595" t="s">
        <v>756</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755</v>
      </c>
      <c r="R109" s="1084"/>
      <c r="S109" s="1085"/>
      <c r="T109" s="1144"/>
      <c r="U109" s="21"/>
      <c r="V109" s="1053" t="s">
        <v>84</v>
      </c>
      <c r="W109" s="1054"/>
      <c r="X109" s="1058"/>
      <c r="Y109" s="1088"/>
      <c r="Z109" s="1053" t="s">
        <v>85</v>
      </c>
      <c r="AA109" s="1054"/>
      <c r="AB109" s="1055"/>
      <c r="AD109" s="43" t="s">
        <v>86</v>
      </c>
      <c r="AF109" s="19"/>
      <c r="AI109" s="1089" t="s">
        <v>705</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3"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7">
        <v>1521.3588197412328</v>
      </c>
      <c r="I111" s="1138">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9">
        <v>5837.5073015000162</v>
      </c>
      <c r="I112" s="1140">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9">
        <v>1075.7106295853951</v>
      </c>
      <c r="I113" s="1140">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9">
        <v>163.33010648596323</v>
      </c>
      <c r="I114" s="1140">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9">
        <v>1904.5630637291142</v>
      </c>
      <c r="I115" s="1140">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9">
        <v>343.97809523809525</v>
      </c>
      <c r="I116" s="1140">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757</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9">
        <v>2928.0981193785769</v>
      </c>
      <c r="I117" s="1140">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9">
        <v>235.06822880771881</v>
      </c>
      <c r="I118" s="1140">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9">
        <v>495.82181885534357</v>
      </c>
      <c r="I119" s="1140">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9">
        <v>4447.9587874659401</v>
      </c>
      <c r="I120" s="1140">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758</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9">
        <v>2080.5948006613999</v>
      </c>
      <c r="I121" s="1140">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9">
        <v>341.11536358665938</v>
      </c>
      <c r="I122" s="1140">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9">
        <v>416.33072677092918</v>
      </c>
      <c r="I123" s="1140">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9">
        <v>591.90598713508166</v>
      </c>
      <c r="I124" s="1140">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9">
        <v>4037.4676471311577</v>
      </c>
      <c r="I125" s="1140">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9">
        <v>93.426336375488916</v>
      </c>
      <c r="I126" s="1140">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9">
        <v>488.70819672131142</v>
      </c>
      <c r="I127" s="1140">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9">
        <v>1319.1051714119699</v>
      </c>
      <c r="I128" s="1140">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9">
        <v>1506.2325516314995</v>
      </c>
      <c r="I129" s="1140">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9">
        <v>992.05412371134025</v>
      </c>
      <c r="I130" s="1140">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9">
        <v>1152.4091344618334</v>
      </c>
      <c r="I131" s="1140">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9">
        <v>605.7775961780236</v>
      </c>
      <c r="I132" s="1140">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9">
        <v>3688.2180216031838</v>
      </c>
      <c r="I133" s="1140">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9">
        <v>1933.6501919618993</v>
      </c>
      <c r="I134" s="1140">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9">
        <v>2390.8582342651098</v>
      </c>
      <c r="I135" s="1140">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9">
        <v>0.8125</v>
      </c>
      <c r="I136" s="1140">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9">
        <v>1305.0127118644068</v>
      </c>
      <c r="I137" s="1140">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41">
        <v>7151.3431840866961</v>
      </c>
      <c r="I138" s="1142">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SUM(B111:B138)</f>
        <v>17466</v>
      </c>
      <c r="C139" s="67"/>
      <c r="D139" s="397">
        <f t="shared" ref="D139:T139" si="20">SUM(D111:D138)</f>
        <v>17466</v>
      </c>
      <c r="E139" s="969">
        <f t="shared" si="20"/>
        <v>145854.54067593458</v>
      </c>
      <c r="F139" s="383">
        <f t="shared" si="20"/>
        <v>7471.0476676674252</v>
      </c>
      <c r="G139" s="397">
        <f t="shared" si="20"/>
        <v>153325.58834360202</v>
      </c>
      <c r="H139" s="407">
        <f t="shared" si="20"/>
        <v>49048.417450345376</v>
      </c>
      <c r="I139" s="383">
        <f t="shared" si="20"/>
        <v>2235.7713857577769</v>
      </c>
      <c r="J139" s="397">
        <f t="shared" si="20"/>
        <v>51284.18883610316</v>
      </c>
      <c r="K139" s="407">
        <f t="shared" si="20"/>
        <v>5737.7109940851451</v>
      </c>
      <c r="L139" s="409">
        <f t="shared" si="20"/>
        <v>671.28900591485512</v>
      </c>
      <c r="M139" s="398">
        <f t="shared" si="20"/>
        <v>6409</v>
      </c>
      <c r="N139" s="407">
        <f t="shared" si="20"/>
        <v>233.34647145832957</v>
      </c>
      <c r="O139" s="409">
        <f t="shared" si="20"/>
        <v>0.65352854167042285</v>
      </c>
      <c r="P139" s="398">
        <f t="shared" si="20"/>
        <v>234</v>
      </c>
      <c r="Q139" s="406">
        <f t="shared" si="20"/>
        <v>6886.8616761772992</v>
      </c>
      <c r="R139" s="408">
        <f t="shared" si="20"/>
        <v>362.91996991077752</v>
      </c>
      <c r="S139" s="399">
        <f t="shared" si="20"/>
        <v>7249.7816460880777</v>
      </c>
      <c r="T139" s="68">
        <f t="shared" si="20"/>
        <v>235968.55882579327</v>
      </c>
      <c r="U139" s="69"/>
      <c r="V139" s="400">
        <f t="shared" ref="V139:AB139" si="21">SUM(V111:V138)</f>
        <v>10</v>
      </c>
      <c r="W139" s="407">
        <f t="shared" si="21"/>
        <v>4</v>
      </c>
      <c r="X139" s="405">
        <f t="shared" si="21"/>
        <v>14</v>
      </c>
      <c r="Y139" s="70"/>
      <c r="Z139" s="400">
        <f t="shared" si="21"/>
        <v>1002.6745482352759</v>
      </c>
      <c r="AA139" s="406">
        <f t="shared" si="21"/>
        <v>1656.3254517647242</v>
      </c>
      <c r="AB139" s="402">
        <f t="shared" si="21"/>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695</v>
      </c>
      <c r="V141" s="53"/>
      <c r="W141" s="53"/>
      <c r="X141" s="53"/>
      <c r="Y141" s="53"/>
      <c r="Z141" s="53"/>
      <c r="AA141" s="53"/>
      <c r="AB141" s="53"/>
    </row>
    <row r="142" spans="1:44">
      <c r="A142" s="17" t="s">
        <v>760</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4" t="s">
        <v>753</v>
      </c>
      <c r="B147" s="1051"/>
      <c r="C147" s="1133"/>
      <c r="D147" s="1133"/>
    </row>
    <row r="148" spans="1:4" ht="21.75" thickBot="1">
      <c r="A148" s="62"/>
      <c r="B148" s="63" t="s">
        <v>766</v>
      </c>
    </row>
    <row r="149" spans="1:4" ht="21.75" thickBot="1">
      <c r="A149" s="62">
        <v>1</v>
      </c>
      <c r="B149" s="52">
        <v>2</v>
      </c>
    </row>
    <row r="150" spans="1:4" ht="57" customHeight="1" thickBot="1">
      <c r="A150" s="38" t="s">
        <v>156</v>
      </c>
      <c r="B150" s="1129" t="s">
        <v>765</v>
      </c>
    </row>
    <row r="151" spans="1:4" ht="63.75" thickBot="1">
      <c r="A151" s="292" t="s">
        <v>17</v>
      </c>
      <c r="B151" s="23" t="s">
        <v>156</v>
      </c>
    </row>
    <row r="152" spans="1:4">
      <c r="A152" s="410" t="s">
        <v>21</v>
      </c>
      <c r="B152" s="1130">
        <v>1004407</v>
      </c>
    </row>
    <row r="153" spans="1:4">
      <c r="A153" s="390" t="s">
        <v>22</v>
      </c>
      <c r="B153" s="1131">
        <v>2716373</v>
      </c>
    </row>
    <row r="154" spans="1:4">
      <c r="A154" s="390" t="s">
        <v>23</v>
      </c>
      <c r="B154" s="1131">
        <v>609302</v>
      </c>
    </row>
    <row r="155" spans="1:4">
      <c r="A155" s="390" t="s">
        <v>24</v>
      </c>
      <c r="B155" s="1131">
        <v>206774</v>
      </c>
    </row>
    <row r="156" spans="1:4">
      <c r="A156" s="390" t="s">
        <v>25</v>
      </c>
      <c r="B156" s="1131">
        <v>757867</v>
      </c>
    </row>
    <row r="157" spans="1:4">
      <c r="A157" s="390" t="s">
        <v>26</v>
      </c>
      <c r="B157" s="1131">
        <v>858371</v>
      </c>
    </row>
    <row r="158" spans="1:4">
      <c r="A158" s="390" t="s">
        <v>27</v>
      </c>
      <c r="B158" s="1131">
        <v>1828775</v>
      </c>
    </row>
    <row r="159" spans="1:4">
      <c r="A159" s="390" t="s">
        <v>28</v>
      </c>
      <c r="B159" s="1131">
        <v>62550</v>
      </c>
    </row>
    <row r="160" spans="1:4">
      <c r="A160" s="390" t="s">
        <v>29</v>
      </c>
      <c r="B160" s="1131">
        <v>302379</v>
      </c>
    </row>
    <row r="161" spans="1:2">
      <c r="A161" s="390" t="s">
        <v>30</v>
      </c>
      <c r="B161" s="1131">
        <v>1281953</v>
      </c>
    </row>
    <row r="162" spans="1:2">
      <c r="A162" s="390" t="s">
        <v>31</v>
      </c>
      <c r="B162" s="1131">
        <v>859530</v>
      </c>
    </row>
    <row r="163" spans="1:2">
      <c r="A163" s="390" t="s">
        <v>32</v>
      </c>
      <c r="B163" s="1131">
        <v>239130</v>
      </c>
    </row>
    <row r="164" spans="1:2">
      <c r="A164" s="390" t="s">
        <v>33</v>
      </c>
      <c r="B164" s="1131">
        <v>338782</v>
      </c>
    </row>
    <row r="165" spans="1:2">
      <c r="A165" s="390" t="s">
        <v>34</v>
      </c>
      <c r="B165" s="1131">
        <v>590443</v>
      </c>
    </row>
    <row r="166" spans="1:2">
      <c r="A166" s="390" t="s">
        <v>35</v>
      </c>
      <c r="B166" s="1131">
        <v>4236132</v>
      </c>
    </row>
    <row r="167" spans="1:2">
      <c r="A167" s="390" t="s">
        <v>36</v>
      </c>
      <c r="B167" s="1131">
        <v>101236</v>
      </c>
    </row>
    <row r="168" spans="1:2">
      <c r="A168" s="390" t="s">
        <v>37</v>
      </c>
      <c r="B168" s="1131">
        <v>255008</v>
      </c>
    </row>
    <row r="169" spans="1:2">
      <c r="A169" s="390" t="s">
        <v>38</v>
      </c>
      <c r="B169" s="1131">
        <v>1524062</v>
      </c>
    </row>
    <row r="170" spans="1:2">
      <c r="A170" s="390" t="s">
        <v>39</v>
      </c>
      <c r="B170" s="1131">
        <v>685955</v>
      </c>
    </row>
    <row r="171" spans="1:2">
      <c r="A171" s="390" t="s">
        <v>40</v>
      </c>
      <c r="B171" s="1131">
        <v>469614</v>
      </c>
    </row>
    <row r="172" spans="1:2">
      <c r="A172" s="390" t="s">
        <v>41</v>
      </c>
      <c r="B172" s="1131">
        <v>524793</v>
      </c>
    </row>
    <row r="173" spans="1:2">
      <c r="A173" s="390" t="s">
        <v>42</v>
      </c>
      <c r="B173" s="1131">
        <v>320730</v>
      </c>
    </row>
    <row r="174" spans="1:2">
      <c r="A174" s="390" t="s">
        <v>43</v>
      </c>
      <c r="B174" s="1131">
        <v>1764500</v>
      </c>
    </row>
    <row r="175" spans="1:2">
      <c r="A175" s="390" t="s">
        <v>44</v>
      </c>
      <c r="B175" s="1131">
        <v>1130815</v>
      </c>
    </row>
    <row r="176" spans="1:2">
      <c r="A176" s="390" t="s">
        <v>45</v>
      </c>
      <c r="B176" s="1131">
        <v>1743287</v>
      </c>
    </row>
    <row r="177" spans="1:2">
      <c r="A177" s="390" t="s">
        <v>46</v>
      </c>
      <c r="B177" s="1131">
        <v>204592</v>
      </c>
    </row>
    <row r="178" spans="1:2">
      <c r="A178" s="390" t="s">
        <v>48</v>
      </c>
      <c r="B178" s="1131">
        <v>657964</v>
      </c>
    </row>
    <row r="179" spans="1:2" ht="21.75" thickBot="1">
      <c r="A179" s="391" t="s">
        <v>49</v>
      </c>
      <c r="B179" s="1132">
        <v>4724676</v>
      </c>
    </row>
    <row r="180" spans="1:2" ht="24" thickBot="1">
      <c r="A180" s="392" t="s">
        <v>50</v>
      </c>
      <c r="B180" s="433">
        <f>SUM(B152:B179)</f>
        <v>30000000</v>
      </c>
    </row>
    <row r="182" spans="1:2" ht="36.75" thickBot="1">
      <c r="A182" s="1134" t="s">
        <v>753</v>
      </c>
      <c r="B182" s="1051"/>
    </row>
    <row r="183" spans="1:2" ht="21.75" thickBot="1">
      <c r="A183" s="62"/>
      <c r="B183" s="63" t="s">
        <v>766</v>
      </c>
    </row>
    <row r="184" spans="1:2" ht="21.75" thickBot="1">
      <c r="A184" s="62">
        <v>1</v>
      </c>
      <c r="B184" s="52">
        <v>2</v>
      </c>
    </row>
    <row r="185" spans="1:2" ht="54" thickBot="1">
      <c r="A185" s="1135" t="s">
        <v>708</v>
      </c>
      <c r="B185" s="1129" t="s">
        <v>765</v>
      </c>
    </row>
    <row r="186" spans="1:2" ht="42.75" thickBot="1">
      <c r="A186" s="292" t="s">
        <v>17</v>
      </c>
      <c r="B186" s="23" t="s">
        <v>708</v>
      </c>
    </row>
    <row r="187" spans="1:2">
      <c r="A187" s="410" t="s">
        <v>21</v>
      </c>
      <c r="B187" s="1136">
        <v>1361076</v>
      </c>
    </row>
    <row r="188" spans="1:2">
      <c r="A188" s="390" t="s">
        <v>22</v>
      </c>
      <c r="B188" s="1131">
        <v>1664598</v>
      </c>
    </row>
    <row r="189" spans="1:2">
      <c r="A189" s="390" t="s">
        <v>23</v>
      </c>
      <c r="B189" s="1131">
        <v>814514</v>
      </c>
    </row>
    <row r="190" spans="1:2">
      <c r="A190" s="390" t="s">
        <v>24</v>
      </c>
      <c r="B190" s="1131">
        <v>494178</v>
      </c>
    </row>
    <row r="191" spans="1:2">
      <c r="A191" s="390" t="s">
        <v>25</v>
      </c>
      <c r="B191" s="1131">
        <v>2454251</v>
      </c>
    </row>
    <row r="192" spans="1:2">
      <c r="A192" s="390" t="s">
        <v>26</v>
      </c>
      <c r="B192" s="1131">
        <v>1601835</v>
      </c>
    </row>
    <row r="193" spans="1:2">
      <c r="A193" s="390" t="s">
        <v>27</v>
      </c>
      <c r="B193" s="1131">
        <v>2154031</v>
      </c>
    </row>
    <row r="194" spans="1:2">
      <c r="A194" s="390" t="s">
        <v>28</v>
      </c>
      <c r="B194" s="1131">
        <v>748137</v>
      </c>
    </row>
    <row r="195" spans="1:2">
      <c r="A195" s="390" t="s">
        <v>29</v>
      </c>
      <c r="B195" s="1131">
        <v>1777524</v>
      </c>
    </row>
    <row r="196" spans="1:2">
      <c r="A196" s="390" t="s">
        <v>30</v>
      </c>
      <c r="B196" s="1131">
        <v>714831</v>
      </c>
    </row>
    <row r="197" spans="1:2">
      <c r="A197" s="390" t="s">
        <v>31</v>
      </c>
      <c r="B197" s="1131">
        <v>1713555</v>
      </c>
    </row>
    <row r="198" spans="1:2">
      <c r="A198" s="390" t="s">
        <v>32</v>
      </c>
      <c r="B198" s="1131">
        <v>1501485</v>
      </c>
    </row>
    <row r="199" spans="1:2">
      <c r="A199" s="390" t="s">
        <v>33</v>
      </c>
      <c r="B199" s="1131">
        <v>764607</v>
      </c>
    </row>
    <row r="200" spans="1:2">
      <c r="A200" s="390" t="s">
        <v>34</v>
      </c>
      <c r="B200" s="1131">
        <v>1862607</v>
      </c>
    </row>
    <row r="201" spans="1:2">
      <c r="A201" s="390" t="s">
        <v>35</v>
      </c>
      <c r="B201" s="1131">
        <v>2299040</v>
      </c>
    </row>
    <row r="202" spans="1:2">
      <c r="A202" s="390" t="s">
        <v>36</v>
      </c>
      <c r="B202" s="1131">
        <v>1610425</v>
      </c>
    </row>
    <row r="203" spans="1:2">
      <c r="A203" s="390" t="s">
        <v>37</v>
      </c>
      <c r="B203" s="1131">
        <v>666964</v>
      </c>
    </row>
    <row r="204" spans="1:2">
      <c r="A204" s="390" t="s">
        <v>38</v>
      </c>
      <c r="B204" s="1131">
        <v>1576533</v>
      </c>
    </row>
    <row r="205" spans="1:2">
      <c r="A205" s="390" t="s">
        <v>39</v>
      </c>
      <c r="B205" s="1131">
        <v>1722262</v>
      </c>
    </row>
    <row r="206" spans="1:2">
      <c r="A206" s="390" t="s">
        <v>40</v>
      </c>
      <c r="B206" s="1131">
        <v>1053760</v>
      </c>
    </row>
    <row r="207" spans="1:2">
      <c r="A207" s="390" t="s">
        <v>41</v>
      </c>
      <c r="B207" s="1131">
        <v>1348353</v>
      </c>
    </row>
    <row r="208" spans="1:2">
      <c r="A208" s="390" t="s">
        <v>42</v>
      </c>
      <c r="B208" s="1131">
        <v>959639</v>
      </c>
    </row>
    <row r="209" spans="1:2">
      <c r="A209" s="390" t="s">
        <v>43</v>
      </c>
      <c r="B209" s="1131">
        <v>2073253</v>
      </c>
    </row>
    <row r="210" spans="1:2">
      <c r="A210" s="390" t="s">
        <v>44</v>
      </c>
      <c r="B210" s="1131">
        <v>1446897</v>
      </c>
    </row>
    <row r="211" spans="1:2">
      <c r="A211" s="390" t="s">
        <v>45</v>
      </c>
      <c r="B211" s="1131">
        <v>1538643</v>
      </c>
    </row>
    <row r="212" spans="1:2">
      <c r="A212" s="390" t="s">
        <v>46</v>
      </c>
      <c r="B212" s="1131">
        <v>1471106</v>
      </c>
    </row>
    <row r="213" spans="1:2">
      <c r="A213" s="390" t="s">
        <v>48</v>
      </c>
      <c r="B213" s="1131">
        <v>924068</v>
      </c>
    </row>
    <row r="214" spans="1:2" ht="21.75" thickBot="1">
      <c r="A214" s="391" t="s">
        <v>49</v>
      </c>
      <c r="B214" s="1132">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719</v>
      </c>
      <c r="B2" s="918"/>
      <c r="C2" s="918"/>
      <c r="D2" s="918"/>
      <c r="E2" s="918"/>
      <c r="F2" s="918"/>
      <c r="G2" s="918"/>
    </row>
    <row r="3" spans="1:9" ht="20.100000000000001" customHeight="1">
      <c r="A3" s="918"/>
      <c r="B3" s="918"/>
      <c r="C3" s="918"/>
      <c r="D3" s="918"/>
      <c r="E3" s="918"/>
      <c r="F3" s="918"/>
      <c r="G3" s="918"/>
      <c r="H3" s="88"/>
    </row>
    <row r="4" spans="1:9" ht="28.35" customHeight="1">
      <c r="A4" s="1151" t="s">
        <v>748</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41</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720</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0.17230784207073885</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718</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20940</v>
      </c>
      <c r="E44" s="114">
        <f>+'EXHIBIT C'!F10</f>
        <v>23592.45</v>
      </c>
      <c r="F44" s="115">
        <f t="shared" ref="F44:F50" si="0">IF(D44=0,"0",(E44/D44-1))</f>
        <v>0.12666905444126075</v>
      </c>
      <c r="G44" s="116" t="str">
        <f t="shared" ref="G44:G50" si="1">IF(OR(F44&gt;3%, F44&lt;-3%),"YES","NO")</f>
        <v>YES</v>
      </c>
      <c r="H44" s="88"/>
    </row>
    <row r="45" spans="1:8" ht="20.100000000000001" customHeight="1">
      <c r="C45" s="117" t="s">
        <v>132</v>
      </c>
      <c r="D45" s="664">
        <f>VLOOKUP($D$7,VLOOKUP!$A$111:$S$139,5)*30+D60</f>
        <v>88701.145865593062</v>
      </c>
      <c r="E45" s="118">
        <f>+'EXHIBIT C'!F11</f>
        <v>86137.5</v>
      </c>
      <c r="F45" s="665">
        <f t="shared" si="0"/>
        <v>-2.8902060289927922E-2</v>
      </c>
      <c r="G45" s="666" t="str">
        <f t="shared" si="1"/>
        <v>NO</v>
      </c>
      <c r="H45" s="88"/>
    </row>
    <row r="46" spans="1:8" ht="20.100000000000001" customHeight="1">
      <c r="C46" s="667" t="s">
        <v>133</v>
      </c>
      <c r="D46" s="668">
        <f>VLOOKUP($D$7,VLOOKUP!$A$111:$S$139,8)*30</f>
        <v>34572.274033855007</v>
      </c>
      <c r="E46" s="669">
        <f>+'EXHIBIT C'!F12</f>
        <v>35148</v>
      </c>
      <c r="F46" s="665">
        <f t="shared" si="0"/>
        <v>1.6652823172152775E-2</v>
      </c>
      <c r="G46" s="666" t="str">
        <f t="shared" si="1"/>
        <v>NO</v>
      </c>
      <c r="H46" s="88"/>
    </row>
    <row r="47" spans="1:8" ht="20.100000000000001" customHeight="1">
      <c r="C47" s="667" t="s">
        <v>82</v>
      </c>
      <c r="D47" s="668">
        <f>VLOOKUP($D$7,VLOOKUP!$A$111:$S$139,17)*30</f>
        <v>3450</v>
      </c>
      <c r="E47" s="669">
        <f>+'EXHIBIT C'!F13</f>
        <v>4721</v>
      </c>
      <c r="F47" s="665">
        <f t="shared" si="0"/>
        <v>0.36840579710144938</v>
      </c>
      <c r="G47" s="666" t="str">
        <f t="shared" si="1"/>
        <v>YES</v>
      </c>
      <c r="H47" s="88"/>
    </row>
    <row r="48" spans="1:8" ht="20.100000000000001" customHeight="1">
      <c r="C48" s="667" t="s">
        <v>134</v>
      </c>
      <c r="D48" s="668">
        <f>VLOOKUP($D$7,VLOOKUP!$A$111:$S$139,11)*30</f>
        <v>2343.3983286908078</v>
      </c>
      <c r="E48" s="669">
        <f>+'EXHIBIT C'!F14</f>
        <v>1712</v>
      </c>
      <c r="F48" s="665">
        <f t="shared" si="0"/>
        <v>-0.26943704830734116</v>
      </c>
      <c r="G48" s="666" t="str">
        <f t="shared" si="1"/>
        <v>YES</v>
      </c>
      <c r="H48" s="88"/>
    </row>
    <row r="49" spans="3:8" ht="20.100000000000001" customHeight="1" thickBot="1">
      <c r="C49" s="670" t="s">
        <v>135</v>
      </c>
      <c r="D49" s="671">
        <f>VLOOKUP($D$7,VLOOKUP!$A$111:$S$139,14)*30</f>
        <v>990</v>
      </c>
      <c r="E49" s="672">
        <f>+'EXHIBIT C'!F15</f>
        <v>945</v>
      </c>
      <c r="F49" s="673">
        <f t="shared" si="0"/>
        <v>-4.5454545454545414E-2</v>
      </c>
      <c r="G49" s="674" t="str">
        <f t="shared" si="1"/>
        <v>YES</v>
      </c>
      <c r="H49" s="88"/>
    </row>
    <row r="50" spans="3:8" ht="20.100000000000001" customHeight="1" thickBot="1">
      <c r="C50" s="119" t="s">
        <v>50</v>
      </c>
      <c r="D50" s="120">
        <f>SUM(D44:D49)</f>
        <v>150996.81822813887</v>
      </c>
      <c r="E50" s="121">
        <f>+'EXHIBIT C'!F17</f>
        <v>152255.95000000001</v>
      </c>
      <c r="F50" s="122">
        <f t="shared" si="0"/>
        <v>8.3387967152972475E-3</v>
      </c>
      <c r="G50" s="123" t="str">
        <f t="shared" si="1"/>
        <v>NO</v>
      </c>
      <c r="H50" s="88"/>
    </row>
    <row r="51" spans="3:8" ht="46.5" customHeight="1" thickBot="1">
      <c r="C51" s="922" t="s">
        <v>136</v>
      </c>
      <c r="D51" s="923"/>
      <c r="E51" s="923"/>
      <c r="F51" s="923"/>
      <c r="G51" s="924"/>
      <c r="H51" s="88"/>
    </row>
    <row r="52" spans="3:8" ht="24.6" customHeight="1" thickBot="1">
      <c r="C52" s="845" t="s">
        <v>749</v>
      </c>
      <c r="D52" s="846"/>
      <c r="E52" s="846"/>
      <c r="F52" s="846"/>
      <c r="G52" s="847"/>
      <c r="H52" s="124"/>
    </row>
    <row r="53" spans="3:8" ht="205.5" customHeight="1" thickBot="1">
      <c r="C53" s="1109" t="s">
        <v>781</v>
      </c>
      <c r="D53" s="1110"/>
      <c r="E53" s="1110"/>
      <c r="F53" s="1110"/>
      <c r="G53" s="1111"/>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600</v>
      </c>
      <c r="F59" s="676" t="str">
        <f t="shared" ref="F59:F65" si="2">IF(D59=0,"0",(E59/D59-1))</f>
        <v>0</v>
      </c>
      <c r="G59" s="677" t="str">
        <f>IF(OR(F59&gt;5%, F59&lt;-5%),"YES","NO")</f>
        <v>NO</v>
      </c>
    </row>
    <row r="60" spans="3:8" ht="20.100000000000001" customHeight="1">
      <c r="C60" s="117" t="s">
        <v>132</v>
      </c>
      <c r="D60" s="675">
        <f>VLOOKUP($D$7,VLOOKUP!$A$111:$S$139,6)*30</f>
        <v>3270.8547537937438</v>
      </c>
      <c r="E60" s="131">
        <f>+'EXHIBIT C'!D20</f>
        <v>3730</v>
      </c>
      <c r="F60" s="676">
        <f t="shared" si="2"/>
        <v>0.14037469737037722</v>
      </c>
      <c r="G60" s="677" t="str">
        <f t="shared" ref="G60:G65" si="3">IF(OR(F60&gt;5%, F60&lt;-5%),"YES","NO")</f>
        <v>YES</v>
      </c>
      <c r="H60" s="88"/>
    </row>
    <row r="61" spans="3:8" ht="20.100000000000001" customHeight="1">
      <c r="C61" s="667" t="s">
        <v>133</v>
      </c>
      <c r="D61" s="678">
        <f>VLOOKUP($D$7,VLOOKUP!$A$111:$S$139,9)*30</f>
        <v>885.25391248802282</v>
      </c>
      <c r="E61" s="679">
        <f>+'EXHIBIT C'!D21</f>
        <v>9</v>
      </c>
      <c r="F61" s="676">
        <f t="shared" si="2"/>
        <v>-0.98983342533363639</v>
      </c>
      <c r="G61" s="677" t="str">
        <f t="shared" si="3"/>
        <v>YES</v>
      </c>
      <c r="H61" s="88"/>
    </row>
    <row r="62" spans="3:8" ht="20.100000000000001" customHeight="1">
      <c r="C62" s="667" t="s">
        <v>82</v>
      </c>
      <c r="D62" s="678">
        <f>VLOOKUP($D$7,VLOOKUP!$A$111:$S$139,18)*30</f>
        <v>0</v>
      </c>
      <c r="E62" s="679">
        <f>+'EXHIBIT C'!D22</f>
        <v>36</v>
      </c>
      <c r="F62" s="676" t="str">
        <f t="shared" si="2"/>
        <v>0</v>
      </c>
      <c r="G62" s="677" t="str">
        <f t="shared" si="3"/>
        <v>NO</v>
      </c>
      <c r="H62" s="88"/>
    </row>
    <row r="63" spans="3:8" ht="20.100000000000001" customHeight="1">
      <c r="C63" s="667" t="s">
        <v>134</v>
      </c>
      <c r="D63" s="678">
        <f>VLOOKUP($D$7,VLOOKUP!$A$111:$S$139,12)*30</f>
        <v>296.60167130919217</v>
      </c>
      <c r="E63" s="679">
        <f>+'EXHIBIT C'!D23</f>
        <v>31</v>
      </c>
      <c r="F63" s="676">
        <f t="shared" si="2"/>
        <v>-0.89548271975957927</v>
      </c>
      <c r="G63" s="677" t="str">
        <f t="shared" si="3"/>
        <v>YES</v>
      </c>
      <c r="H63" s="88"/>
    </row>
    <row r="64" spans="3:8" ht="20.100000000000001" customHeight="1" thickBot="1">
      <c r="C64" s="670" t="s">
        <v>135</v>
      </c>
      <c r="D64" s="680">
        <f>VLOOKUP($D$7,VLOOKUP!$A$111:$S$139,15)*30</f>
        <v>0</v>
      </c>
      <c r="E64" s="681">
        <f>+'EXHIBIT C'!D24</f>
        <v>3</v>
      </c>
      <c r="F64" s="682" t="str">
        <f t="shared" si="2"/>
        <v>0</v>
      </c>
      <c r="G64" s="683" t="str">
        <f t="shared" si="3"/>
        <v>NO</v>
      </c>
      <c r="H64" s="88"/>
    </row>
    <row r="65" spans="1:8" ht="20.100000000000001" customHeight="1" thickBot="1">
      <c r="C65" s="119" t="s">
        <v>50</v>
      </c>
      <c r="D65" s="132">
        <f>SUM(D59:D64)</f>
        <v>4452.7103375909592</v>
      </c>
      <c r="E65" s="133">
        <f>SUM(E59:E64)</f>
        <v>4409</v>
      </c>
      <c r="F65" s="134">
        <f t="shared" si="2"/>
        <v>-9.8165688484034286E-3</v>
      </c>
      <c r="G65" s="135" t="str">
        <f t="shared" si="3"/>
        <v>NO</v>
      </c>
      <c r="H65" s="88"/>
    </row>
    <row r="66" spans="1:8" ht="42" customHeight="1" thickBot="1">
      <c r="C66" s="922" t="s">
        <v>141</v>
      </c>
      <c r="D66" s="923"/>
      <c r="E66" s="923"/>
      <c r="F66" s="923"/>
      <c r="G66" s="924"/>
      <c r="H66" s="88"/>
    </row>
    <row r="67" spans="1:8" ht="24.6" customHeight="1" thickBot="1">
      <c r="A67" s="98"/>
      <c r="B67" s="98"/>
      <c r="C67" s="842" t="s">
        <v>749</v>
      </c>
      <c r="D67" s="843"/>
      <c r="E67" s="843"/>
      <c r="F67" s="843"/>
      <c r="G67" s="844"/>
      <c r="H67" s="88"/>
    </row>
    <row r="68" spans="1:8" ht="227.25" customHeight="1" thickBot="1">
      <c r="A68" s="98"/>
      <c r="B68" s="98"/>
      <c r="C68" s="1112" t="s">
        <v>782</v>
      </c>
      <c r="D68" s="1113"/>
      <c r="E68" s="1113"/>
      <c r="F68" s="1113"/>
      <c r="G68" s="1114"/>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43206598</v>
      </c>
      <c r="E84" s="1149">
        <f>+'EXHIBIT D'!G75</f>
        <v>43206598</v>
      </c>
      <c r="F84" s="1149">
        <f>D84-E84</f>
        <v>0</v>
      </c>
      <c r="G84" s="88"/>
      <c r="H84" s="88"/>
    </row>
    <row r="85" spans="1:8" ht="20.100000000000001" customHeight="1">
      <c r="A85" s="98"/>
      <c r="B85" s="98"/>
      <c r="C85" s="688" t="s">
        <v>156</v>
      </c>
      <c r="D85" s="687">
        <f>VLOOKUP($D$7,VLOOKUP!$A$152:$B$180,2)</f>
        <v>524793</v>
      </c>
      <c r="E85" s="1149">
        <f>'EXHIBIT D'!G77</f>
        <v>524793</v>
      </c>
      <c r="F85" s="1149">
        <f>D85-E85</f>
        <v>0</v>
      </c>
      <c r="G85" s="88"/>
      <c r="H85" s="88"/>
    </row>
    <row r="86" spans="1:8" ht="20.100000000000001" customHeight="1">
      <c r="A86" s="98"/>
      <c r="B86" s="98"/>
      <c r="C86" s="688" t="s">
        <v>157</v>
      </c>
      <c r="D86" s="687">
        <f>VLOOKUP($D$7,VLOOKUP!$A$7:$E$35,3)</f>
        <v>6852642</v>
      </c>
      <c r="E86" s="1149">
        <f>'EXHIBIT D'!G81</f>
        <v>6852642</v>
      </c>
      <c r="F86" s="1149">
        <f>D86-E86</f>
        <v>0</v>
      </c>
      <c r="G86" s="88"/>
      <c r="H86" s="88"/>
    </row>
    <row r="87" spans="1:8" ht="20.100000000000001" customHeight="1" thickBot="1">
      <c r="A87" s="97"/>
      <c r="B87" s="97"/>
      <c r="C87" s="143" t="s">
        <v>708</v>
      </c>
      <c r="D87" s="687">
        <f>VLOOKUP($D$7,VLOOKUP!$A$187:$B$215,2)</f>
        <v>1348353</v>
      </c>
      <c r="E87" s="1150">
        <f>'EXHIBIT D'!G76</f>
        <v>1348353</v>
      </c>
      <c r="F87" s="1149">
        <f>D87-E87</f>
        <v>0</v>
      </c>
      <c r="G87" s="88"/>
      <c r="H87" s="88"/>
    </row>
    <row r="88" spans="1:8" ht="20.100000000000001" customHeight="1" thickBot="1">
      <c r="A88" s="97"/>
      <c r="B88" s="97"/>
      <c r="C88" s="144" t="s">
        <v>158</v>
      </c>
      <c r="D88" s="145">
        <f>SUM(D84:D87)</f>
        <v>51932386</v>
      </c>
      <c r="E88" s="145">
        <f>SUM(E84:E87)</f>
        <v>51932386</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Not Equal</v>
      </c>
      <c r="D93" s="88" t="s">
        <v>161</v>
      </c>
      <c r="E93" s="88"/>
      <c r="F93" s="88"/>
      <c r="G93" s="93"/>
      <c r="H93" s="88"/>
    </row>
    <row r="94" spans="1:8" ht="20.100000000000001" customHeight="1">
      <c r="A94" s="98"/>
      <c r="B94" s="98"/>
      <c r="C94" s="689" t="str">
        <f>IF(+'EXHIBIT E'!C21=+'EXHIBIT D'!G228,"Equal","Not Equal")</f>
        <v>Not 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Not 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726</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15029900</v>
      </c>
      <c r="D101" s="836" t="s">
        <v>721</v>
      </c>
      <c r="E101" s="836"/>
      <c r="F101" s="836"/>
      <c r="G101" s="88"/>
      <c r="H101" s="88"/>
    </row>
    <row r="102" spans="1:8" ht="20.100000000000001" customHeight="1">
      <c r="A102" s="95"/>
      <c r="B102" s="95"/>
      <c r="C102" s="691">
        <f>'EXHIBIT D'!G266-'EXHIBIT D'!G252-'EXHIBIT D'!G264</f>
        <v>15029900</v>
      </c>
      <c r="D102" s="838" t="s">
        <v>722</v>
      </c>
      <c r="E102" s="838"/>
      <c r="F102" s="838"/>
      <c r="G102" s="88"/>
      <c r="H102" s="88"/>
    </row>
    <row r="103" spans="1:8" ht="66.599999999999994" customHeight="1">
      <c r="A103" s="151"/>
      <c r="B103" s="151"/>
      <c r="C103" s="692">
        <f>C101-C102</f>
        <v>0</v>
      </c>
      <c r="D103" s="927" t="s">
        <v>725</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731</v>
      </c>
      <c r="D106" s="920"/>
      <c r="E106" s="920"/>
      <c r="F106" s="920"/>
      <c r="G106" s="920"/>
      <c r="H106" s="837"/>
    </row>
    <row r="107" spans="1:8" ht="20.100000000000001" customHeight="1">
      <c r="A107" s="151"/>
      <c r="B107" s="151"/>
    </row>
    <row r="108" spans="1:8" ht="24.75" customHeight="1">
      <c r="A108" s="151"/>
      <c r="B108" s="151"/>
      <c r="C108" s="154">
        <f>'EXHIBIT A'!E14</f>
        <v>22384583</v>
      </c>
      <c r="D108" s="17" t="s">
        <v>723</v>
      </c>
    </row>
    <row r="109" spans="1:8" ht="26.25" customHeight="1">
      <c r="A109" s="151"/>
      <c r="B109" s="151"/>
      <c r="C109" s="693">
        <f>'EXHIBIT A'!E36</f>
        <v>22384583</v>
      </c>
      <c r="D109" s="17" t="s">
        <v>724</v>
      </c>
    </row>
    <row r="110" spans="1:8" ht="26.1" customHeight="1">
      <c r="A110" s="151"/>
      <c r="B110" s="151"/>
      <c r="C110" s="694">
        <f>C108-C109</f>
        <v>0</v>
      </c>
      <c r="D110" s="89" t="s">
        <v>166</v>
      </c>
      <c r="E110" s="89"/>
      <c r="F110" s="89"/>
      <c r="G110" s="89"/>
    </row>
    <row r="111" spans="1:8" ht="20.100000000000001" customHeight="1">
      <c r="A111" s="151"/>
      <c r="B111" s="151"/>
      <c r="C111" s="154"/>
    </row>
    <row r="112" spans="1:8" ht="26.1" customHeight="1">
      <c r="A112" s="151"/>
      <c r="B112" s="151"/>
      <c r="C112" s="692">
        <f>'EXHIBIT D'!G186</f>
        <v>0</v>
      </c>
      <c r="D112" s="148" t="s">
        <v>167</v>
      </c>
      <c r="E112" s="92"/>
      <c r="F112" s="92"/>
    </row>
    <row r="113" spans="1:8" ht="20.100000000000001" customHeight="1"/>
    <row r="114" spans="1:8" ht="38.450000000000003" customHeight="1">
      <c r="C114" s="155">
        <f>C110+C112</f>
        <v>0</v>
      </c>
      <c r="D114" s="927" t="s">
        <v>727</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91.7900006146034</v>
      </c>
      <c r="D119" s="17" t="s">
        <v>87</v>
      </c>
    </row>
    <row r="120" spans="1:8" ht="20.100000000000001" customHeight="1">
      <c r="C120" s="158"/>
    </row>
    <row r="121" spans="1:8" ht="20.100000000000001" customHeight="1">
      <c r="C121" s="159">
        <f>IF('EXHIBIT G'!D119=0,"No Credit Hours or Not Applicable",('EXHIBIT G'!D119/'EXHIBIT C'!D19))</f>
        <v>289.31</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728</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729</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730</v>
      </c>
      <c r="D133" s="920"/>
      <c r="E133" s="920"/>
      <c r="F133" s="920"/>
      <c r="G133" s="920"/>
      <c r="H133" s="837"/>
    </row>
    <row r="134" spans="1:8" ht="20.100000000000001" customHeight="1"/>
    <row r="135" spans="1:8" ht="20.100000000000001" customHeight="1">
      <c r="C135" s="161" t="str">
        <f>IF(+'EXHIBIT G'!F113='EXHIBIT G'!F129,"Equal","Not Equal")</f>
        <v>Equal</v>
      </c>
      <c r="D135" s="836" t="s">
        <v>174</v>
      </c>
      <c r="E135" s="836"/>
      <c r="F135" s="836"/>
    </row>
    <row r="136" spans="1:8" ht="20.100000000000001" customHeight="1" thickBot="1">
      <c r="C136" s="16"/>
    </row>
    <row r="137" spans="1:8" ht="24.6" customHeight="1" thickBot="1">
      <c r="C137" s="845" t="s">
        <v>750</v>
      </c>
      <c r="D137" s="846"/>
      <c r="E137" s="846"/>
      <c r="F137" s="846"/>
      <c r="G137" s="847"/>
      <c r="H137" s="28"/>
    </row>
    <row r="138" spans="1:8" ht="199.5" customHeight="1" thickBot="1">
      <c r="C138" s="1115"/>
      <c r="D138" s="1116"/>
      <c r="E138" s="1116"/>
      <c r="F138" s="1116"/>
      <c r="G138" s="1117"/>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XyN8zdFmz3Js1qXrkxajHl6MBt7KYsNjJAIz68k6LOO+dEyaUQl7vHdrx2MABcAqTz/PF67jv5ZEPwocYy1BWA==" saltValue="wd9+nT3Ct6Rzp2+9WOlCUA=="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732</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Polk State College</v>
      </c>
      <c r="D8" s="853"/>
      <c r="E8" s="853"/>
      <c r="F8" s="285"/>
      <c r="G8" s="285"/>
    </row>
    <row r="9" spans="2:7" ht="25.35" customHeight="1"/>
    <row r="10" spans="2:7" ht="41.45" customHeight="1">
      <c r="E10" s="584" t="s">
        <v>179</v>
      </c>
    </row>
    <row r="11" spans="2:7" ht="25.35" customHeight="1">
      <c r="B11" s="28" t="s">
        <v>733</v>
      </c>
      <c r="D11" s="28"/>
      <c r="E11" s="163"/>
    </row>
    <row r="12" spans="2:7" ht="25.35" customHeight="1">
      <c r="B12" s="28"/>
      <c r="C12" s="28"/>
      <c r="D12" s="28"/>
    </row>
    <row r="13" spans="2:7" ht="25.35" customHeight="1">
      <c r="B13" s="17" t="s">
        <v>734</v>
      </c>
      <c r="C13" s="28"/>
      <c r="D13" s="28"/>
      <c r="E13" s="460">
        <v>-3821519</v>
      </c>
    </row>
    <row r="14" spans="2:7" ht="25.35" customHeight="1">
      <c r="B14" s="17" t="s">
        <v>180</v>
      </c>
      <c r="D14" s="28"/>
      <c r="E14" s="585">
        <v>22384583</v>
      </c>
    </row>
    <row r="15" spans="2:7" ht="25.35" customHeight="1">
      <c r="B15" s="28"/>
      <c r="D15" s="28"/>
      <c r="E15" s="164"/>
    </row>
    <row r="16" spans="2:7" ht="25.35" customHeight="1">
      <c r="B16" s="17" t="s">
        <v>735</v>
      </c>
      <c r="C16" s="28"/>
      <c r="D16" s="28"/>
      <c r="E16" s="586">
        <f>+E14+E13</f>
        <v>18563064</v>
      </c>
    </row>
    <row r="17" spans="2:7" ht="25.35" customHeight="1">
      <c r="B17" s="28"/>
      <c r="C17" s="28"/>
      <c r="D17" s="28"/>
      <c r="E17" s="165"/>
    </row>
    <row r="18" spans="2:7" ht="25.35" customHeight="1">
      <c r="B18" s="17" t="s">
        <v>181</v>
      </c>
      <c r="C18" s="28"/>
      <c r="D18" s="28"/>
      <c r="E18" s="175">
        <f>+'EXHIBIT D'!G142-SUM(+'EXHIBIT D'!G132+'EXHIBIT D'!G133)</f>
        <v>68305958.400000006</v>
      </c>
      <c r="G18" s="138"/>
    </row>
    <row r="19" spans="2:7" ht="25.35" customHeight="1">
      <c r="B19" s="17" t="s">
        <v>182</v>
      </c>
      <c r="D19" s="28"/>
      <c r="E19" s="586">
        <f>+'EXHIBIT D'!G132+'EXHIBIT D'!G133</f>
        <v>358000</v>
      </c>
    </row>
    <row r="20" spans="2:7" ht="25.35" customHeight="1">
      <c r="B20" s="28"/>
      <c r="D20" s="28"/>
      <c r="E20" s="170"/>
    </row>
    <row r="21" spans="2:7" ht="25.35" customHeight="1">
      <c r="B21" s="17" t="s">
        <v>183</v>
      </c>
      <c r="C21" s="28"/>
      <c r="D21" s="28"/>
      <c r="E21" s="587">
        <f>+E19+E18</f>
        <v>68663958.400000006</v>
      </c>
    </row>
    <row r="22" spans="2:7" ht="25.35" customHeight="1">
      <c r="B22" s="28"/>
      <c r="C22" s="28"/>
      <c r="D22" s="28"/>
      <c r="E22" s="170"/>
    </row>
    <row r="23" spans="2:7" ht="25.35" customHeight="1">
      <c r="B23" s="28" t="s">
        <v>184</v>
      </c>
      <c r="C23" s="28"/>
      <c r="D23" s="28"/>
      <c r="E23" s="587">
        <f>+E21+E16</f>
        <v>87227022.400000006</v>
      </c>
    </row>
    <row r="24" spans="2:7" ht="25.35" customHeight="1">
      <c r="B24" s="28"/>
      <c r="C24" s="28"/>
      <c r="D24" s="28"/>
      <c r="E24" s="170"/>
    </row>
    <row r="25" spans="2:7" ht="25.35" customHeight="1">
      <c r="B25" s="17" t="s">
        <v>185</v>
      </c>
      <c r="C25" s="28"/>
      <c r="D25" s="28"/>
      <c r="E25" s="176">
        <f>'EXHIBIT D'!G248-SUM(+'EXHIBIT D'!G222+'EXHIBIT D'!G223)</f>
        <v>68663958</v>
      </c>
    </row>
    <row r="26" spans="2:7" ht="25.35" customHeight="1">
      <c r="B26" s="17" t="s">
        <v>186</v>
      </c>
      <c r="D26" s="28"/>
      <c r="E26" s="586">
        <f>'EXHIBIT D'!G222+'EXHIBIT D'!G223</f>
        <v>0</v>
      </c>
    </row>
    <row r="27" spans="2:7" ht="25.35" customHeight="1">
      <c r="B27" s="28"/>
      <c r="D27" s="28"/>
      <c r="E27" s="170"/>
    </row>
    <row r="28" spans="2:7" ht="25.35" customHeight="1">
      <c r="B28" s="28" t="s">
        <v>187</v>
      </c>
      <c r="C28" s="28"/>
      <c r="D28" s="28"/>
      <c r="E28" s="588">
        <f>+E26+E25</f>
        <v>68663958</v>
      </c>
    </row>
    <row r="29" spans="2:7" ht="25.35" customHeight="1">
      <c r="B29" s="28"/>
      <c r="C29" s="28"/>
      <c r="D29" s="28"/>
      <c r="E29" s="166"/>
    </row>
    <row r="30" spans="2:7" ht="25.35" customHeight="1">
      <c r="B30" s="28" t="s">
        <v>699</v>
      </c>
      <c r="C30" s="28"/>
      <c r="D30" s="28"/>
      <c r="E30" s="166"/>
    </row>
    <row r="31" spans="2:7" ht="25.35" customHeight="1">
      <c r="B31" s="28"/>
      <c r="C31" s="28"/>
      <c r="D31" s="28"/>
      <c r="E31" s="166"/>
    </row>
    <row r="32" spans="2:7" ht="25.35" customHeight="1">
      <c r="B32" s="17" t="s">
        <v>188</v>
      </c>
      <c r="C32" s="28"/>
      <c r="D32" s="167">
        <f>+E23-E28</f>
        <v>18563064.400000006</v>
      </c>
      <c r="E32" s="166"/>
    </row>
    <row r="33" spans="2:10" ht="25.35" customHeight="1">
      <c r="B33" s="17" t="s">
        <v>189</v>
      </c>
      <c r="C33" s="28"/>
      <c r="D33" s="589">
        <f>+'EXHIBIT D'!G186</f>
        <v>0</v>
      </c>
      <c r="E33" s="166"/>
    </row>
    <row r="34" spans="2:10" ht="25.35" customHeight="1">
      <c r="B34" s="28"/>
      <c r="D34" s="28"/>
      <c r="E34" s="166"/>
      <c r="J34" s="168"/>
    </row>
    <row r="35" spans="2:10" ht="25.35" customHeight="1">
      <c r="B35" s="17" t="s">
        <v>736</v>
      </c>
      <c r="C35" s="28"/>
      <c r="D35" s="28"/>
      <c r="E35" s="169">
        <f>+D32+D33</f>
        <v>18563064.400000006</v>
      </c>
    </row>
    <row r="36" spans="2:10" ht="25.35" customHeight="1">
      <c r="B36" s="17" t="s">
        <v>737</v>
      </c>
      <c r="C36" s="28"/>
      <c r="D36" s="28"/>
      <c r="E36" s="587">
        <f>-'EXHIBIT D'!G264</f>
        <v>22384583</v>
      </c>
      <c r="J36" s="48"/>
    </row>
    <row r="37" spans="2:10" ht="25.35" customHeight="1">
      <c r="D37" s="28"/>
      <c r="E37" s="169"/>
    </row>
    <row r="38" spans="2:10" ht="25.35" customHeight="1">
      <c r="B38" s="28" t="s">
        <v>738</v>
      </c>
      <c r="D38" s="28"/>
      <c r="E38" s="586">
        <f>+E35-E36</f>
        <v>-3821518.599999994</v>
      </c>
    </row>
    <row r="39" spans="2:10" ht="25.35" customHeight="1">
      <c r="B39" s="28"/>
      <c r="C39" s="28"/>
      <c r="D39" s="28"/>
      <c r="E39" s="170"/>
    </row>
    <row r="40" spans="2:10" ht="25.35" customHeight="1">
      <c r="B40" s="17" t="s">
        <v>739</v>
      </c>
      <c r="C40" s="28"/>
      <c r="D40" s="28"/>
      <c r="E40" s="588">
        <f>'EXHIBIT D'!G253+'EXHIBIT D'!G254+'EXHIBIT D'!G255+'EXHIBIT D'!G256+'EXHIBIT D'!G257+'EXHIBIT D'!G258+'EXHIBIT D'!G259+'EXHIBIT D'!G260</f>
        <v>15029900</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740</v>
      </c>
      <c r="C44" s="28"/>
      <c r="D44" s="28"/>
      <c r="E44" s="590">
        <f>+E40/E23</f>
        <v>0.17230784207073885</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741</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Polk State College</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3">
        <v>91.79</v>
      </c>
      <c r="C14" s="983">
        <v>4.59</v>
      </c>
      <c r="D14" s="983">
        <v>9.18</v>
      </c>
      <c r="E14" s="983">
        <v>12.74</v>
      </c>
      <c r="F14" s="983">
        <v>4.59</v>
      </c>
      <c r="G14" s="696">
        <f>SUM(B14:F14)</f>
        <v>122.89</v>
      </c>
      <c r="H14" s="367">
        <f>G14*30</f>
        <v>3686.7</v>
      </c>
    </row>
    <row r="15" spans="1:18" s="17" customFormat="1" ht="20.100000000000001" customHeight="1">
      <c r="A15" s="28" t="s">
        <v>207</v>
      </c>
      <c r="B15" s="984">
        <v>82.78</v>
      </c>
      <c r="C15" s="984">
        <v>4.1399999999999997</v>
      </c>
      <c r="D15" s="984">
        <v>8.2799999999999994</v>
      </c>
      <c r="E15" s="984">
        <v>11.88</v>
      </c>
      <c r="F15" s="984">
        <v>4.1399999999999997</v>
      </c>
      <c r="G15" s="696">
        <f>SUM(B15:F15)</f>
        <v>111.22</v>
      </c>
      <c r="H15" s="340">
        <f>G15*30</f>
        <v>3336.6</v>
      </c>
    </row>
    <row r="16" spans="1:18" s="17" customFormat="1" ht="20.100000000000001" customHeight="1" thickBot="1">
      <c r="A16" s="28" t="s">
        <v>82</v>
      </c>
      <c r="B16" s="985">
        <v>73.400000000000006</v>
      </c>
      <c r="C16" s="985">
        <v>0</v>
      </c>
      <c r="D16" s="986"/>
      <c r="E16" s="985">
        <v>3.67</v>
      </c>
      <c r="F16" s="985">
        <v>3.67</v>
      </c>
      <c r="G16" s="341">
        <f>SUM(B16:F16)</f>
        <v>80.740000000000009</v>
      </c>
      <c r="H16" s="697">
        <f>G16*30</f>
        <v>2422.2000000000003</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0</v>
      </c>
      <c r="C19" s="368"/>
      <c r="D19" s="368"/>
      <c r="E19" s="368"/>
      <c r="F19" s="368"/>
      <c r="G19" s="696">
        <f>B19</f>
        <v>0</v>
      </c>
      <c r="H19" s="620">
        <f>G19*3</f>
        <v>0</v>
      </c>
    </row>
    <row r="20" spans="1:11" s="17" customFormat="1" ht="20.100000000000001" customHeight="1" thickBot="1">
      <c r="A20" s="28" t="s">
        <v>211</v>
      </c>
      <c r="B20" s="605">
        <v>0</v>
      </c>
      <c r="C20" s="322"/>
      <c r="D20" s="322"/>
      <c r="E20" s="322"/>
      <c r="F20" s="322"/>
      <c r="G20" s="343">
        <f>B20</f>
        <v>0</v>
      </c>
      <c r="H20" s="573">
        <f>G20*3</f>
        <v>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983">
        <v>289.31</v>
      </c>
      <c r="D29" s="983">
        <v>19.059999999999999</v>
      </c>
      <c r="E29" s="543">
        <f>D14</f>
        <v>9.18</v>
      </c>
      <c r="F29" s="983">
        <v>40.299999999999997</v>
      </c>
      <c r="G29" s="983">
        <v>19.059999999999999</v>
      </c>
      <c r="H29" s="348">
        <f>SUM(B29:G29)</f>
        <v>468.70000000000005</v>
      </c>
      <c r="I29" s="361">
        <f>H29*30</f>
        <v>14061.000000000002</v>
      </c>
    </row>
    <row r="30" spans="1:11" s="17" customFormat="1" ht="20.100000000000001" customHeight="1">
      <c r="A30" s="28" t="str">
        <f t="shared" si="0"/>
        <v>LOWER LEVEL - CREDIT (A &amp; P, PSV, DEVELOPMENTAL EDUCATION AND EPI)</v>
      </c>
      <c r="B30" s="700">
        <f t="shared" si="0"/>
        <v>82.78</v>
      </c>
      <c r="C30" s="987">
        <v>248.33</v>
      </c>
      <c r="D30" s="987">
        <v>16.559999999999999</v>
      </c>
      <c r="E30" s="701">
        <f>D15</f>
        <v>8.2799999999999994</v>
      </c>
      <c r="F30" s="987">
        <v>35.549999999999997</v>
      </c>
      <c r="G30" s="987">
        <v>16.559999999999999</v>
      </c>
      <c r="H30" s="696">
        <f>SUM(B30:G30)</f>
        <v>408.06</v>
      </c>
      <c r="I30" s="340">
        <f>H30*30</f>
        <v>12241.8</v>
      </c>
    </row>
    <row r="31" spans="1:11" s="17" customFormat="1" ht="20.100000000000001" customHeight="1" thickBot="1">
      <c r="A31" s="28" t="str">
        <f t="shared" si="0"/>
        <v>CAREER CERTIFICATE AND APPLIED TECHNOLOGY DIPLOMA</v>
      </c>
      <c r="B31" s="411">
        <f t="shared" si="0"/>
        <v>73.400000000000006</v>
      </c>
      <c r="C31" s="984">
        <v>220.19</v>
      </c>
      <c r="D31" s="984">
        <v>0</v>
      </c>
      <c r="E31" s="322"/>
      <c r="F31" s="984">
        <v>14.68</v>
      </c>
      <c r="G31" s="984">
        <v>14.68</v>
      </c>
      <c r="H31" s="341">
        <f>SUM(B31:G31)</f>
        <v>322.95000000000005</v>
      </c>
      <c r="I31" s="697">
        <f>H31*30</f>
        <v>9688.5000000000018</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0</v>
      </c>
      <c r="C34" s="368"/>
      <c r="D34" s="368"/>
      <c r="E34" s="368"/>
      <c r="F34" s="368"/>
      <c r="G34" s="368"/>
      <c r="H34" s="702">
        <f>B34</f>
        <v>0</v>
      </c>
      <c r="I34" s="362">
        <f>H34*3</f>
        <v>0</v>
      </c>
      <c r="J34" s="346"/>
      <c r="K34" s="346"/>
    </row>
    <row r="35" spans="1:11" s="17" customFormat="1" ht="20.100000000000001" customHeight="1" thickBot="1">
      <c r="A35" s="28" t="str">
        <f>A20</f>
        <v>ADULT GENERAL EDUCATION AND SECONDARY (PER TERM)</v>
      </c>
      <c r="B35" s="703">
        <f>B20</f>
        <v>0</v>
      </c>
      <c r="C35" s="322"/>
      <c r="D35" s="322"/>
      <c r="E35" s="322"/>
      <c r="F35" s="322"/>
      <c r="G35" s="322"/>
      <c r="H35" s="352">
        <f>B35</f>
        <v>0</v>
      </c>
      <c r="I35" s="704">
        <f>H35*3</f>
        <v>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742</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743</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Polk State College</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f>22469*1.05</f>
        <v>23592.45</v>
      </c>
      <c r="E10" s="546">
        <v>0</v>
      </c>
      <c r="F10" s="547">
        <f t="shared" ref="F10:F15" si="0">+D10-E10</f>
        <v>23592.45</v>
      </c>
      <c r="G10" s="547">
        <f>'EXHIBIT B'!B14</f>
        <v>91.79</v>
      </c>
      <c r="H10" s="548">
        <f t="shared" ref="H10:H15" si="1">ROUND(+F10*G10,0)</f>
        <v>2165551</v>
      </c>
    </row>
    <row r="11" spans="1:9" ht="20.100000000000001" customHeight="1">
      <c r="A11" s="707" t="s">
        <v>200</v>
      </c>
      <c r="B11" s="707" t="s">
        <v>132</v>
      </c>
      <c r="C11" s="708" t="s">
        <v>228</v>
      </c>
      <c r="D11" s="706">
        <f>112150*1.05</f>
        <v>117757.5</v>
      </c>
      <c r="E11" s="706">
        <v>31620</v>
      </c>
      <c r="F11" s="709">
        <f t="shared" si="0"/>
        <v>86137.5</v>
      </c>
      <c r="G11" s="709">
        <f>+'EXHIBIT B'!B15</f>
        <v>82.78</v>
      </c>
      <c r="H11" s="710">
        <f t="shared" si="1"/>
        <v>7130462</v>
      </c>
    </row>
    <row r="12" spans="1:9" ht="20.100000000000001" customHeight="1">
      <c r="A12" s="707" t="s">
        <v>200</v>
      </c>
      <c r="B12" s="707" t="s">
        <v>133</v>
      </c>
      <c r="C12" s="708" t="s">
        <v>229</v>
      </c>
      <c r="D12" s="706">
        <v>40246</v>
      </c>
      <c r="E12" s="706">
        <v>5098</v>
      </c>
      <c r="F12" s="709">
        <f t="shared" si="0"/>
        <v>35148</v>
      </c>
      <c r="G12" s="709">
        <f>+'EXHIBIT B'!B15</f>
        <v>82.78</v>
      </c>
      <c r="H12" s="710">
        <f t="shared" si="1"/>
        <v>2909551</v>
      </c>
    </row>
    <row r="13" spans="1:9" ht="20.100000000000001" customHeight="1">
      <c r="A13" s="707" t="s">
        <v>200</v>
      </c>
      <c r="B13" s="707" t="s">
        <v>82</v>
      </c>
      <c r="C13" s="708" t="s">
        <v>230</v>
      </c>
      <c r="D13" s="711">
        <v>4721</v>
      </c>
      <c r="E13" s="711">
        <v>0</v>
      </c>
      <c r="F13" s="709">
        <f t="shared" si="0"/>
        <v>4721</v>
      </c>
      <c r="G13" s="709">
        <f>+'EXHIBIT B'!B16</f>
        <v>73.400000000000006</v>
      </c>
      <c r="H13" s="710">
        <f t="shared" si="1"/>
        <v>346521</v>
      </c>
    </row>
    <row r="14" spans="1:9" ht="20.100000000000001" customHeight="1">
      <c r="A14" s="707" t="s">
        <v>200</v>
      </c>
      <c r="B14" s="707" t="s">
        <v>134</v>
      </c>
      <c r="C14" s="708" t="s">
        <v>231</v>
      </c>
      <c r="D14" s="706">
        <v>2769</v>
      </c>
      <c r="E14" s="706">
        <v>1057</v>
      </c>
      <c r="F14" s="709">
        <f t="shared" si="0"/>
        <v>1712</v>
      </c>
      <c r="G14" s="709">
        <f>+'EXHIBIT B'!B15</f>
        <v>82.78</v>
      </c>
      <c r="H14" s="710">
        <f t="shared" si="1"/>
        <v>141719</v>
      </c>
    </row>
    <row r="15" spans="1:9" ht="20.100000000000001" customHeight="1" thickBot="1">
      <c r="A15" s="712" t="s">
        <v>200</v>
      </c>
      <c r="B15" s="712" t="s">
        <v>135</v>
      </c>
      <c r="C15" s="713">
        <v>40160</v>
      </c>
      <c r="D15" s="714">
        <v>945</v>
      </c>
      <c r="E15" s="714">
        <v>0</v>
      </c>
      <c r="F15" s="715">
        <f t="shared" si="0"/>
        <v>945</v>
      </c>
      <c r="G15" s="715">
        <f>+'EXHIBIT B'!B15</f>
        <v>82.78</v>
      </c>
      <c r="H15" s="716">
        <f t="shared" si="1"/>
        <v>78227</v>
      </c>
    </row>
    <row r="16" spans="1:9" ht="24.95" customHeight="1" thickBot="1">
      <c r="A16" s="298"/>
      <c r="B16" s="298"/>
      <c r="C16" s="298"/>
      <c r="D16" s="299"/>
      <c r="E16" s="299"/>
      <c r="F16" s="300"/>
      <c r="G16" s="300"/>
      <c r="H16" s="301"/>
    </row>
    <row r="17" spans="1:9" ht="24.95" customHeight="1" thickBot="1">
      <c r="A17" s="302"/>
      <c r="B17" s="303" t="s">
        <v>232</v>
      </c>
      <c r="C17" s="303"/>
      <c r="D17" s="304">
        <f>SUM(D10:D15)</f>
        <v>190030.95</v>
      </c>
      <c r="E17" s="304">
        <f>SUM(E10:E15)</f>
        <v>37775</v>
      </c>
      <c r="F17" s="305">
        <f>SUM(F10:F15)</f>
        <v>152255.95000000001</v>
      </c>
      <c r="G17" s="305"/>
      <c r="H17" s="306">
        <f>SUM(H10:H15)</f>
        <v>12772031</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v>600</v>
      </c>
      <c r="E19" s="718">
        <f>'EXHIBIT B'!C29</f>
        <v>289.31</v>
      </c>
      <c r="F19" s="719">
        <f t="shared" ref="F19:F24" si="2">ROUND(+D19*E19,0)</f>
        <v>173586</v>
      </c>
      <c r="G19" s="308"/>
      <c r="H19" s="308"/>
    </row>
    <row r="20" spans="1:9" ht="20.100000000000001" customHeight="1">
      <c r="A20" s="654" t="s">
        <v>215</v>
      </c>
      <c r="B20" s="654" t="s">
        <v>132</v>
      </c>
      <c r="C20" s="720" t="s">
        <v>235</v>
      </c>
      <c r="D20" s="727">
        <v>3730</v>
      </c>
      <c r="E20" s="721">
        <f>+'EXHIBIT B'!C30</f>
        <v>248.33</v>
      </c>
      <c r="F20" s="722">
        <f t="shared" si="2"/>
        <v>926271</v>
      </c>
      <c r="G20" s="48"/>
      <c r="H20" s="48"/>
    </row>
    <row r="21" spans="1:9" ht="20.100000000000001" customHeight="1">
      <c r="A21" s="654" t="s">
        <v>215</v>
      </c>
      <c r="B21" s="654" t="s">
        <v>133</v>
      </c>
      <c r="C21" s="720" t="s">
        <v>236</v>
      </c>
      <c r="D21" s="727">
        <v>9</v>
      </c>
      <c r="E21" s="721">
        <f>+'EXHIBIT B'!C30</f>
        <v>248.33</v>
      </c>
      <c r="F21" s="722">
        <f t="shared" si="2"/>
        <v>2235</v>
      </c>
      <c r="G21" s="48"/>
      <c r="H21" s="48"/>
    </row>
    <row r="22" spans="1:9" ht="20.100000000000001" customHeight="1">
      <c r="A22" s="654" t="s">
        <v>215</v>
      </c>
      <c r="B22" s="654" t="s">
        <v>82</v>
      </c>
      <c r="C22" s="720" t="s">
        <v>237</v>
      </c>
      <c r="D22" s="727">
        <v>36</v>
      </c>
      <c r="E22" s="721">
        <f>+'EXHIBIT B'!C31</f>
        <v>220.19</v>
      </c>
      <c r="F22" s="722">
        <f t="shared" si="2"/>
        <v>7927</v>
      </c>
      <c r="G22" s="48"/>
      <c r="H22" s="48"/>
    </row>
    <row r="23" spans="1:9" ht="20.100000000000001" customHeight="1">
      <c r="A23" s="654" t="s">
        <v>215</v>
      </c>
      <c r="B23" s="654" t="s">
        <v>134</v>
      </c>
      <c r="C23" s="720" t="s">
        <v>238</v>
      </c>
      <c r="D23" s="727">
        <v>31</v>
      </c>
      <c r="E23" s="721">
        <f>+'EXHIBIT B'!C30</f>
        <v>248.33</v>
      </c>
      <c r="F23" s="722">
        <f t="shared" si="2"/>
        <v>7698</v>
      </c>
      <c r="G23" s="48"/>
      <c r="H23" s="48"/>
    </row>
    <row r="24" spans="1:9" ht="20.100000000000001" customHeight="1" thickBot="1">
      <c r="A24" s="606" t="s">
        <v>215</v>
      </c>
      <c r="B24" s="606" t="s">
        <v>135</v>
      </c>
      <c r="C24" s="607">
        <v>40360</v>
      </c>
      <c r="D24" s="989">
        <v>3</v>
      </c>
      <c r="E24" s="608">
        <f>+'EXHIBIT B'!C30</f>
        <v>248.33</v>
      </c>
      <c r="F24" s="609">
        <f t="shared" si="2"/>
        <v>745</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4409</v>
      </c>
      <c r="E26" s="725"/>
      <c r="F26" s="726">
        <f>SUM(F19:F24)</f>
        <v>1118462</v>
      </c>
      <c r="G26" s="312"/>
      <c r="H26" s="312"/>
    </row>
    <row r="27" spans="1:9" ht="20.100000000000001" customHeight="1" thickBot="1">
      <c r="A27" s="313" t="s">
        <v>239</v>
      </c>
      <c r="B27" s="313"/>
      <c r="C27" s="313"/>
      <c r="D27" s="313"/>
      <c r="E27" s="313"/>
      <c r="F27" s="314"/>
      <c r="G27" s="549"/>
      <c r="H27" s="315">
        <f>H17+F26</f>
        <v>13890493</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0</v>
      </c>
      <c r="H32" s="554">
        <f>ROUND(+F32*G32,0)</f>
        <v>0</v>
      </c>
    </row>
    <row r="33" spans="1:8" ht="20.100000000000001" customHeight="1">
      <c r="A33" s="654" t="s">
        <v>245</v>
      </c>
      <c r="B33" s="654" t="s">
        <v>248</v>
      </c>
      <c r="C33" s="720" t="s">
        <v>249</v>
      </c>
      <c r="D33" s="727">
        <v>0</v>
      </c>
      <c r="E33" s="727">
        <v>0</v>
      </c>
      <c r="F33" s="721">
        <f>D33-E33</f>
        <v>0</v>
      </c>
      <c r="G33" s="721">
        <f>'EXHIBIT B'!B20</f>
        <v>0</v>
      </c>
      <c r="H33" s="722">
        <f>ROUND(+F33*G33,0)</f>
        <v>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0</v>
      </c>
      <c r="E36" s="318">
        <f>SUM(E32:E35)</f>
        <v>0</v>
      </c>
      <c r="F36" s="319">
        <f>D36-E36</f>
        <v>0</v>
      </c>
      <c r="G36" s="319"/>
      <c r="H36" s="320">
        <f>SUM(H32:H35)</f>
        <v>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0</v>
      </c>
      <c r="F39" s="554">
        <f>D39*E39</f>
        <v>0</v>
      </c>
    </row>
    <row r="40" spans="1:8" ht="20.100000000000001" customHeight="1">
      <c r="A40" s="654" t="s">
        <v>245</v>
      </c>
      <c r="B40" s="654" t="s">
        <v>248</v>
      </c>
      <c r="C40" s="720">
        <v>40390</v>
      </c>
      <c r="D40" s="727">
        <v>0</v>
      </c>
      <c r="E40" s="721">
        <f>'EXHIBIT B'!B35</f>
        <v>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13890493</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7" t="s">
        <v>752</v>
      </c>
      <c r="B50" s="1127"/>
      <c r="C50" s="1128"/>
      <c r="D50" s="1128"/>
      <c r="E50" s="1128"/>
      <c r="F50" s="1128"/>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t="s">
        <v>691</v>
      </c>
      <c r="B54" s="990">
        <v>0</v>
      </c>
      <c r="C54" s="992"/>
      <c r="D54" s="993"/>
      <c r="E54" s="992"/>
      <c r="F54" s="993"/>
    </row>
    <row r="55" spans="1:10" ht="24.95" customHeight="1">
      <c r="A55" s="733"/>
      <c r="B55" s="727">
        <v>0</v>
      </c>
      <c r="C55" s="994"/>
      <c r="D55" s="995"/>
      <c r="E55" s="994"/>
      <c r="F55" s="995"/>
      <c r="J55" s="92"/>
    </row>
    <row r="56" spans="1:10" ht="24.95" customHeight="1">
      <c r="A56" s="733"/>
      <c r="B56" s="727">
        <v>0</v>
      </c>
      <c r="C56" s="994"/>
      <c r="D56" s="995"/>
      <c r="E56" s="994"/>
      <c r="F56" s="995"/>
    </row>
    <row r="57" spans="1:10" ht="24.95" customHeight="1">
      <c r="A57" s="733"/>
      <c r="B57" s="727">
        <v>0</v>
      </c>
      <c r="C57" s="994"/>
      <c r="D57" s="995"/>
      <c r="E57" s="994"/>
      <c r="F57" s="995"/>
    </row>
    <row r="58" spans="1:10" ht="24.95" customHeight="1">
      <c r="A58" s="733"/>
      <c r="B58" s="727">
        <v>0</v>
      </c>
      <c r="C58" s="994"/>
      <c r="D58" s="995"/>
      <c r="E58" s="994"/>
      <c r="F58" s="995"/>
    </row>
    <row r="59" spans="1:10" ht="24.95" customHeight="1" thickBot="1">
      <c r="A59" s="610"/>
      <c r="B59" s="611">
        <v>0</v>
      </c>
      <c r="C59" s="996"/>
      <c r="D59" s="997"/>
      <c r="E59" s="998"/>
      <c r="F59" s="999"/>
    </row>
    <row r="60" spans="1:10" ht="24.95" customHeight="1" thickBot="1">
      <c r="A60" s="292" t="s">
        <v>262</v>
      </c>
      <c r="B60" s="293">
        <f>SUM(B54:B59)</f>
        <v>0</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692</v>
      </c>
      <c r="B63" s="991">
        <v>358000</v>
      </c>
      <c r="C63" s="992" t="s">
        <v>783</v>
      </c>
      <c r="D63" s="993"/>
      <c r="E63" s="992" t="s">
        <v>784</v>
      </c>
      <c r="F63" s="993"/>
    </row>
    <row r="64" spans="1:10" ht="24.95" customHeight="1">
      <c r="A64" s="733"/>
      <c r="B64" s="727">
        <v>0</v>
      </c>
      <c r="C64" s="994"/>
      <c r="D64" s="995"/>
      <c r="E64" s="994"/>
      <c r="F64" s="995"/>
    </row>
    <row r="65" spans="1:6" ht="24.95" customHeight="1">
      <c r="A65" s="733"/>
      <c r="B65" s="727">
        <v>0</v>
      </c>
      <c r="C65" s="994"/>
      <c r="D65" s="995"/>
      <c r="E65" s="994"/>
      <c r="F65" s="995"/>
    </row>
    <row r="66" spans="1:6" ht="24.95" customHeight="1">
      <c r="A66" s="733"/>
      <c r="B66" s="727">
        <v>0</v>
      </c>
      <c r="C66" s="994"/>
      <c r="D66" s="995"/>
      <c r="E66" s="994"/>
      <c r="F66" s="995"/>
    </row>
    <row r="67" spans="1:6" ht="24.95" customHeight="1">
      <c r="A67" s="733"/>
      <c r="B67" s="727">
        <v>0</v>
      </c>
      <c r="C67" s="994"/>
      <c r="D67" s="995"/>
      <c r="E67" s="994"/>
      <c r="F67" s="995"/>
    </row>
    <row r="68" spans="1:6" ht="24.95" customHeight="1" thickBot="1">
      <c r="A68" s="610"/>
      <c r="B68" s="611">
        <v>0</v>
      </c>
      <c r="C68" s="998"/>
      <c r="D68" s="999"/>
      <c r="E68" s="998"/>
      <c r="F68" s="999"/>
    </row>
    <row r="69" spans="1:6" ht="24.95" customHeight="1" thickBot="1">
      <c r="A69" s="292" t="s">
        <v>263</v>
      </c>
      <c r="B69" s="293">
        <f>SUM(B63:B68)</f>
        <v>358000</v>
      </c>
      <c r="C69" s="1002"/>
      <c r="D69" s="1003"/>
      <c r="E69" s="1002"/>
      <c r="F69" s="1003"/>
    </row>
    <row r="70" spans="1:6" ht="24.95" customHeight="1" thickBot="1">
      <c r="A70" s="292" t="s">
        <v>264</v>
      </c>
      <c r="B70" s="293">
        <f>+B69+B60</f>
        <v>358000</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Polk State College</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Polk State College</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744</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2165551</v>
      </c>
    </row>
    <row r="13" spans="1:8" ht="20.100000000000001" customHeight="1">
      <c r="A13" s="499" t="s">
        <v>200</v>
      </c>
      <c r="B13" s="184"/>
      <c r="C13" s="177" t="s">
        <v>132</v>
      </c>
      <c r="D13" s="184"/>
      <c r="E13" s="184"/>
      <c r="F13" s="189" t="s">
        <v>228</v>
      </c>
      <c r="G13" s="188">
        <f>+'EXHIBIT C'!H11+'EXHIBIT C(2)'!E14</f>
        <v>7130462</v>
      </c>
    </row>
    <row r="14" spans="1:8" ht="20.100000000000001" customHeight="1">
      <c r="A14" s="499" t="s">
        <v>200</v>
      </c>
      <c r="B14" s="184"/>
      <c r="C14" s="184" t="s">
        <v>133</v>
      </c>
      <c r="D14" s="184"/>
      <c r="E14" s="184"/>
      <c r="F14" s="189" t="s">
        <v>229</v>
      </c>
      <c r="G14" s="520">
        <f>+'EXHIBIT C'!H12+'EXHIBIT C(2)'!E15</f>
        <v>2909551</v>
      </c>
    </row>
    <row r="15" spans="1:8" ht="20.100000000000001" customHeight="1">
      <c r="A15" s="499" t="s">
        <v>200</v>
      </c>
      <c r="B15" s="184"/>
      <c r="C15" s="190" t="s">
        <v>281</v>
      </c>
      <c r="D15" s="184"/>
      <c r="E15" s="184"/>
      <c r="F15" s="189" t="s">
        <v>230</v>
      </c>
      <c r="G15" s="520">
        <f>+'EXHIBIT C'!H13+'EXHIBIT C(2)'!E16</f>
        <v>346521</v>
      </c>
    </row>
    <row r="16" spans="1:8" ht="20.100000000000001" customHeight="1">
      <c r="A16" s="499" t="s">
        <v>200</v>
      </c>
      <c r="B16" s="184"/>
      <c r="C16" s="190" t="s">
        <v>282</v>
      </c>
      <c r="D16" s="184"/>
      <c r="E16" s="184"/>
      <c r="F16" s="189" t="s">
        <v>231</v>
      </c>
      <c r="G16" s="521">
        <f>+'EXHIBIT C'!H14+'EXHIBIT C(2)'!E17</f>
        <v>141719</v>
      </c>
    </row>
    <row r="17" spans="1:7" ht="20.100000000000001" customHeight="1">
      <c r="A17" s="499" t="s">
        <v>200</v>
      </c>
      <c r="B17" s="184"/>
      <c r="C17" s="177" t="s">
        <v>135</v>
      </c>
      <c r="D17" s="184"/>
      <c r="E17" s="184"/>
      <c r="F17" s="187">
        <v>40160</v>
      </c>
      <c r="G17" s="521">
        <f>+'EXHIBIT C'!H15+'EXHIBIT C(2)'!E18</f>
        <v>78227</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12772031</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173586</v>
      </c>
    </row>
    <row r="22" spans="1:7" ht="20.100000000000001" customHeight="1">
      <c r="A22" s="499" t="s">
        <v>215</v>
      </c>
      <c r="B22" s="184"/>
      <c r="C22" s="177" t="s">
        <v>132</v>
      </c>
      <c r="D22" s="184"/>
      <c r="E22" s="184"/>
      <c r="F22" s="189" t="s">
        <v>235</v>
      </c>
      <c r="G22" s="193">
        <f>+'EXHIBIT C'!F20+'EXHIBIT C(2)'!E23</f>
        <v>926271</v>
      </c>
    </row>
    <row r="23" spans="1:7" ht="20.100000000000001" customHeight="1">
      <c r="A23" s="499" t="s">
        <v>215</v>
      </c>
      <c r="B23" s="184"/>
      <c r="C23" s="184" t="s">
        <v>133</v>
      </c>
      <c r="D23" s="184"/>
      <c r="E23" s="184"/>
      <c r="F23" s="189" t="s">
        <v>236</v>
      </c>
      <c r="G23" s="198">
        <f>+'EXHIBIT C'!F21+'EXHIBIT C(2)'!E24</f>
        <v>2235</v>
      </c>
    </row>
    <row r="24" spans="1:7" ht="20.100000000000001" customHeight="1">
      <c r="A24" s="499" t="s">
        <v>215</v>
      </c>
      <c r="B24" s="184"/>
      <c r="C24" s="190" t="s">
        <v>281</v>
      </c>
      <c r="D24" s="184"/>
      <c r="E24" s="184"/>
      <c r="F24" s="189" t="s">
        <v>237</v>
      </c>
      <c r="G24" s="198">
        <f>+'EXHIBIT C'!F22+'EXHIBIT C(2)'!E25</f>
        <v>7927</v>
      </c>
    </row>
    <row r="25" spans="1:7" ht="20.100000000000001" customHeight="1">
      <c r="A25" s="499" t="s">
        <v>215</v>
      </c>
      <c r="B25" s="184"/>
      <c r="C25" s="190" t="s">
        <v>282</v>
      </c>
      <c r="D25" s="184"/>
      <c r="E25" s="184"/>
      <c r="F25" s="189" t="s">
        <v>238</v>
      </c>
      <c r="G25" s="198">
        <f>+'EXHIBIT C'!F23+'EXHIBIT C(2)'!E26</f>
        <v>7698</v>
      </c>
    </row>
    <row r="26" spans="1:7" ht="20.100000000000001" customHeight="1">
      <c r="A26" s="499" t="s">
        <v>215</v>
      </c>
      <c r="B26" s="184"/>
      <c r="C26" s="177" t="s">
        <v>135</v>
      </c>
      <c r="D26" s="184"/>
      <c r="E26" s="184"/>
      <c r="F26" s="187">
        <v>40360</v>
      </c>
      <c r="G26" s="198">
        <f>+'EXHIBIT C'!F24+'EXHIBIT C(2)'!E27</f>
        <v>745</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1118462</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13890493</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0</v>
      </c>
    </row>
    <row r="48" spans="1:7" ht="20.100000000000001" customHeight="1">
      <c r="A48" s="499" t="s">
        <v>296</v>
      </c>
      <c r="C48" s="199"/>
      <c r="D48" s="199"/>
      <c r="E48" s="199"/>
      <c r="F48" s="200" t="s">
        <v>297</v>
      </c>
      <c r="G48" s="448">
        <v>0</v>
      </c>
    </row>
    <row r="49" spans="1:7" ht="20.100000000000001" customHeight="1">
      <c r="A49" s="499" t="s">
        <v>298</v>
      </c>
      <c r="B49" s="184"/>
      <c r="C49" s="184"/>
      <c r="D49" s="184"/>
      <c r="E49" s="184"/>
      <c r="F49" s="189" t="s">
        <v>299</v>
      </c>
      <c r="G49" s="448">
        <v>0</v>
      </c>
    </row>
    <row r="50" spans="1:7" ht="20.100000000000001" customHeight="1">
      <c r="A50" s="499" t="s">
        <v>300</v>
      </c>
      <c r="B50" s="184"/>
      <c r="C50" s="184"/>
      <c r="D50" s="184"/>
      <c r="E50" s="184"/>
      <c r="F50" s="189" t="s">
        <v>301</v>
      </c>
      <c r="G50" s="448">
        <f>404000*1.02</f>
        <v>412080</v>
      </c>
    </row>
    <row r="51" spans="1:7" ht="20.100000000000001" customHeight="1">
      <c r="A51" s="499" t="s">
        <v>302</v>
      </c>
      <c r="B51" s="184"/>
      <c r="C51" s="184"/>
      <c r="D51" s="184"/>
      <c r="E51" s="184"/>
      <c r="F51" s="187">
        <v>40450</v>
      </c>
      <c r="G51" s="448">
        <v>0</v>
      </c>
    </row>
    <row r="52" spans="1:7" ht="20.100000000000001" customHeight="1">
      <c r="A52" s="499" t="s">
        <v>303</v>
      </c>
      <c r="B52" s="184"/>
      <c r="C52" s="184"/>
      <c r="D52" s="184"/>
      <c r="E52" s="184"/>
      <c r="F52" s="189" t="s">
        <v>304</v>
      </c>
      <c r="G52" s="448">
        <v>0</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0</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v>25000</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f>658270*1.02</f>
        <v>671435.4</v>
      </c>
    </row>
    <row r="59" spans="1:7" ht="20.100000000000001" customHeight="1">
      <c r="A59" s="499" t="s">
        <v>317</v>
      </c>
      <c r="B59" s="184"/>
      <c r="C59" s="184"/>
      <c r="D59" s="184"/>
      <c r="E59" s="184"/>
      <c r="F59" s="189" t="s">
        <v>318</v>
      </c>
      <c r="G59" s="448">
        <f>15750+1262</f>
        <v>17012</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15016020.4</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f>752725+23815</f>
        <v>776540</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776540</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43206598</v>
      </c>
    </row>
    <row r="76" spans="1:7" ht="20.100000000000001" customHeight="1">
      <c r="A76" s="499" t="s">
        <v>709</v>
      </c>
      <c r="B76" s="184"/>
      <c r="C76" s="184"/>
      <c r="D76" s="184"/>
      <c r="E76" s="184"/>
      <c r="F76" s="187">
        <v>42130</v>
      </c>
      <c r="G76" s="523">
        <v>1348353</v>
      </c>
    </row>
    <row r="77" spans="1:7" ht="20.100000000000001" customHeight="1">
      <c r="A77" s="501" t="s">
        <v>335</v>
      </c>
      <c r="B77" s="502"/>
      <c r="C77" s="502"/>
      <c r="D77" s="502"/>
      <c r="E77" s="502"/>
      <c r="F77" s="203" t="s">
        <v>336</v>
      </c>
      <c r="G77" s="524">
        <v>524793</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1200</v>
      </c>
    </row>
    <row r="80" spans="1:7" ht="20.100000000000001" customHeight="1">
      <c r="A80" s="499" t="s">
        <v>751</v>
      </c>
      <c r="B80" s="184"/>
      <c r="C80" s="184"/>
      <c r="D80" s="184"/>
      <c r="E80" s="184"/>
      <c r="F80" s="189" t="s">
        <v>341</v>
      </c>
      <c r="G80" s="523">
        <v>0</v>
      </c>
    </row>
    <row r="81" spans="1:10" ht="20.100000000000001" customHeight="1">
      <c r="A81" s="499" t="s">
        <v>342</v>
      </c>
      <c r="B81" s="184"/>
      <c r="C81" s="184"/>
      <c r="D81" s="184"/>
      <c r="E81" s="184"/>
      <c r="F81" s="189" t="s">
        <v>343</v>
      </c>
      <c r="G81" s="522">
        <f>'CHECK SHEET'!D86</f>
        <v>6852642</v>
      </c>
    </row>
    <row r="82" spans="1:10" ht="20.100000000000001" customHeight="1">
      <c r="A82" s="503" t="s">
        <v>344</v>
      </c>
      <c r="B82" s="504"/>
      <c r="C82" s="504"/>
      <c r="D82" s="504"/>
      <c r="E82" s="504"/>
      <c r="F82" s="202" t="s">
        <v>345</v>
      </c>
      <c r="G82" s="523">
        <v>0</v>
      </c>
    </row>
    <row r="83" spans="1:10" ht="20.100000000000001" customHeight="1">
      <c r="A83" s="499" t="s">
        <v>346</v>
      </c>
      <c r="B83" s="184"/>
      <c r="C83" s="184"/>
      <c r="D83" s="184"/>
      <c r="E83" s="184"/>
      <c r="F83" s="189" t="s">
        <v>347</v>
      </c>
      <c r="G83" s="523">
        <v>0</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51933586</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149812</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149812</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60000</v>
      </c>
    </row>
    <row r="103" spans="1:7" ht="20.100000000000001" customHeight="1">
      <c r="A103" s="499" t="s">
        <v>363</v>
      </c>
      <c r="B103" s="184"/>
      <c r="C103" s="184"/>
      <c r="D103" s="184"/>
      <c r="E103" s="184"/>
      <c r="F103" s="189" t="s">
        <v>364</v>
      </c>
      <c r="G103" s="449">
        <v>0</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60000</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v>15000</v>
      </c>
    </row>
    <row r="111" spans="1:7" ht="20.100000000000001" customHeight="1">
      <c r="A111" s="499" t="s">
        <v>371</v>
      </c>
      <c r="B111" s="184"/>
      <c r="C111" s="184"/>
      <c r="D111" s="184"/>
      <c r="E111" s="184"/>
      <c r="F111" s="189" t="s">
        <v>372</v>
      </c>
      <c r="G111" s="449">
        <v>0</v>
      </c>
    </row>
    <row r="112" spans="1:7" ht="20.100000000000001" customHeight="1">
      <c r="A112" s="499" t="s">
        <v>373</v>
      </c>
      <c r="B112" s="184"/>
      <c r="C112" s="184"/>
      <c r="D112" s="184"/>
      <c r="E112" s="184"/>
      <c r="F112" s="189" t="s">
        <v>374</v>
      </c>
      <c r="G112" s="449">
        <v>0</v>
      </c>
    </row>
    <row r="113" spans="1:7" ht="20.100000000000001" customHeight="1">
      <c r="A113" s="499" t="s">
        <v>375</v>
      </c>
      <c r="B113" s="184"/>
      <c r="C113" s="184"/>
      <c r="D113" s="184"/>
      <c r="E113" s="184"/>
      <c r="F113" s="189" t="s">
        <v>376</v>
      </c>
      <c r="G113" s="1101">
        <v>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15000</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355000</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0</v>
      </c>
    </row>
    <row r="126" spans="1:7" ht="20.100000000000001" customHeight="1">
      <c r="A126" s="499" t="s">
        <v>388</v>
      </c>
      <c r="B126" s="184"/>
      <c r="C126" s="184"/>
      <c r="D126" s="184"/>
      <c r="E126" s="184"/>
      <c r="F126" s="189" t="s">
        <v>389</v>
      </c>
      <c r="G126" s="449">
        <v>0</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355000</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8" t="s">
        <v>393</v>
      </c>
      <c r="G132" s="451">
        <v>0</v>
      </c>
    </row>
    <row r="133" spans="1:7" ht="20.100000000000001" customHeight="1">
      <c r="A133" s="499" t="s">
        <v>711</v>
      </c>
      <c r="B133" s="184"/>
      <c r="C133" s="184"/>
      <c r="D133" s="508"/>
      <c r="E133" s="199"/>
      <c r="F133" s="1118">
        <v>49200</v>
      </c>
      <c r="G133" s="449">
        <v>358000</v>
      </c>
    </row>
    <row r="134" spans="1:7" ht="20.100000000000001" customHeight="1">
      <c r="A134" s="499" t="s">
        <v>394</v>
      </c>
      <c r="B134" s="184"/>
      <c r="C134" s="184"/>
      <c r="D134" s="184"/>
      <c r="E134" s="184"/>
      <c r="F134" s="1074" t="s">
        <v>395</v>
      </c>
      <c r="G134" s="449">
        <v>0</v>
      </c>
    </row>
    <row r="135" spans="1:7" ht="20.100000000000001" customHeight="1">
      <c r="A135" s="499" t="s">
        <v>396</v>
      </c>
      <c r="B135" s="184"/>
      <c r="C135" s="184"/>
      <c r="D135" s="184"/>
      <c r="E135" s="184"/>
      <c r="F135" s="187">
        <v>49520</v>
      </c>
      <c r="G135" s="449">
        <v>0</v>
      </c>
    </row>
    <row r="136" spans="1:7" ht="20.100000000000001" customHeight="1">
      <c r="A136" s="1043" t="s">
        <v>698</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358000</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68663958.400000006</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1001331</v>
      </c>
    </row>
    <row r="147" spans="1:7" ht="20.100000000000001" customHeight="1">
      <c r="A147" s="499" t="s">
        <v>406</v>
      </c>
      <c r="F147" s="189" t="s">
        <v>407</v>
      </c>
      <c r="G147" s="453">
        <v>960639</v>
      </c>
    </row>
    <row r="148" spans="1:7" ht="20.100000000000001" customHeight="1">
      <c r="A148" s="499" t="s">
        <v>408</v>
      </c>
      <c r="F148" s="189" t="s">
        <v>409</v>
      </c>
      <c r="G148" s="453">
        <v>1967856</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v>9699873</v>
      </c>
    </row>
    <row r="152" spans="1:7" ht="20.100000000000001" customHeight="1">
      <c r="A152" s="499" t="s">
        <v>416</v>
      </c>
      <c r="B152" s="184"/>
      <c r="C152" s="184"/>
      <c r="D152" s="184"/>
      <c r="E152" s="184"/>
      <c r="F152" s="189" t="s">
        <v>417</v>
      </c>
      <c r="G152" s="453">
        <v>2325566</v>
      </c>
    </row>
    <row r="153" spans="1:7" ht="20.100000000000001" customHeight="1">
      <c r="A153" s="499" t="s">
        <v>418</v>
      </c>
      <c r="B153" s="184"/>
      <c r="C153" s="184"/>
      <c r="D153" s="184"/>
      <c r="E153" s="184"/>
      <c r="F153" s="189" t="s">
        <v>419</v>
      </c>
      <c r="G153" s="453">
        <v>15000</v>
      </c>
    </row>
    <row r="154" spans="1:7" ht="20.100000000000001" customHeight="1">
      <c r="A154" s="499" t="s">
        <v>420</v>
      </c>
      <c r="B154" s="184"/>
      <c r="C154" s="184"/>
      <c r="D154" s="184"/>
      <c r="E154" s="184"/>
      <c r="F154" s="189" t="s">
        <v>421</v>
      </c>
      <c r="G154" s="453">
        <v>0</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10133491</v>
      </c>
    </row>
    <row r="162" spans="1:7" ht="20.100000000000001" customHeight="1">
      <c r="A162" s="499" t="s">
        <v>435</v>
      </c>
      <c r="B162" s="184"/>
      <c r="C162" s="184"/>
      <c r="D162" s="184"/>
      <c r="E162" s="184"/>
      <c r="F162" s="189" t="s">
        <v>436</v>
      </c>
      <c r="G162" s="453">
        <v>527710</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0</v>
      </c>
    </row>
    <row r="165" spans="1:7" ht="20.100000000000001" customHeight="1">
      <c r="A165" s="499" t="s">
        <v>441</v>
      </c>
      <c r="B165" s="184"/>
      <c r="C165" s="184"/>
      <c r="D165" s="184"/>
      <c r="E165" s="184"/>
      <c r="F165" s="189" t="s">
        <v>442</v>
      </c>
      <c r="G165" s="453">
        <v>65000</v>
      </c>
    </row>
    <row r="166" spans="1:7" ht="20.100000000000001" customHeight="1">
      <c r="A166" s="499" t="s">
        <v>443</v>
      </c>
      <c r="B166" s="184"/>
      <c r="C166" s="184"/>
      <c r="D166" s="184"/>
      <c r="E166" s="184"/>
      <c r="F166" s="189" t="s">
        <v>444</v>
      </c>
      <c r="G166" s="453">
        <v>4769177</v>
      </c>
    </row>
    <row r="167" spans="1:7" ht="20.100000000000001" customHeight="1">
      <c r="A167" s="499" t="s">
        <v>445</v>
      </c>
      <c r="B167" s="184"/>
      <c r="C167" s="184"/>
      <c r="D167" s="184"/>
      <c r="E167" s="184"/>
      <c r="F167" s="189" t="s">
        <v>446</v>
      </c>
      <c r="G167" s="453">
        <v>55000</v>
      </c>
    </row>
    <row r="168" spans="1:7" ht="20.100000000000001" customHeight="1">
      <c r="A168" s="499" t="s">
        <v>447</v>
      </c>
      <c r="B168" s="184"/>
      <c r="C168" s="184"/>
      <c r="D168" s="184"/>
      <c r="E168" s="184"/>
      <c r="F168" s="189" t="s">
        <v>448</v>
      </c>
      <c r="G168" s="453">
        <v>387300</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0</v>
      </c>
    </row>
    <row r="171" spans="1:7" ht="20.100000000000001" customHeight="1">
      <c r="A171" s="499" t="s">
        <v>453</v>
      </c>
      <c r="B171" s="184"/>
      <c r="C171" s="184"/>
      <c r="D171" s="184"/>
      <c r="E171" s="184"/>
      <c r="F171" s="187">
        <v>56001</v>
      </c>
      <c r="G171" s="453">
        <v>3866502</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55000</v>
      </c>
    </row>
    <row r="176" spans="1:7" ht="20.100000000000001" customHeight="1">
      <c r="A176" s="507" t="s">
        <v>460</v>
      </c>
      <c r="F176" s="207" t="s">
        <v>461</v>
      </c>
      <c r="G176" s="453">
        <v>496813</v>
      </c>
    </row>
    <row r="177" spans="1:7" ht="20.100000000000001" customHeight="1">
      <c r="A177" s="499" t="s">
        <v>462</v>
      </c>
      <c r="B177" s="184"/>
      <c r="C177" s="184"/>
      <c r="D177" s="184"/>
      <c r="E177" s="184"/>
      <c r="F177" s="189" t="s">
        <v>463</v>
      </c>
      <c r="G177" s="453">
        <v>706595</v>
      </c>
    </row>
    <row r="178" spans="1:7" ht="20.100000000000001" customHeight="1">
      <c r="A178" s="499" t="s">
        <v>464</v>
      </c>
      <c r="B178" s="184"/>
      <c r="C178" s="184"/>
      <c r="D178" s="184"/>
      <c r="E178" s="184"/>
      <c r="F178" s="189" t="s">
        <v>465</v>
      </c>
      <c r="G178" s="453">
        <v>0</v>
      </c>
    </row>
    <row r="179" spans="1:7" ht="20.100000000000001" customHeight="1">
      <c r="A179" s="499" t="s">
        <v>466</v>
      </c>
      <c r="B179" s="184"/>
      <c r="C179" s="184"/>
      <c r="D179" s="184"/>
      <c r="E179" s="184"/>
      <c r="F179" s="189" t="s">
        <v>467</v>
      </c>
      <c r="G179" s="453">
        <v>125000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0</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0</v>
      </c>
    </row>
    <row r="184" spans="1:7" ht="20.100000000000001" customHeight="1">
      <c r="A184" s="499" t="s">
        <v>476</v>
      </c>
      <c r="B184" s="184"/>
      <c r="C184" s="184"/>
      <c r="D184" s="184"/>
      <c r="E184" s="184"/>
      <c r="F184" s="189" t="s">
        <v>477</v>
      </c>
      <c r="G184" s="453">
        <v>2844871</v>
      </c>
    </row>
    <row r="185" spans="1:7" ht="20.100000000000001" customHeight="1">
      <c r="A185" s="499" t="s">
        <v>478</v>
      </c>
      <c r="B185" s="184"/>
      <c r="C185" s="184"/>
      <c r="D185" s="184"/>
      <c r="E185" s="184"/>
      <c r="F185" s="189" t="s">
        <v>479</v>
      </c>
      <c r="G185" s="453">
        <v>4259032</v>
      </c>
    </row>
    <row r="186" spans="1:7" ht="20.100000000000001" customHeight="1">
      <c r="A186" s="499" t="s">
        <v>480</v>
      </c>
      <c r="B186" s="184"/>
      <c r="C186" s="184"/>
      <c r="D186" s="184"/>
      <c r="E186" s="184"/>
      <c r="F186" s="189" t="s">
        <v>481</v>
      </c>
      <c r="G186" s="453">
        <v>0</v>
      </c>
    </row>
    <row r="187" spans="1:7" ht="20.100000000000001" customHeight="1">
      <c r="A187" s="499" t="s">
        <v>482</v>
      </c>
      <c r="B187" s="184"/>
      <c r="C187" s="184"/>
      <c r="D187" s="184"/>
      <c r="E187" s="184"/>
      <c r="F187" s="189" t="s">
        <v>483</v>
      </c>
      <c r="G187" s="453">
        <v>0</v>
      </c>
    </row>
    <row r="188" spans="1:7" ht="20.100000000000001" customHeight="1">
      <c r="A188" s="499" t="s">
        <v>484</v>
      </c>
      <c r="B188" s="184"/>
      <c r="C188" s="184"/>
      <c r="D188" s="184"/>
      <c r="E188" s="184"/>
      <c r="F188" s="189" t="s">
        <v>485</v>
      </c>
      <c r="G188" s="453">
        <v>27500</v>
      </c>
    </row>
    <row r="189" spans="1:7" ht="20.100000000000001" customHeight="1">
      <c r="A189" s="499" t="s">
        <v>486</v>
      </c>
      <c r="B189" s="184"/>
      <c r="C189" s="184"/>
      <c r="D189" s="184"/>
      <c r="E189" s="184"/>
      <c r="F189" s="207">
        <v>59600</v>
      </c>
      <c r="G189" s="453">
        <v>0</v>
      </c>
    </row>
    <row r="190" spans="1:7" ht="20.100000000000001" customHeight="1">
      <c r="A190" s="499" t="s">
        <v>487</v>
      </c>
      <c r="B190" s="184"/>
      <c r="C190" s="184"/>
      <c r="D190" s="184"/>
      <c r="E190" s="184"/>
      <c r="F190" s="189" t="s">
        <v>488</v>
      </c>
      <c r="G190" s="453">
        <v>5535262</v>
      </c>
    </row>
    <row r="191" spans="1:7" ht="20.100000000000001" customHeight="1">
      <c r="A191" s="499" t="s">
        <v>489</v>
      </c>
      <c r="B191" s="184"/>
      <c r="C191" s="184"/>
      <c r="D191" s="184"/>
      <c r="E191" s="184"/>
      <c r="F191" s="189" t="s">
        <v>490</v>
      </c>
      <c r="G191" s="453">
        <v>0</v>
      </c>
    </row>
    <row r="192" spans="1:7" ht="20.100000000000001" customHeight="1">
      <c r="A192" s="499" t="s">
        <v>491</v>
      </c>
      <c r="B192" s="184"/>
      <c r="C192" s="184"/>
      <c r="D192" s="184"/>
      <c r="E192" s="184"/>
      <c r="F192" s="189" t="s">
        <v>492</v>
      </c>
      <c r="G192" s="453">
        <v>1566248</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51390766</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284864</v>
      </c>
    </row>
    <row r="199" spans="1:7" ht="20.100000000000001" customHeight="1">
      <c r="A199" s="499" t="s">
        <v>497</v>
      </c>
      <c r="B199" s="184"/>
      <c r="C199" s="184"/>
      <c r="D199" s="184"/>
      <c r="E199" s="184"/>
      <c r="F199" s="189" t="s">
        <v>498</v>
      </c>
      <c r="G199" s="453">
        <v>34500</v>
      </c>
    </row>
    <row r="200" spans="1:7" ht="20.100000000000001" customHeight="1">
      <c r="A200" s="499" t="s">
        <v>499</v>
      </c>
      <c r="B200" s="184"/>
      <c r="C200" s="184"/>
      <c r="D200" s="184"/>
      <c r="E200" s="184"/>
      <c r="F200" s="189" t="s">
        <v>500</v>
      </c>
      <c r="G200" s="453">
        <v>322571</v>
      </c>
    </row>
    <row r="201" spans="1:7" ht="20.100000000000001" customHeight="1">
      <c r="A201" s="499" t="s">
        <v>501</v>
      </c>
      <c r="B201" s="184"/>
      <c r="C201" s="184"/>
      <c r="D201" s="184"/>
      <c r="E201" s="184"/>
      <c r="F201" s="189" t="s">
        <v>502</v>
      </c>
      <c r="G201" s="453">
        <v>463636</v>
      </c>
    </row>
    <row r="202" spans="1:7" ht="20.100000000000001" customHeight="1">
      <c r="A202" s="499" t="s">
        <v>503</v>
      </c>
      <c r="B202" s="184"/>
      <c r="C202" s="184"/>
      <c r="D202" s="184"/>
      <c r="E202" s="184"/>
      <c r="F202" s="189" t="s">
        <v>504</v>
      </c>
      <c r="G202" s="453">
        <v>940364</v>
      </c>
    </row>
    <row r="203" spans="1:7" ht="20.100000000000001" customHeight="1">
      <c r="A203" s="499" t="s">
        <v>505</v>
      </c>
      <c r="B203" s="184"/>
      <c r="C203" s="184"/>
      <c r="D203" s="184"/>
      <c r="E203" s="184"/>
      <c r="F203" s="189" t="s">
        <v>506</v>
      </c>
      <c r="G203" s="453">
        <v>0</v>
      </c>
    </row>
    <row r="204" spans="1:7" ht="20.100000000000001" customHeight="1">
      <c r="A204" s="499" t="s">
        <v>697</v>
      </c>
      <c r="B204" s="184"/>
      <c r="C204" s="184"/>
      <c r="D204" s="184"/>
      <c r="E204" s="184"/>
      <c r="F204" s="1028">
        <v>63100</v>
      </c>
      <c r="G204" s="453">
        <v>0</v>
      </c>
    </row>
    <row r="205" spans="1:7" ht="20.100000000000001" customHeight="1">
      <c r="A205" s="499" t="s">
        <v>507</v>
      </c>
      <c r="B205" s="184"/>
      <c r="C205" s="184"/>
      <c r="D205" s="184"/>
      <c r="E205" s="184"/>
      <c r="F205" s="189" t="s">
        <v>508</v>
      </c>
      <c r="G205" s="453">
        <v>1500555</v>
      </c>
    </row>
    <row r="206" spans="1:7" ht="20.100000000000001" customHeight="1">
      <c r="A206" s="499" t="s">
        <v>509</v>
      </c>
      <c r="B206" s="184"/>
      <c r="C206" s="184"/>
      <c r="D206" s="184"/>
      <c r="E206" s="184"/>
      <c r="F206" s="189" t="s">
        <v>510</v>
      </c>
      <c r="G206" s="453">
        <v>2500105</v>
      </c>
    </row>
    <row r="207" spans="1:7" ht="20.100000000000001" customHeight="1">
      <c r="A207" s="499" t="s">
        <v>511</v>
      </c>
      <c r="B207" s="184"/>
      <c r="C207" s="184"/>
      <c r="D207" s="184"/>
      <c r="E207" s="184"/>
      <c r="F207" s="189" t="s">
        <v>512</v>
      </c>
      <c r="G207" s="453">
        <v>5532000</v>
      </c>
    </row>
    <row r="208" spans="1:7" ht="20.100000000000001" customHeight="1">
      <c r="A208" s="499" t="s">
        <v>690</v>
      </c>
      <c r="B208" s="184"/>
      <c r="C208" s="184"/>
      <c r="D208" s="184"/>
      <c r="E208" s="184"/>
      <c r="F208" s="189" t="s">
        <v>513</v>
      </c>
      <c r="G208" s="453">
        <v>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989705</v>
      </c>
    </row>
    <row r="211" spans="1:9" ht="20.100000000000001" customHeight="1">
      <c r="A211" s="499" t="s">
        <v>518</v>
      </c>
      <c r="B211" s="184"/>
      <c r="C211" s="184"/>
      <c r="D211" s="184"/>
      <c r="E211" s="184"/>
      <c r="F211" s="189" t="s">
        <v>519</v>
      </c>
      <c r="G211" s="453">
        <v>454900</v>
      </c>
    </row>
    <row r="212" spans="1:9" ht="20.100000000000001" customHeight="1">
      <c r="A212" s="499" t="s">
        <v>520</v>
      </c>
      <c r="F212" s="207" t="s">
        <v>521</v>
      </c>
      <c r="G212" s="453">
        <v>222850</v>
      </c>
    </row>
    <row r="213" spans="1:9" ht="20.100000000000001" customHeight="1">
      <c r="A213" s="499" t="s">
        <v>522</v>
      </c>
      <c r="B213" s="184"/>
      <c r="C213" s="184"/>
      <c r="D213" s="184"/>
      <c r="E213" s="184"/>
      <c r="F213" s="189" t="s">
        <v>523</v>
      </c>
      <c r="G213" s="453">
        <v>175250</v>
      </c>
    </row>
    <row r="214" spans="1:9" ht="20.100000000000001" customHeight="1">
      <c r="A214" s="499" t="s">
        <v>524</v>
      </c>
      <c r="B214" s="184"/>
      <c r="C214" s="184"/>
      <c r="D214" s="184"/>
      <c r="E214" s="184"/>
      <c r="F214" s="189" t="s">
        <v>525</v>
      </c>
      <c r="G214" s="453">
        <v>218498</v>
      </c>
    </row>
    <row r="215" spans="1:9" ht="20.100000000000001" customHeight="1">
      <c r="A215" s="499" t="s">
        <v>526</v>
      </c>
      <c r="B215" s="184"/>
      <c r="C215" s="184"/>
      <c r="D215" s="184"/>
      <c r="E215" s="184"/>
      <c r="F215" s="189" t="s">
        <v>527</v>
      </c>
      <c r="G215" s="453">
        <v>525070</v>
      </c>
    </row>
    <row r="216" spans="1:9" ht="20.100000000000001" customHeight="1">
      <c r="A216" s="499" t="s">
        <v>528</v>
      </c>
      <c r="B216" s="184"/>
      <c r="C216" s="184"/>
      <c r="D216" s="184"/>
      <c r="E216" s="184"/>
      <c r="F216" s="205" t="s">
        <v>529</v>
      </c>
      <c r="G216" s="453">
        <v>0</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0</v>
      </c>
    </row>
    <row r="220" spans="1:9" ht="20.100000000000001" customHeight="1">
      <c r="A220" s="499" t="s">
        <v>536</v>
      </c>
      <c r="B220" s="184"/>
      <c r="C220" s="184"/>
      <c r="D220" s="184"/>
      <c r="E220" s="184"/>
      <c r="F220" s="189" t="s">
        <v>537</v>
      </c>
      <c r="G220" s="453">
        <v>0</v>
      </c>
    </row>
    <row r="221" spans="1:9" ht="20.100000000000001" customHeight="1">
      <c r="A221" s="499" t="s">
        <v>538</v>
      </c>
      <c r="B221" s="184"/>
      <c r="C221" s="184"/>
      <c r="D221" s="184"/>
      <c r="E221" s="184"/>
      <c r="F221" s="189" t="s">
        <v>539</v>
      </c>
      <c r="G221" s="453">
        <v>0</v>
      </c>
    </row>
    <row r="222" spans="1:9" ht="20.100000000000001" customHeight="1">
      <c r="A222" s="510" t="s">
        <v>712</v>
      </c>
      <c r="B222" s="184"/>
      <c r="C222" s="184"/>
      <c r="D222" s="213"/>
      <c r="E222" s="184"/>
      <c r="F222" s="1120">
        <v>69100</v>
      </c>
      <c r="G222" s="453">
        <v>0</v>
      </c>
    </row>
    <row r="223" spans="1:9" ht="20.100000000000001" customHeight="1">
      <c r="A223" s="510" t="s">
        <v>713</v>
      </c>
      <c r="B223" s="214"/>
      <c r="C223" s="214"/>
      <c r="D223" s="215"/>
      <c r="E223" s="214"/>
      <c r="F223" s="1119">
        <v>69200</v>
      </c>
      <c r="G223" s="453">
        <v>0</v>
      </c>
    </row>
    <row r="224" spans="1:9" ht="20.100000000000001" customHeight="1">
      <c r="A224" s="499" t="s">
        <v>540</v>
      </c>
      <c r="B224" s="184"/>
      <c r="C224" s="184"/>
      <c r="D224" s="184"/>
      <c r="E224" s="184"/>
      <c r="F224" s="189" t="s">
        <v>541</v>
      </c>
      <c r="G224" s="453">
        <v>297100</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2">
        <v>1876224</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16338192</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0</v>
      </c>
    </row>
    <row r="233" spans="1:7" ht="20.100000000000001" customHeight="1">
      <c r="A233" s="499" t="s">
        <v>549</v>
      </c>
      <c r="B233" s="184"/>
      <c r="C233" s="184"/>
      <c r="D233" s="184"/>
      <c r="E233" s="184"/>
      <c r="F233" s="189" t="s">
        <v>550</v>
      </c>
      <c r="G233" s="453">
        <v>125000</v>
      </c>
    </row>
    <row r="234" spans="1:7" ht="20.100000000000001" customHeight="1">
      <c r="A234" s="499" t="s">
        <v>551</v>
      </c>
      <c r="B234" s="184"/>
      <c r="C234" s="184"/>
      <c r="D234" s="184"/>
      <c r="E234" s="184"/>
      <c r="F234" s="189" t="s">
        <v>552</v>
      </c>
      <c r="G234" s="453">
        <v>0</v>
      </c>
    </row>
    <row r="235" spans="1:7" ht="20.100000000000001" customHeight="1">
      <c r="A235" s="499" t="s">
        <v>553</v>
      </c>
      <c r="B235" s="184"/>
      <c r="C235" s="184"/>
      <c r="D235" s="184"/>
      <c r="E235" s="184"/>
      <c r="F235" s="1074" t="s">
        <v>554</v>
      </c>
      <c r="G235" s="453">
        <v>0</v>
      </c>
    </row>
    <row r="236" spans="1:7" ht="20.100000000000001" customHeight="1">
      <c r="A236" s="499" t="s">
        <v>701</v>
      </c>
      <c r="B236" s="184"/>
      <c r="C236" s="184"/>
      <c r="D236" s="184"/>
      <c r="E236" s="184"/>
      <c r="F236" s="1074">
        <v>73001</v>
      </c>
      <c r="G236" s="453">
        <v>810000</v>
      </c>
    </row>
    <row r="237" spans="1:7" ht="20.100000000000001" customHeight="1">
      <c r="A237" s="499" t="s">
        <v>702</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696</v>
      </c>
      <c r="B239" s="184"/>
      <c r="C239" s="184"/>
      <c r="D239" s="184"/>
      <c r="E239" s="184"/>
      <c r="F239" s="207">
        <v>73100</v>
      </c>
      <c r="G239" s="453">
        <v>0</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935000</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68663958</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f>3349112+184052</f>
        <v>3533164</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0</v>
      </c>
    </row>
    <row r="260" spans="1:12" ht="20.100000000000001" customHeight="1">
      <c r="A260" s="499" t="s">
        <v>576</v>
      </c>
      <c r="B260" s="184"/>
      <c r="C260" s="184"/>
      <c r="D260" s="184"/>
      <c r="E260" s="184"/>
      <c r="F260" s="201">
        <v>31100</v>
      </c>
      <c r="G260" s="624">
        <v>15029900</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18563064</v>
      </c>
    </row>
    <row r="263" spans="1:12" ht="20.100000000000001" customHeight="1">
      <c r="A263" s="500"/>
      <c r="B263" s="184"/>
      <c r="C263" s="184"/>
      <c r="D263" s="184"/>
      <c r="E263" s="184"/>
      <c r="F263" s="201"/>
      <c r="G263" s="217"/>
    </row>
    <row r="264" spans="1:12" ht="20.100000000000001" customHeight="1" thickBot="1">
      <c r="A264" s="511" t="s">
        <v>703</v>
      </c>
      <c r="F264" s="207">
        <v>30800</v>
      </c>
      <c r="G264" s="454">
        <f>-4120568-965443-17298572</f>
        <v>-22384583</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-3821519</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H245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numberStoredAsText="1"/>
    <ignoredError sqref="G85 G75 G81 G142" evalError="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infopath/2007/PartnerControls"/>
    <ds:schemaRef ds:uri="http://purl.org/dc/elements/1.1/"/>
    <ds:schemaRef ds:uri="http://schemas.microsoft.com/office/2006/documentManagement/types"/>
    <ds:schemaRef ds:uri="http://purl.org/dc/dcmitype/"/>
    <ds:schemaRef ds:uri="ee822479-6e51-4d14-b6b0-2c589e913e66"/>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2023-06-23T19:12:50Z</cp:lastPrinted>
  <dcterms:created xsi:type="dcterms:W3CDTF">2005-03-22T15:46:43Z</dcterms:created>
  <dcterms:modified xsi:type="dcterms:W3CDTF">2023-08-09T20:32:01Z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