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B5F93525-03A3-447D-8D25-B1680F631135}"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6" l="1"/>
  <c r="G255" i="7"/>
  <c r="E13" i="4" l="1"/>
  <c r="D48" i="15" l="1"/>
  <c r="G162" i="7" l="1"/>
  <c r="G123" i="7" l="1"/>
  <c r="G80" i="7"/>
  <c r="D12" i="6"/>
  <c r="D11" i="6"/>
  <c r="D10" i="6"/>
  <c r="D13" i="6" l="1"/>
  <c r="D14" i="6"/>
  <c r="G77" i="7" l="1"/>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s="1"/>
  <c r="B12" i="23"/>
  <c r="D12" i="23" s="1"/>
  <c r="B11" i="23"/>
  <c r="D11" i="23" s="1"/>
  <c r="B10" i="23"/>
  <c r="D10" i="23" s="1"/>
  <c r="B9" i="23"/>
  <c r="D9" i="23" s="1"/>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H13" i="6" s="1"/>
  <c r="G15" i="7" s="1"/>
  <c r="G14" i="6"/>
  <c r="G15" i="6"/>
  <c r="F32" i="6"/>
  <c r="G32" i="6"/>
  <c r="F33" i="6"/>
  <c r="G33" i="6"/>
  <c r="F34" i="6"/>
  <c r="G34" i="6"/>
  <c r="H34" i="6" s="1"/>
  <c r="G32" i="7" s="1"/>
  <c r="F35" i="6"/>
  <c r="G35" i="6"/>
  <c r="E19" i="6"/>
  <c r="F19" i="6" s="1"/>
  <c r="G21" i="7" s="1"/>
  <c r="E20" i="6"/>
  <c r="F20" i="6" s="1"/>
  <c r="G22" i="7" s="1"/>
  <c r="E21" i="6"/>
  <c r="F21" i="6" s="1"/>
  <c r="G23" i="7" s="1"/>
  <c r="E22" i="6"/>
  <c r="F22" i="6" s="1"/>
  <c r="G24" i="7" s="1"/>
  <c r="E23" i="6"/>
  <c r="F23" i="6" s="1"/>
  <c r="G25" i="7" s="1"/>
  <c r="E24" i="6"/>
  <c r="F24" i="6" s="1"/>
  <c r="G26" i="7" s="1"/>
  <c r="B34" i="5"/>
  <c r="E39" i="6" s="1"/>
  <c r="F39" i="6" s="1"/>
  <c r="B35" i="5"/>
  <c r="E40" i="6" s="1"/>
  <c r="F40" i="6" s="1"/>
  <c r="G38" i="7" s="1"/>
  <c r="B37" i="5"/>
  <c r="E41" i="6" s="1"/>
  <c r="F41" i="6" s="1"/>
  <c r="G39" i="7" s="1"/>
  <c r="B38" i="5"/>
  <c r="E42" i="6"/>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D65" i="22"/>
  <c r="D67" i="22" s="1"/>
  <c r="D59" i="22"/>
  <c r="D62" i="22" s="1"/>
  <c r="B52" i="22"/>
  <c r="E33" i="22"/>
  <c r="E34" i="22" s="1"/>
  <c r="D33" i="22"/>
  <c r="D34" i="22" s="1"/>
  <c r="D26" i="22"/>
  <c r="D38" i="22"/>
  <c r="C38" i="22"/>
  <c r="E15" i="22"/>
  <c r="D15" i="22"/>
  <c r="B46" i="22"/>
  <c r="E26" i="22"/>
  <c r="E59" i="22"/>
  <c r="E61" i="22" s="1"/>
  <c r="E38" i="22"/>
  <c r="B29" i="5"/>
  <c r="H14" i="5"/>
  <c r="G246" i="7"/>
  <c r="E15" i="8"/>
  <c r="E36" i="6"/>
  <c r="F36" i="6" s="1"/>
  <c r="D36" i="6"/>
  <c r="D43" i="6"/>
  <c r="D26" i="6"/>
  <c r="E17" i="6"/>
  <c r="G20" i="5"/>
  <c r="H20" i="5" s="1"/>
  <c r="G19" i="5"/>
  <c r="H19" i="5" s="1"/>
  <c r="G22" i="5"/>
  <c r="H22" i="5" s="1"/>
  <c r="G23" i="5"/>
  <c r="H23" i="5" s="1"/>
  <c r="E20" i="12"/>
  <c r="E30" i="12" s="1"/>
  <c r="E29" i="12"/>
  <c r="G194" i="7"/>
  <c r="D21" i="8"/>
  <c r="E59" i="3"/>
  <c r="C94" i="12"/>
  <c r="B31" i="5"/>
  <c r="H31" i="5" s="1"/>
  <c r="I31" i="5" s="1"/>
  <c r="B30" i="5"/>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E14" i="8"/>
  <c r="G228" i="7"/>
  <c r="X139" i="23"/>
  <c r="E60" i="22"/>
  <c r="D66" i="22"/>
  <c r="H35" i="6"/>
  <c r="G33" i="7" s="1"/>
  <c r="H33" i="6"/>
  <c r="G31" i="7" s="1"/>
  <c r="H34" i="5"/>
  <c r="I34" i="5" s="1"/>
  <c r="E62" i="22"/>
  <c r="H38" i="5"/>
  <c r="I38" i="5" s="1"/>
  <c r="D17" i="6"/>
  <c r="F12" i="6"/>
  <c r="E46" i="3" s="1"/>
  <c r="F11" i="6"/>
  <c r="H11" i="6" s="1"/>
  <c r="G13" i="7" s="1"/>
  <c r="F14" i="6"/>
  <c r="E48" i="3" s="1"/>
  <c r="F15" i="6"/>
  <c r="E49" i="3" s="1"/>
  <c r="F10" i="6"/>
  <c r="H10" i="6" s="1"/>
  <c r="G12" i="7" s="1"/>
  <c r="E47" i="3"/>
  <c r="H15" i="6"/>
  <c r="G17" i="7" s="1"/>
  <c r="H37" i="5" l="1"/>
  <c r="I37" i="5" s="1"/>
  <c r="H14" i="6"/>
  <c r="G16" i="7" s="1"/>
  <c r="C77" i="3"/>
  <c r="D68" i="22"/>
  <c r="E44" i="3"/>
  <c r="D69" i="22"/>
  <c r="C95" i="3"/>
  <c r="B70" i="6"/>
  <c r="C74" i="3"/>
  <c r="H12" i="6"/>
  <c r="G14" i="7" s="1"/>
  <c r="F17" i="6"/>
  <c r="E50" i="3" s="1"/>
  <c r="E45" i="3"/>
  <c r="H32" i="6"/>
  <c r="H36" i="6" s="1"/>
  <c r="H30" i="5"/>
  <c r="I30" i="5" s="1"/>
  <c r="D118" i="15"/>
  <c r="C126" i="3" s="1"/>
  <c r="H29" i="5"/>
  <c r="I29" i="5" s="1"/>
  <c r="F43" i="6"/>
  <c r="G37" i="7"/>
  <c r="D60" i="22"/>
  <c r="E66" i="22"/>
  <c r="E21" i="8"/>
  <c r="D61" i="22"/>
  <c r="D70" i="22"/>
  <c r="C93" i="3"/>
  <c r="E65" i="3"/>
  <c r="G75" i="7"/>
  <c r="G85" i="7" s="1"/>
  <c r="D88" i="3"/>
  <c r="F111" i="15"/>
  <c r="G248" i="7"/>
  <c r="T111" i="23"/>
  <c r="C94" i="3"/>
  <c r="G28" i="7"/>
  <c r="G19" i="7"/>
  <c r="G42" i="7"/>
  <c r="F26" i="6"/>
  <c r="D119" i="15"/>
  <c r="C110" i="3"/>
  <c r="C114" i="3" s="1"/>
  <c r="E113" i="15"/>
  <c r="E131" i="15" s="1"/>
  <c r="F93" i="15"/>
  <c r="C119" i="3"/>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H17" i="6" l="1"/>
  <c r="F118" i="15"/>
  <c r="F45" i="3"/>
  <c r="G45" i="3" s="1"/>
  <c r="D129" i="15"/>
  <c r="D131" i="15" s="1"/>
  <c r="G30" i="7"/>
  <c r="G35" i="7" s="1"/>
  <c r="H27" i="6"/>
  <c r="E25" i="4"/>
  <c r="E28" i="4" s="1"/>
  <c r="E69" i="22"/>
  <c r="E68" i="22"/>
  <c r="E70" i="22"/>
  <c r="H44" i="6"/>
  <c r="E84" i="3"/>
  <c r="E88" i="3" s="1"/>
  <c r="F113" i="15"/>
  <c r="C96" i="3"/>
  <c r="G44" i="7"/>
  <c r="G63" i="7" s="1"/>
  <c r="G142" i="7" s="1"/>
  <c r="G260" i="7" s="1"/>
  <c r="C121" i="3"/>
  <c r="F119" i="15"/>
  <c r="F129" i="15" s="1"/>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E40" i="4" l="1"/>
  <c r="C101" i="3" s="1"/>
  <c r="G262" i="7"/>
  <c r="G266" i="7" s="1"/>
  <c r="C102" i="3" s="1"/>
  <c r="H46" i="6"/>
  <c r="C34" i="3" s="1"/>
  <c r="E18" i="4"/>
  <c r="E21" i="4" s="1"/>
  <c r="E23" i="4" s="1"/>
  <c r="E44" i="4" s="1"/>
  <c r="C17" i="3" s="1"/>
  <c r="F84" i="3"/>
  <c r="F88" i="3" s="1"/>
  <c r="C135" i="3"/>
  <c r="F131" i="15"/>
  <c r="C103" i="3" l="1"/>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<sst xmlns="http://schemas.openxmlformats.org/spreadsheetml/2006/main" count="1351" uniqueCount="785">
  <si>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</si>
  <si>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</si>
  <si>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</si>
  <si>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</si>
  <si>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</si>
  <si>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</si>
  <si>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</si>
  <si>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</si>
  <si>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</si>
  <si>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</si>
  <si>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</si>
  <si>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</si>
  <si>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</si>
  <si>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</si>
  <si>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</si>
  <si>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</si>
  <si>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</si>
  <si>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</si>
  <si>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</si>
  <si>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</si>
  <si>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</si>
  <si>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</si>
  <si>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</si>
  <si>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</si>
  <si>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</si>
  <si>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</si>
  <si>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</si>
  <si>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</si>
  <si>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</si>
  <si>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</si>
  <si>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</si>
  <si>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</si>
  <si>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</si>
  <si>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</si>
  <si>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</si>
  <si>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</si>
  <si>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</si>
  <si>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</si>
  <si>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</si>
  <si>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</si>
  <si>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</si>
  <si>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</si>
  <si>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</si>
  <si>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</si>
  <si>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</si>
  <si>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</si>
  <si>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</si>
  <si>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</si>
  <si>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</si>
  <si>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</si>
  <si>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</si>
  <si>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</si>
  <si>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</si>
  <si>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</si>
  <si>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</si>
  <si>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</si>
  <si>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</si>
  <si>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</si>
  <si>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</si>
  <si>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</si>
  <si>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</si>
  <si>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</si>
  <si>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</si>
  <si>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</si>
  <si>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</si>
  <si>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</si>
  <si>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</si>
  <si>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</si>
  <si>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</si>
  <si>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</si>
  <si>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</si>
  <si>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</si>
  <si>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</si>
  <si>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</si>
  <si>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</si>
  <si>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</si>
  <si>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</si>
  <si>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</si>
  <si>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</si>
  <si>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</si>
  <si>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</si>
  <si>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</si>
  <si>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</si>
  <si>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</si>
  <si>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</si>
  <si>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</si>
  <si>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</si>
  <si>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</si>
  <si>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</si>
  <si>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</si>
  <si>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</si>
  <si>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</si>
  <si>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</si>
  <si>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</si>
  <si>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</si>
  <si>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</si>
  <si>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</si>
  <si>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</si>
  <si>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</si>
  <si>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</si>
  <si>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</si>
  <si>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</si>
  <si>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</si>
  <si>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</si>
  <si>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</si>
  <si>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</si>
  <si>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</si>
  <si>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</si>
  <si>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</si>
  <si>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</si>
  <si>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</si>
  <si>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</si>
  <si>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</si>
  <si>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</si>
  <si>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</si>
  <si>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</si>
  <si>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</si>
  <si>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</si>
  <si>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</si>
  <si>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</si>
  <si>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</si>
  <si>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</si>
  <si>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</si>
  <si>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</si>
  <si>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</si>
  <si>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</si>
  <si>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</si>
  <si>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</si>
  <si>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</si>
  <si>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</si>
  <si>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</si>
  <si>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</si>
  <si>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</si>
  <si>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</si>
  <si>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</si>
  <si>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</si>
  <si>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</si>
  <si>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</si>
  <si>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</si>
  <si>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</si>
  <si>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</si>
  <si>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</si>
  <si>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</si>
  <si>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</si>
  <si>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</si>
  <si>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</si>
  <si>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</si>
  <si>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</si>
  <si>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</si>
  <si>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</si>
  <si>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</si>
  <si>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</si>
  <si>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</si>
  <si>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</si>
  <si>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</si>
  <si>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</si>
  <si>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</si>
  <si>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</si>
  <si>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</si>
  <si>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</si>
  <si>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</si>
  <si>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</si>
  <si>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</si>
  <si>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</si>
  <si>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</si>
  <si>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</si>
  <si>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</si>
  <si>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</si>
  <si>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</si>
  <si>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</si>
  <si>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</si>
  <si>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</si>
  <si>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</si>
  <si>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</si>
  <si>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</si>
  <si>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</si>
  <si>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</si>
  <si>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</si>
  <si>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</si>
  <si>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</si>
  <si>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</si>
  <si>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</si>
  <si>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</si>
  <si>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</si>
  <si>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</si>
  <si>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</si>
  <si>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</si>
  <si>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</si>
  <si>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</si>
  <si>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</si>
  <si>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</si>
  <si>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</si>
  <si>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</si>
  <si>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</si>
  <si>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</si>
  <si>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</si>
  <si>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</si>
  <si>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</si>
  <si>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</si>
  <si>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</si>
  <si>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</si>
  <si>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</si>
  <si>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</si>
  <si>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</si>
  <si>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</si>
  <si>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</si>
  <si>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</si>
  <si>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</si>
  <si>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</si>
  <si>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</si>
  <si>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</si>
  <si>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</si>
  <si>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</si>
  <si>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</si>
  <si>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</si>
  <si>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</si>
  <si>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</si>
  <si>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</si>
  <si>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</si>
  <si>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</si>
  <si>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</si>
  <si>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</si>
  <si>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</si>
  <si>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</si>
  <si>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</si>
  <si>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</si>
  <si>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</si>
  <si>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</si>
  <si>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</si>
  <si>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</si>
  <si>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</si>
  <si>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</si>
  <si>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</si>
  <si>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</si>
  <si>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</si>
  <si>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</si>
  <si>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</si>
  <si>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</si>
  <si>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</si>
  <si>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</si>
  <si>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</si>
  <si>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</si>
  <si>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</si>
  <si>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</si>
  <si>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</si>
  <si>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</si>
  <si>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</si>
  <si>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</si>
  <si>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</si>
  <si>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</si>
  <si>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</si>
  <si>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</si>
  <si>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</si>
  <si>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</si>
  <si>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</si>
  <si>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</si>
  <si>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</si>
  <si>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</si>
  <si>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</si>
  <si>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</si>
  <si>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</si>
  <si>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</si>
  <si>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</si>
  <si>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</si>
  <si>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</si>
  <si>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</si>
  <si>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</si>
  <si>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</si>
  <si>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</si>
  <si>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</si>
  <si>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</si>
  <si>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</si>
  <si>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</si>
  <si>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</si>
  <si>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</si>
  <si>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</si>
  <si>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</si>
  <si>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</si>
  <si>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</si>
  <si>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</si>
  <si>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</si>
  <si>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</si>
  <si>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</si>
  <si>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</si>
  <si>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</si>
  <si>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</si>
  <si>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</si>
  <si>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</si>
  <si>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</si>
  <si>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</si>
  <si>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</si>
  <si>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</si>
  <si>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</si>
  <si>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</si>
  <si>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</si>
  <si>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</si>
  <si>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</si>
  <si>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</si>
  <si>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</si>
  <si>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</si>
  <si>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</si>
  <si>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</si>
  <si>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</si>
  <si>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</si>
  <si>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</si>
  <si>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</si>
  <si>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</si>
  <si>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</si>
  <si>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</si>
  <si>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</si>
  <si>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</si>
  <si>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</si>
  <si>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</si>
  <si>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</si>
  <si>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</si>
  <si>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</si>
  <si>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</si>
  <si>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</si>
  <si>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</si>
  <si>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</si>
  <si>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</si>
  <si>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</si>
  <si>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</si>
  <si>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</si>
  <si>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</si>
  <si>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</si>
  <si>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</si>
  <si>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</si>
  <si>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</si>
  <si>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</si>
  <si>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</si>
  <si>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</si>
  <si>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</si>
  <si>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</si>
  <si>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</si>
  <si>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</si>
  <si>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</si>
  <si>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</si>
  <si>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</si>
  <si>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</si>
  <si>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</si>
  <si>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</si>
  <si>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</si>
  <si>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</si>
  <si>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</si>
  <si>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</si>
  <si>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</si>
  <si>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</si>
  <si>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</si>
  <si>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</si>
  <si>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</si>
  <si>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</si>
  <si>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</si>
  <si>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</si>
  <si>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</si>
  <si>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</si>
  <si>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</si>
  <si>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</si>
  <si>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</si>
  <si>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</si>
  <si>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</si>
  <si>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</si>
  <si>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</si>
  <si>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</si>
  <si>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</si>
  <si>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</si>
  <si>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</si>
  <si>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</si>
  <si>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</si>
  <si>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</si>
  <si>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</si>
  <si>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</si>
  <si>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</si>
  <si>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</si>
  <si>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</si>
  <si>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</si>
  <si>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</si>
  <si>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</si>
  <si>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</si>
  <si>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</si>
  <si>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</si>
  <si>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</si>
  <si>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</si>
  <si>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</si>
  <si>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</si>
  <si>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</si>
  <si>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</si>
  <si>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</si>
  <si>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</si>
  <si>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</si>
  <si>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</si>
  <si>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</si>
  <si>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</si>
  <si>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</si>
  <si>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</si>
  <si>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</si>
  <si>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</si>
  <si>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</si>
  <si>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</si>
  <si>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</si>
  <si>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</si>
  <si>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</si>
  <si>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</si>
  <si>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</si>
  <si>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</si>
  <si>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</si>
  <si>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</si>
  <si>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</si>
  <si>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</si>
  <si>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</si>
  <si>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</si>
  <si>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</si>
  <si>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</si>
  <si>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</si>
  <si>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</si>
  <si>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</si>
  <si>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</si>
  <si>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</si>
  <si>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</si>
  <si>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</si>
  <si>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</si>
  <si>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</si>
  <si>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</si>
  <si>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</si>
  <si>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</si>
  <si>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</si>
  <si>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</si>
  <si>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</si>
  <si>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</si>
  <si>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</si>
  <si>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</si>
  <si>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</si>
  <si>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</si>
  <si>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</si>
  <si>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</si>
  <si>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</si>
  <si>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</si>
  <si>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</si>
  <si>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</si>
  <si>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</si>
  <si>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</si>
  <si>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</si>
  <si>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</si>
  <si>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</si>
  <si>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</si>
  <si>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</si>
  <si>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</si>
  <si>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</si>
  <si>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</si>
  <si>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</si>
  <si>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</si>
  <si>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</si>
  <si>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</si>
  <si>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</si>
  <si>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</si>
  <si>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</si>
  <si>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</si>
  <si>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</si>
  <si>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</si>
  <si>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</si>
  <si>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</si>
  <si>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</si>
  <si>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</si>
  <si>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</si>
  <si>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</si>
  <si>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</si>
  <si>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</si>
  <si>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</si>
  <si>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</si>
  <si>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</si>
  <si>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</si>
  <si>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</si>
  <si>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</si>
  <si>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</si>
  <si>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</si>
  <si>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</si>
  <si>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</si>
  <si>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</si>
  <si>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</si>
  <si>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</si>
  <si>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</si>
  <si>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</si>
  <si>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</si>
  <si>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</si>
  <si>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</si>
  <si>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</si>
  <si>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</si>
  <si>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</si>
  <si>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</si>
  <si>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</si>
  <si>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</si>
  <si>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</si>
  <si>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</si>
  <si>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</si>
  <si>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</si>
  <si>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</si>
  <si>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</si>
  <si>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</si>
  <si>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</si>
  <si>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</si>
  <si>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</si>
  <si>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</si>
  <si>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</si>
  <si>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</si>
  <si>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</si>
  <si>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</si>
  <si>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</si>
  <si>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</si>
  <si>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</si>
  <si>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</si>
  <si>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</si>
  <si>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</si>
  <si>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</si>
  <si>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</si>
  <si>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</si>
  <si>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</si>
  <si>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</si>
  <si>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</si>
  <si>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</si>
  <si>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</si>
  <si>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</si>
  <si>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</si>
  <si>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</si>
  <si>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</si>
  <si>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</si>
  <si>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</si>
  <si>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</si>
  <si>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</si>
  <si>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</si>
  <si>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</si>
  <si>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</si>
  <si>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</si>
  <si>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</si>
  <si>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</si>
  <si>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</si>
  <si>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</si>
  <si>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</si>
  <si>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</si>
  <si>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</si>
  <si>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</si>
  <si>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</si>
  <si>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</si>
  <si>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</si>
  <si>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</si>
  <si>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</si>
  <si>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</si>
  <si>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</si>
  <si>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</si>
  <si>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</si>
  <si>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</si>
  <si>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</si>
  <si>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</si>
  <si>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</si>
  <si>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</si>
  <si>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</si>
  <si>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</si>
  <si>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</si>
  <si>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</si>
  <si>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</si>
  <si>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</si>
  <si>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</si>
  <si>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</si>
  <si>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</si>
  <si>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</si>
  <si>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</si>
  <si>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</si>
  <si>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</si>
  <si>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</si>
  <si>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</si>
  <si>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</si>
  <si>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</si>
  <si>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</si>
  <si>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</si>
  <si>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</si>
  <si>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</si>
  <si>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</si>
  <si>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</si>
  <si>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</si>
  <si>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</si>
  <si>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</si>
  <si>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</si>
  <si>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</si>
  <si>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</si>
  <si>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</si>
  <si>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</si>
  <si>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</si>
  <si>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</si>
  <si>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</si>
  <si>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</si>
  <si>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</si>
  <si>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</si>
  <si>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</si>
  <si>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</si>
  <si>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</si>
  <si>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</si>
  <si>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</si>
  <si>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</si>
  <si>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</si>
  <si>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</si>
  <si>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</si>
  <si>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</si>
  <si>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</si>
  <si>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</si>
  <si>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</si>
  <si>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</si>
  <si>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</si>
  <si>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</si>
  <si>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</si>
  <si>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</si>
  <si>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</si>
  <si>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</si>
  <si>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</si>
  <si>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</si>
  <si>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</si>
  <si>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</si>
  <si>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</si>
  <si>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</si>
  <si>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</si>
  <si>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</si>
  <si>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</si>
  <si>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</si>
  <si>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</si>
  <si>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</si>
  <si>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</si>
  <si>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</si>
  <si>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</si>
  <si>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</si>
  <si>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</si>
  <si>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</si>
  <si>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</si>
  <si>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</si>
  <si>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</si>
  <si>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</si>
  <si>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</si>
  <si>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</si>
  <si>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</si>
  <si>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</si>
  <si>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</si>
  <si>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</si>
  <si>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</si>
  <si>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</si>
  <si>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</si>
  <si>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</si>
  <si>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</si>
  <si>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</si>
  <si>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</si>
  <si>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</si>
  <si>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</si>
  <si>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</si>
  <si>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</si>
  <si>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</si>
  <si>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</si>
  <si>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</si>
  <si>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</si>
  <si>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</si>
  <si>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</si>
  <si>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</si>
  <si>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</si>
  <si>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</si>
  <si>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</si>
  <si>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</si>
  <si>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</si>
  <si>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</si>
  <si>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</si>
  <si>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</si>
  <si>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</si>
  <si>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</si>
  <si>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</si>
  <si>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</si>
  <si>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</si>
  <si>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</si>
  <si>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</si>
  <si>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</si>
  <si>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</si>
  <si>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</si>
  <si>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</si>
  <si>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</si>
  <si>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</si>
  <si>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</si>
  <si>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</si>
  <si>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</si>
  <si>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</si>
  <si>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</si>
  <si>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</si>
  <si>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</si>
  <si>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</si>
  <si>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</si>
  <si>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</si>
  <si>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</si>
  <si>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</si>
  <si>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</si>
  <si>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</si>
  <si>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</si>
  <si>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</si>
  <si>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</si>
  <si>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</si>
  <si>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</si>
  <si>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</si>
  <si>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</si>
  <si>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</si>
  <si>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</si>
  <si>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</si>
  <si>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</si>
  <si>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</si>
  <si>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</si>
  <si>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</si>
  <si>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</si>
  <si>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</si>
  <si>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</si>
  <si>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</si>
  <si>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</si>
  <si>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</si>
  <si>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</si>
  <si>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</si>
  <si>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</si>
  <si>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</si>
  <si>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</si>
  <si>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</si>
  <si>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</si>
  <si>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</si>
  <si>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</si>
  <si>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</si>
  <si>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</si>
  <si>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</si>
  <si>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</si>
  <si>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</si>
  <si>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</si>
  <si>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</si>
  <si>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</si>
  <si>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</si>
  <si>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</si>
  <si>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</si>
  <si>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</si>
  <si>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</si>
  <si>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</si>
  <si>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</si>
  <si>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</si>
  <si>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</si>
  <si>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</si>
  <si>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</si>
  <si>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</si>
  <si>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</si>
  <si>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</si>
  <si>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</si>
  <si>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</si>
  <si>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</si>
  <si>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</si>
  <si>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</si>
  <si>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</si>
  <si>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</si>
  <si>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</si>
  <si>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</si>
  <si>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</si>
  <si>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</si>
  <si>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</si>
  <si>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</si>
  <si>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</si>
  <si>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</si>
  <si>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</si>
  <si>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</si>
  <si>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</si>
  <si>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</si>
  <si>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</si>
  <si>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</si>
  <si>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</si>
  <si>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</si>
  <si>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</si>
  <si>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</si>
  <si>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</si>
  <si>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</si>
  <si>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</si>
  <si>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</si>
  <si>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</si>
  <si>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</si>
  <si>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</si>
  <si>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</si>
  <si>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</si>
  <si>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</si>
  <si>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</si>
  <si>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</si>
  <si>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</si>
  <si>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Fund 1</t>
  </si>
  <si>
    <t>Fund 7</t>
  </si>
  <si>
    <t>Enrollment estimates updated based on latest available data.  Total difference is less than 3 percent.</t>
  </si>
  <si>
    <t>Enrollment estimates updated based on latest available data.  Total difference in number of credit hours is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</si>
</sst>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1">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08"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09"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49" fontId="72" fillId="32" borderId="39" xfId="0" applyNumberFormat="1" applyFont="1" applyFill="1" applyBorder="1" applyAlignment="1" applyProtection="1">
      <alignment horizontal="left" vertical="top" wrapText="1"/>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North Florida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4024505</v>
      </c>
      <c r="C10" s="456">
        <v>744745</v>
      </c>
      <c r="D10" s="456">
        <v>836850</v>
      </c>
      <c r="E10" s="371">
        <f>SUM(B10:D10)</f>
        <v>5606100</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244416</v>
      </c>
      <c r="C12" s="446">
        <v>22300</v>
      </c>
      <c r="D12" s="446">
        <v>1000</v>
      </c>
      <c r="E12" s="372">
        <f>SUM(B12:D12)</f>
        <v>267716</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1256148</v>
      </c>
      <c r="C14" s="458">
        <v>643550</v>
      </c>
      <c r="D14" s="458">
        <v>120000</v>
      </c>
      <c r="E14" s="372">
        <f t="shared" ref="E14:E20" si="0">SUM(B14:D14)</f>
        <v>2019698</v>
      </c>
      <c r="F14" s="354"/>
    </row>
    <row r="15" spans="1:8" s="17" customFormat="1" ht="20.100000000000001" customHeight="1">
      <c r="A15" s="370" t="s">
        <v>592</v>
      </c>
      <c r="B15" s="457">
        <v>0</v>
      </c>
      <c r="C15" s="446">
        <v>0</v>
      </c>
      <c r="D15" s="446">
        <v>0</v>
      </c>
      <c r="E15" s="372">
        <f>SUM(B15:D15)</f>
        <v>0</v>
      </c>
      <c r="F15" s="354"/>
    </row>
    <row r="16" spans="1:8" s="17" customFormat="1" ht="20.100000000000001" customHeight="1">
      <c r="A16" s="370" t="s">
        <v>593</v>
      </c>
      <c r="B16" s="457">
        <v>1743857</v>
      </c>
      <c r="C16" s="446">
        <v>116250</v>
      </c>
      <c r="D16" s="446">
        <v>3700</v>
      </c>
      <c r="E16" s="372">
        <f t="shared" si="0"/>
        <v>1863807</v>
      </c>
      <c r="F16" s="354"/>
    </row>
    <row r="17" spans="1:6" s="17" customFormat="1" ht="20.100000000000001" customHeight="1">
      <c r="A17" s="370" t="s">
        <v>594</v>
      </c>
      <c r="B17" s="457">
        <v>1827747</v>
      </c>
      <c r="C17" s="446">
        <v>880046</v>
      </c>
      <c r="D17" s="446">
        <v>1500</v>
      </c>
      <c r="E17" s="372">
        <f t="shared" si="0"/>
        <v>2709293</v>
      </c>
      <c r="F17" s="354"/>
    </row>
    <row r="18" spans="1:6" s="17" customFormat="1" ht="20.100000000000001" customHeight="1">
      <c r="A18" s="370" t="s">
        <v>595</v>
      </c>
      <c r="B18" s="457">
        <v>763495</v>
      </c>
      <c r="C18" s="446">
        <v>1582355</v>
      </c>
      <c r="D18" s="446">
        <v>67000</v>
      </c>
      <c r="E18" s="372">
        <f t="shared" si="0"/>
        <v>2412850</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150000</v>
      </c>
      <c r="C20" s="447">
        <v>650000</v>
      </c>
      <c r="D20" s="447">
        <v>75000</v>
      </c>
      <c r="E20" s="372">
        <f t="shared" si="0"/>
        <v>875000</v>
      </c>
      <c r="F20" s="354"/>
    </row>
    <row r="21" spans="1:6" s="17" customFormat="1" ht="24" customHeight="1" thickBot="1">
      <c r="A21" s="295" t="s">
        <v>50</v>
      </c>
      <c r="B21" s="355">
        <f>SUM(B10:B20)</f>
        <v>10010168</v>
      </c>
      <c r="C21" s="358">
        <f>SUM(C10:C20)</f>
        <v>4639246</v>
      </c>
      <c r="D21" s="358">
        <f>SUM(D10:D20)</f>
        <v>1105050</v>
      </c>
      <c r="E21" s="357">
        <f>SUM(E10:E20)</f>
        <v>15754464</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North Florida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136056</v>
      </c>
      <c r="E15" s="773">
        <v>0</v>
      </c>
      <c r="F15" s="774">
        <f t="shared" si="0"/>
        <v>136056</v>
      </c>
      <c r="I15" s="88"/>
      <c r="J15" s="29"/>
      <c r="K15" s="93"/>
      <c r="L15" s="93"/>
      <c r="M15" s="93"/>
      <c r="N15" s="93"/>
    </row>
    <row r="16" spans="1:224" s="17" customFormat="1" ht="30" customHeight="1">
      <c r="A16" s="770" t="s">
        <v>416</v>
      </c>
      <c r="B16" s="771"/>
      <c r="C16" s="772" t="s">
        <v>417</v>
      </c>
      <c r="D16" s="773">
        <v>0</v>
      </c>
      <c r="E16" s="773">
        <v>0</v>
      </c>
      <c r="F16" s="774">
        <f t="shared" si="0"/>
        <v>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50000</v>
      </c>
      <c r="E34" s="773">
        <v>0</v>
      </c>
      <c r="F34" s="774">
        <f t="shared" si="0"/>
        <v>50000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f>5472+958</f>
        <v>6430</v>
      </c>
      <c r="E48" s="773">
        <v>0</v>
      </c>
      <c r="F48" s="774">
        <f t="shared" si="0"/>
        <v>6430</v>
      </c>
    </row>
    <row r="49" spans="1:6" s="17" customFormat="1" ht="30" customHeight="1">
      <c r="A49" s="770" t="s">
        <v>478</v>
      </c>
      <c r="B49" s="771"/>
      <c r="C49" s="772" t="s">
        <v>479</v>
      </c>
      <c r="D49" s="773">
        <v>11356</v>
      </c>
      <c r="E49" s="773">
        <v>0</v>
      </c>
      <c r="F49" s="774">
        <f t="shared" si="0"/>
        <v>11356</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9354</v>
      </c>
      <c r="E54" s="773">
        <v>0</v>
      </c>
      <c r="F54" s="774">
        <f t="shared" si="0"/>
        <v>9354</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213196</v>
      </c>
      <c r="E57" s="270">
        <f>SUM(E10:E56)</f>
        <v>0</v>
      </c>
      <c r="F57" s="270">
        <f t="shared" si="0"/>
        <v>213196</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2500</v>
      </c>
      <c r="E64" s="459">
        <v>0</v>
      </c>
      <c r="F64" s="236">
        <f t="shared" si="0"/>
        <v>2500</v>
      </c>
    </row>
    <row r="65" spans="1:6" s="17" customFormat="1" ht="30" customHeight="1">
      <c r="A65" s="770" t="s">
        <v>497</v>
      </c>
      <c r="B65" s="771"/>
      <c r="C65" s="780" t="s">
        <v>498</v>
      </c>
      <c r="D65" s="773">
        <v>30</v>
      </c>
      <c r="E65" s="773">
        <v>0</v>
      </c>
      <c r="F65" s="774">
        <f t="shared" si="0"/>
        <v>30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0</v>
      </c>
      <c r="E67" s="773">
        <v>0</v>
      </c>
      <c r="F67" s="774">
        <f t="shared" si="0"/>
        <v>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100</v>
      </c>
      <c r="E73" s="773">
        <v>0</v>
      </c>
      <c r="F73" s="774">
        <f t="shared" si="0"/>
        <v>100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0</v>
      </c>
      <c r="E76" s="773">
        <v>0</v>
      </c>
      <c r="F76" s="774">
        <f t="shared" si="1"/>
        <v>0</v>
      </c>
    </row>
    <row r="77" spans="1:6" s="17" customFormat="1" ht="30" customHeight="1">
      <c r="A77" s="770" t="s">
        <v>518</v>
      </c>
      <c r="B77" s="771"/>
      <c r="C77" s="780" t="s">
        <v>519</v>
      </c>
      <c r="D77" s="773">
        <v>300</v>
      </c>
      <c r="E77" s="773">
        <v>0</v>
      </c>
      <c r="F77" s="774">
        <f t="shared" si="1"/>
        <v>300</v>
      </c>
    </row>
    <row r="78" spans="1:6" s="17" customFormat="1" ht="30" customHeight="1">
      <c r="A78" s="770" t="s">
        <v>520</v>
      </c>
      <c r="B78" s="771"/>
      <c r="C78" s="780" t="s">
        <v>521</v>
      </c>
      <c r="D78" s="773">
        <v>1000</v>
      </c>
      <c r="E78" s="773">
        <v>0</v>
      </c>
      <c r="F78" s="774">
        <f t="shared" si="1"/>
        <v>1000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3930</v>
      </c>
      <c r="E93" s="266">
        <f>SUM(E64:E92)</f>
        <v>0</v>
      </c>
      <c r="F93" s="266">
        <f t="shared" si="1"/>
        <v>3930</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19" t="s">
        <v>701</v>
      </c>
      <c r="B103" s="1120"/>
      <c r="C103" s="1121">
        <v>73001</v>
      </c>
      <c r="D103" s="1145">
        <v>0</v>
      </c>
      <c r="E103" s="1145">
        <v>0</v>
      </c>
      <c r="F103" s="1078">
        <f t="shared" si="1"/>
        <v>0</v>
      </c>
    </row>
    <row r="104" spans="1:6" s="17" customFormat="1" ht="30" customHeight="1">
      <c r="A104" s="1122" t="s">
        <v>702</v>
      </c>
      <c r="B104" s="1123"/>
      <c r="C104" s="1124">
        <v>73002</v>
      </c>
      <c r="D104" s="1146">
        <v>0</v>
      </c>
      <c r="E104" s="1146">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217126</v>
      </c>
      <c r="E113" s="266">
        <f>+E57+E93+E111</f>
        <v>0</v>
      </c>
      <c r="F113" s="266">
        <f>SUM(D113:E113)</f>
        <v>217126</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69026</v>
      </c>
      <c r="E118" s="773">
        <v>0</v>
      </c>
      <c r="F118" s="774">
        <f t="shared" ref="F118:F128" si="3">+D118+E118</f>
        <v>69026</v>
      </c>
    </row>
    <row r="119" spans="1:6" s="69" customFormat="1" ht="30" customHeight="1">
      <c r="A119" s="770" t="s">
        <v>618</v>
      </c>
      <c r="B119" s="615"/>
      <c r="C119" s="782"/>
      <c r="D119" s="1103">
        <f>'EXHIBIT C'!F19</f>
        <v>17101</v>
      </c>
      <c r="E119" s="773">
        <v>0</v>
      </c>
      <c r="F119" s="774">
        <f t="shared" si="3"/>
        <v>17101</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130999</v>
      </c>
      <c r="E123" s="773">
        <v>0</v>
      </c>
      <c r="F123" s="774">
        <f t="shared" si="3"/>
        <v>130999</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217126</v>
      </c>
      <c r="E129" s="260">
        <f>SUM(E117:E128)</f>
        <v>0</v>
      </c>
      <c r="F129" s="261">
        <f>SUM(F117:F128)</f>
        <v>217126</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3"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4">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3"/>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3">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2"/>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1"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5">
        <v>1521.3588197412328</v>
      </c>
      <c r="I111" s="1136">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7">
        <v>5837.5073015000162</v>
      </c>
      <c r="I112" s="1138">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7">
        <v>1075.7106295853951</v>
      </c>
      <c r="I113" s="1138">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7">
        <v>163.33010648596323</v>
      </c>
      <c r="I114" s="1138">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7">
        <v>1904.5630637291142</v>
      </c>
      <c r="I115" s="1138">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7">
        <v>343.97809523809525</v>
      </c>
      <c r="I116" s="1138">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7">
        <v>2928.0981193785769</v>
      </c>
      <c r="I117" s="1138">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7">
        <v>235.06822880771881</v>
      </c>
      <c r="I118" s="1138">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7">
        <v>495.82181885534357</v>
      </c>
      <c r="I119" s="1138">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7">
        <v>4447.9587874659401</v>
      </c>
      <c r="I120" s="1138">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7">
        <v>2080.5948006613999</v>
      </c>
      <c r="I121" s="1138">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7">
        <v>341.11536358665938</v>
      </c>
      <c r="I122" s="1138">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7">
        <v>416.33072677092918</v>
      </c>
      <c r="I123" s="1138">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7">
        <v>591.90598713508166</v>
      </c>
      <c r="I124" s="1138">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7">
        <v>4037.4676471311577</v>
      </c>
      <c r="I125" s="1138">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7">
        <v>93.426336375488916</v>
      </c>
      <c r="I126" s="1138">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7">
        <v>488.70819672131142</v>
      </c>
      <c r="I127" s="1138">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7">
        <v>1319.1051714119699</v>
      </c>
      <c r="I128" s="1138">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7">
        <v>1506.2325516314995</v>
      </c>
      <c r="I129" s="1138">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7">
        <v>992.05412371134025</v>
      </c>
      <c r="I130" s="1138">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7">
        <v>1152.4091344618334</v>
      </c>
      <c r="I131" s="1138">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7">
        <v>605.7775961780236</v>
      </c>
      <c r="I132" s="1138">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7">
        <v>3688.2180216031838</v>
      </c>
      <c r="I133" s="1138">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7">
        <v>1933.6501919618993</v>
      </c>
      <c r="I134" s="1138">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7">
        <v>2390.8582342651098</v>
      </c>
      <c r="I135" s="1138">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7">
        <v>0.8125</v>
      </c>
      <c r="I136" s="1138">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7">
        <v>1305.0127118644068</v>
      </c>
      <c r="I137" s="1138">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39">
        <v>7151.3431840866961</v>
      </c>
      <c r="I138" s="1140">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2" t="s">
        <v>753</v>
      </c>
      <c r="B147" s="1051"/>
      <c r="C147" s="1131"/>
      <c r="D147" s="1131"/>
    </row>
    <row r="148" spans="1:4" ht="21.75" thickBot="1">
      <c r="A148" s="62"/>
      <c r="B148" s="63" t="s">
        <v>766</v>
      </c>
    </row>
    <row r="149" spans="1:4" ht="21.75" thickBot="1">
      <c r="A149" s="62">
        <v>1</v>
      </c>
      <c r="B149" s="52">
        <v>2</v>
      </c>
    </row>
    <row r="150" spans="1:4" ht="57" customHeight="1" thickBot="1">
      <c r="A150" s="38" t="s">
        <v>156</v>
      </c>
      <c r="B150" s="1127" t="s">
        <v>765</v>
      </c>
    </row>
    <row r="151" spans="1:4" ht="63.75" thickBot="1">
      <c r="A151" s="292" t="s">
        <v>17</v>
      </c>
      <c r="B151" s="23" t="s">
        <v>156</v>
      </c>
    </row>
    <row r="152" spans="1:4">
      <c r="A152" s="410" t="s">
        <v>21</v>
      </c>
      <c r="B152" s="1128">
        <v>1004407</v>
      </c>
    </row>
    <row r="153" spans="1:4">
      <c r="A153" s="390" t="s">
        <v>22</v>
      </c>
      <c r="B153" s="1129">
        <v>2716373</v>
      </c>
    </row>
    <row r="154" spans="1:4">
      <c r="A154" s="390" t="s">
        <v>23</v>
      </c>
      <c r="B154" s="1129">
        <v>609302</v>
      </c>
    </row>
    <row r="155" spans="1:4">
      <c r="A155" s="390" t="s">
        <v>24</v>
      </c>
      <c r="B155" s="1129">
        <v>206774</v>
      </c>
    </row>
    <row r="156" spans="1:4">
      <c r="A156" s="390" t="s">
        <v>25</v>
      </c>
      <c r="B156" s="1129">
        <v>757867</v>
      </c>
    </row>
    <row r="157" spans="1:4">
      <c r="A157" s="390" t="s">
        <v>26</v>
      </c>
      <c r="B157" s="1129">
        <v>858371</v>
      </c>
    </row>
    <row r="158" spans="1:4">
      <c r="A158" s="390" t="s">
        <v>27</v>
      </c>
      <c r="B158" s="1129">
        <v>1828775</v>
      </c>
    </row>
    <row r="159" spans="1:4">
      <c r="A159" s="390" t="s">
        <v>28</v>
      </c>
      <c r="B159" s="1129">
        <v>62550</v>
      </c>
    </row>
    <row r="160" spans="1:4">
      <c r="A160" s="390" t="s">
        <v>29</v>
      </c>
      <c r="B160" s="1129">
        <v>302379</v>
      </c>
    </row>
    <row r="161" spans="1:2">
      <c r="A161" s="390" t="s">
        <v>30</v>
      </c>
      <c r="B161" s="1129">
        <v>1281953</v>
      </c>
    </row>
    <row r="162" spans="1:2">
      <c r="A162" s="390" t="s">
        <v>31</v>
      </c>
      <c r="B162" s="1129">
        <v>859530</v>
      </c>
    </row>
    <row r="163" spans="1:2">
      <c r="A163" s="390" t="s">
        <v>32</v>
      </c>
      <c r="B163" s="1129">
        <v>239130</v>
      </c>
    </row>
    <row r="164" spans="1:2">
      <c r="A164" s="390" t="s">
        <v>33</v>
      </c>
      <c r="B164" s="1129">
        <v>338782</v>
      </c>
    </row>
    <row r="165" spans="1:2">
      <c r="A165" s="390" t="s">
        <v>34</v>
      </c>
      <c r="B165" s="1129">
        <v>590443</v>
      </c>
    </row>
    <row r="166" spans="1:2">
      <c r="A166" s="390" t="s">
        <v>35</v>
      </c>
      <c r="B166" s="1129">
        <v>4236132</v>
      </c>
    </row>
    <row r="167" spans="1:2">
      <c r="A167" s="390" t="s">
        <v>36</v>
      </c>
      <c r="B167" s="1129">
        <v>101236</v>
      </c>
    </row>
    <row r="168" spans="1:2">
      <c r="A168" s="390" t="s">
        <v>37</v>
      </c>
      <c r="B168" s="1129">
        <v>255008</v>
      </c>
    </row>
    <row r="169" spans="1:2">
      <c r="A169" s="390" t="s">
        <v>38</v>
      </c>
      <c r="B169" s="1129">
        <v>1524062</v>
      </c>
    </row>
    <row r="170" spans="1:2">
      <c r="A170" s="390" t="s">
        <v>39</v>
      </c>
      <c r="B170" s="1129">
        <v>685955</v>
      </c>
    </row>
    <row r="171" spans="1:2">
      <c r="A171" s="390" t="s">
        <v>40</v>
      </c>
      <c r="B171" s="1129">
        <v>469614</v>
      </c>
    </row>
    <row r="172" spans="1:2">
      <c r="A172" s="390" t="s">
        <v>41</v>
      </c>
      <c r="B172" s="1129">
        <v>524793</v>
      </c>
    </row>
    <row r="173" spans="1:2">
      <c r="A173" s="390" t="s">
        <v>42</v>
      </c>
      <c r="B173" s="1129">
        <v>320730</v>
      </c>
    </row>
    <row r="174" spans="1:2">
      <c r="A174" s="390" t="s">
        <v>43</v>
      </c>
      <c r="B174" s="1129">
        <v>1764500</v>
      </c>
    </row>
    <row r="175" spans="1:2">
      <c r="A175" s="390" t="s">
        <v>44</v>
      </c>
      <c r="B175" s="1129">
        <v>1130815</v>
      </c>
    </row>
    <row r="176" spans="1:2">
      <c r="A176" s="390" t="s">
        <v>45</v>
      </c>
      <c r="B176" s="1129">
        <v>1743287</v>
      </c>
    </row>
    <row r="177" spans="1:2">
      <c r="A177" s="390" t="s">
        <v>46</v>
      </c>
      <c r="B177" s="1129">
        <v>204592</v>
      </c>
    </row>
    <row r="178" spans="1:2">
      <c r="A178" s="390" t="s">
        <v>48</v>
      </c>
      <c r="B178" s="1129">
        <v>657964</v>
      </c>
    </row>
    <row r="179" spans="1:2" ht="21.75" thickBot="1">
      <c r="A179" s="391" t="s">
        <v>49</v>
      </c>
      <c r="B179" s="1130">
        <v>4724676</v>
      </c>
    </row>
    <row r="180" spans="1:2" ht="24" thickBot="1">
      <c r="A180" s="392" t="s">
        <v>50</v>
      </c>
      <c r="B180" s="433">
        <f>SUM(B152:B179)</f>
        <v>30000000</v>
      </c>
    </row>
    <row r="182" spans="1:2" ht="36.75" thickBot="1">
      <c r="A182" s="1132" t="s">
        <v>753</v>
      </c>
      <c r="B182" s="1051"/>
    </row>
    <row r="183" spans="1:2" ht="21.75" thickBot="1">
      <c r="A183" s="62"/>
      <c r="B183" s="63" t="s">
        <v>766</v>
      </c>
    </row>
    <row r="184" spans="1:2" ht="21.75" thickBot="1">
      <c r="A184" s="62">
        <v>1</v>
      </c>
      <c r="B184" s="52">
        <v>2</v>
      </c>
    </row>
    <row r="185" spans="1:2" ht="54" thickBot="1">
      <c r="A185" s="1133" t="s">
        <v>708</v>
      </c>
      <c r="B185" s="1127" t="s">
        <v>765</v>
      </c>
    </row>
    <row r="186" spans="1:2" ht="42.75" thickBot="1">
      <c r="A186" s="292" t="s">
        <v>17</v>
      </c>
      <c r="B186" s="23" t="s">
        <v>708</v>
      </c>
    </row>
    <row r="187" spans="1:2">
      <c r="A187" s="410" t="s">
        <v>21</v>
      </c>
      <c r="B187" s="1134">
        <v>1361076</v>
      </c>
    </row>
    <row r="188" spans="1:2">
      <c r="A188" s="390" t="s">
        <v>22</v>
      </c>
      <c r="B188" s="1129">
        <v>1664598</v>
      </c>
    </row>
    <row r="189" spans="1:2">
      <c r="A189" s="390" t="s">
        <v>23</v>
      </c>
      <c r="B189" s="1129">
        <v>814514</v>
      </c>
    </row>
    <row r="190" spans="1:2">
      <c r="A190" s="390" t="s">
        <v>24</v>
      </c>
      <c r="B190" s="1129">
        <v>494178</v>
      </c>
    </row>
    <row r="191" spans="1:2">
      <c r="A191" s="390" t="s">
        <v>25</v>
      </c>
      <c r="B191" s="1129">
        <v>2454251</v>
      </c>
    </row>
    <row r="192" spans="1:2">
      <c r="A192" s="390" t="s">
        <v>26</v>
      </c>
      <c r="B192" s="1129">
        <v>1601835</v>
      </c>
    </row>
    <row r="193" spans="1:2">
      <c r="A193" s="390" t="s">
        <v>27</v>
      </c>
      <c r="B193" s="1129">
        <v>2154031</v>
      </c>
    </row>
    <row r="194" spans="1:2">
      <c r="A194" s="390" t="s">
        <v>28</v>
      </c>
      <c r="B194" s="1129">
        <v>748137</v>
      </c>
    </row>
    <row r="195" spans="1:2">
      <c r="A195" s="390" t="s">
        <v>29</v>
      </c>
      <c r="B195" s="1129">
        <v>1777524</v>
      </c>
    </row>
    <row r="196" spans="1:2">
      <c r="A196" s="390" t="s">
        <v>30</v>
      </c>
      <c r="B196" s="1129">
        <v>714831</v>
      </c>
    </row>
    <row r="197" spans="1:2">
      <c r="A197" s="390" t="s">
        <v>31</v>
      </c>
      <c r="B197" s="1129">
        <v>1713555</v>
      </c>
    </row>
    <row r="198" spans="1:2">
      <c r="A198" s="390" t="s">
        <v>32</v>
      </c>
      <c r="B198" s="1129">
        <v>1501485</v>
      </c>
    </row>
    <row r="199" spans="1:2">
      <c r="A199" s="390" t="s">
        <v>33</v>
      </c>
      <c r="B199" s="1129">
        <v>764607</v>
      </c>
    </row>
    <row r="200" spans="1:2">
      <c r="A200" s="390" t="s">
        <v>34</v>
      </c>
      <c r="B200" s="1129">
        <v>1862607</v>
      </c>
    </row>
    <row r="201" spans="1:2">
      <c r="A201" s="390" t="s">
        <v>35</v>
      </c>
      <c r="B201" s="1129">
        <v>2299040</v>
      </c>
    </row>
    <row r="202" spans="1:2">
      <c r="A202" s="390" t="s">
        <v>36</v>
      </c>
      <c r="B202" s="1129">
        <v>1610425</v>
      </c>
    </row>
    <row r="203" spans="1:2">
      <c r="A203" s="390" t="s">
        <v>37</v>
      </c>
      <c r="B203" s="1129">
        <v>666964</v>
      </c>
    </row>
    <row r="204" spans="1:2">
      <c r="A204" s="390" t="s">
        <v>38</v>
      </c>
      <c r="B204" s="1129">
        <v>1576533</v>
      </c>
    </row>
    <row r="205" spans="1:2">
      <c r="A205" s="390" t="s">
        <v>39</v>
      </c>
      <c r="B205" s="1129">
        <v>1722262</v>
      </c>
    </row>
    <row r="206" spans="1:2">
      <c r="A206" s="390" t="s">
        <v>40</v>
      </c>
      <c r="B206" s="1129">
        <v>1053760</v>
      </c>
    </row>
    <row r="207" spans="1:2">
      <c r="A207" s="390" t="s">
        <v>41</v>
      </c>
      <c r="B207" s="1129">
        <v>1348353</v>
      </c>
    </row>
    <row r="208" spans="1:2">
      <c r="A208" s="390" t="s">
        <v>42</v>
      </c>
      <c r="B208" s="1129">
        <v>959639</v>
      </c>
    </row>
    <row r="209" spans="1:2">
      <c r="A209" s="390" t="s">
        <v>43</v>
      </c>
      <c r="B209" s="1129">
        <v>2073253</v>
      </c>
    </row>
    <row r="210" spans="1:2">
      <c r="A210" s="390" t="s">
        <v>44</v>
      </c>
      <c r="B210" s="1129">
        <v>1446897</v>
      </c>
    </row>
    <row r="211" spans="1:2">
      <c r="A211" s="390" t="s">
        <v>45</v>
      </c>
      <c r="B211" s="1129">
        <v>1538643</v>
      </c>
    </row>
    <row r="212" spans="1:2">
      <c r="A212" s="390" t="s">
        <v>46</v>
      </c>
      <c r="B212" s="1129">
        <v>1471106</v>
      </c>
    </row>
    <row r="213" spans="1:2">
      <c r="A213" s="390" t="s">
        <v>48</v>
      </c>
      <c r="B213" s="1129">
        <v>924068</v>
      </c>
    </row>
    <row r="214" spans="1:2" ht="21.75" thickBot="1">
      <c r="A214" s="391" t="s">
        <v>49</v>
      </c>
      <c r="B214" s="1130">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8"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36</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0.24990212668706582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930</v>
      </c>
      <c r="E44" s="114">
        <f>+'EXHIBIT C'!F10</f>
        <v>752</v>
      </c>
      <c r="F44" s="115">
        <f t="shared" ref="F44:F50" si="0">IF(D44=0,"0",(E44/D44-1))</f>
        <v>-0.1913978494623656</v>
      </c>
      <c r="G44" s="116" t="str">
        <f t="shared" ref="G44:G50" si="1">IF(OR(F44&gt;3%, F44&lt;-3%),"YES","NO")</f>
        <v>YES</v>
      </c>
      <c r="H44" s="88"/>
    </row>
    <row r="45" spans="1:8" ht="20.100000000000001" customHeight="1">
      <c r="C45" s="117" t="s">
        <v>132</v>
      </c>
      <c r="D45" s="664">
        <f>VLOOKUP($D$7,VLOOKUP!$A$111:$S$139,5)*30+D60</f>
        <v>11597.595638183768</v>
      </c>
      <c r="E45" s="118">
        <f>+'EXHIBIT C'!F11</f>
        <v>9976</v>
      </c>
      <c r="F45" s="665">
        <f t="shared" si="0"/>
        <v>-0.13982170863457666</v>
      </c>
      <c r="G45" s="666" t="str">
        <f t="shared" si="1"/>
        <v>YES</v>
      </c>
      <c r="H45" s="88"/>
    </row>
    <row r="46" spans="1:8" ht="20.100000000000001" customHeight="1">
      <c r="C46" s="667" t="s">
        <v>133</v>
      </c>
      <c r="D46" s="668">
        <f>VLOOKUP($D$7,VLOOKUP!$A$111:$S$139,8)*30</f>
        <v>2802.7900912646674</v>
      </c>
      <c r="E46" s="669">
        <f>+'EXHIBIT C'!F12</f>
        <v>3053</v>
      </c>
      <c r="F46" s="665">
        <f t="shared" si="0"/>
        <v>8.9271725883130149E-2</v>
      </c>
      <c r="G46" s="666" t="str">
        <f t="shared" si="1"/>
        <v>YES</v>
      </c>
      <c r="H46" s="88"/>
    </row>
    <row r="47" spans="1:8" ht="20.100000000000001" customHeight="1">
      <c r="C47" s="667" t="s">
        <v>82</v>
      </c>
      <c r="D47" s="668">
        <f>VLOOKUP($D$7,VLOOKUP!$A$111:$S$139,17)*30</f>
        <v>1204.7058823529412</v>
      </c>
      <c r="E47" s="669">
        <f>+'EXHIBIT C'!F13</f>
        <v>3190</v>
      </c>
      <c r="F47" s="665">
        <f t="shared" si="0"/>
        <v>1.64794921875</v>
      </c>
      <c r="G47" s="666" t="str">
        <f t="shared" si="1"/>
        <v>YES</v>
      </c>
      <c r="H47" s="88"/>
    </row>
    <row r="48" spans="1:8" ht="20.100000000000001" customHeight="1">
      <c r="C48" s="667" t="s">
        <v>134</v>
      </c>
      <c r="D48" s="668">
        <f>VLOOKUP($D$7,VLOOKUP!$A$111:$S$139,11)*30</f>
        <v>265.38461538461542</v>
      </c>
      <c r="E48" s="669">
        <f>+'EXHIBIT C'!F14</f>
        <v>210</v>
      </c>
      <c r="F48" s="665">
        <f t="shared" si="0"/>
        <v>-0.20869565217391317</v>
      </c>
      <c r="G48" s="666" t="str">
        <f t="shared" si="1"/>
        <v>YES</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16800.476227185995</v>
      </c>
      <c r="E50" s="121">
        <f>+'EXHIBIT C'!F17</f>
        <v>17181</v>
      </c>
      <c r="F50" s="122">
        <f t="shared" si="0"/>
        <v>2.2649582527800804E-2</v>
      </c>
      <c r="G50" s="123" t="str">
        <f t="shared" si="1"/>
        <v>NO</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47" t="s">
        <v>783</v>
      </c>
      <c r="D53" s="1109"/>
      <c r="E53" s="1109"/>
      <c r="F53" s="1109"/>
      <c r="G53" s="1110"/>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88</v>
      </c>
      <c r="F59" s="676" t="str">
        <f t="shared" ref="F59:F65" si="2">IF(D59=0,"0",(E59/D59-1))</f>
        <v>0</v>
      </c>
      <c r="G59" s="677" t="str">
        <f>IF(OR(F59&gt;5%, F59&lt;-5%),"YES","NO")</f>
        <v>NO</v>
      </c>
    </row>
    <row r="60" spans="3:8" ht="20.100000000000001" customHeight="1">
      <c r="C60" s="117" t="s">
        <v>132</v>
      </c>
      <c r="D60" s="675">
        <f>VLOOKUP($D$7,VLOOKUP!$A$111:$S$139,6)*30</f>
        <v>316.72148730782976</v>
      </c>
      <c r="E60" s="131">
        <f>+'EXHIBIT C'!D20</f>
        <v>698</v>
      </c>
      <c r="F60" s="676">
        <f t="shared" si="2"/>
        <v>1.2038290042557036</v>
      </c>
      <c r="G60" s="677" t="str">
        <f t="shared" ref="G60:G65" si="3">IF(OR(F60&gt;5%, F60&lt;-5%),"YES","NO")</f>
        <v>YES</v>
      </c>
      <c r="H60" s="88"/>
    </row>
    <row r="61" spans="3:8" ht="20.100000000000001" customHeight="1">
      <c r="C61" s="667" t="s">
        <v>133</v>
      </c>
      <c r="D61" s="678">
        <f>VLOOKUP($D$7,VLOOKUP!$A$111:$S$139,9)*30</f>
        <v>291.47327249022163</v>
      </c>
      <c r="E61" s="679">
        <f>+'EXHIBIT C'!D21</f>
        <v>160</v>
      </c>
      <c r="F61" s="676">
        <f t="shared" si="2"/>
        <v>-0.45106459116120945</v>
      </c>
      <c r="G61" s="677" t="str">
        <f t="shared" si="3"/>
        <v>YES</v>
      </c>
      <c r="H61" s="88"/>
    </row>
    <row r="62" spans="3:8" ht="20.100000000000001" customHeight="1">
      <c r="C62" s="667" t="s">
        <v>82</v>
      </c>
      <c r="D62" s="678">
        <f>VLOOKUP($D$7,VLOOKUP!$A$111:$S$139,18)*30</f>
        <v>101.17647058823529</v>
      </c>
      <c r="E62" s="679">
        <f>+'EXHIBIT C'!D22</f>
        <v>101</v>
      </c>
      <c r="F62" s="676">
        <f t="shared" si="2"/>
        <v>-1.7441860465116088E-3</v>
      </c>
      <c r="G62" s="677" t="str">
        <f t="shared" si="3"/>
        <v>NO</v>
      </c>
      <c r="H62" s="88"/>
    </row>
    <row r="63" spans="3:8" ht="20.100000000000001" customHeight="1">
      <c r="C63" s="667" t="s">
        <v>134</v>
      </c>
      <c r="D63" s="678">
        <f>VLOOKUP($D$7,VLOOKUP!$A$111:$S$139,12)*30</f>
        <v>34.61538461538462</v>
      </c>
      <c r="E63" s="679">
        <f>+'EXHIBIT C'!D23</f>
        <v>35</v>
      </c>
      <c r="F63" s="676">
        <f t="shared" si="2"/>
        <v>1.1111111111111072E-2</v>
      </c>
      <c r="G63" s="677" t="str">
        <f t="shared" si="3"/>
        <v>NO</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743.98661500167123</v>
      </c>
      <c r="E65" s="133">
        <f>SUM(E59:E64)</f>
        <v>1082</v>
      </c>
      <c r="F65" s="134">
        <f t="shared" si="2"/>
        <v>0.4543272394726745</v>
      </c>
      <c r="G65" s="135" t="str">
        <f t="shared" si="3"/>
        <v>YES</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47" t="s">
        <v>784</v>
      </c>
      <c r="D68" s="1111"/>
      <c r="E68" s="1111"/>
      <c r="F68" s="1111"/>
      <c r="G68" s="1112"/>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8854398</v>
      </c>
      <c r="E84" s="1149">
        <f>+'EXHIBIT D'!G75</f>
        <v>8854398</v>
      </c>
      <c r="F84" s="1149">
        <f>D84-E84</f>
        <v>0</v>
      </c>
      <c r="G84" s="88"/>
      <c r="H84" s="88"/>
    </row>
    <row r="85" spans="1:8" ht="20.100000000000001" customHeight="1">
      <c r="A85" s="98"/>
      <c r="B85" s="98"/>
      <c r="C85" s="688" t="s">
        <v>156</v>
      </c>
      <c r="D85" s="687">
        <f>VLOOKUP($D$7,VLOOKUP!$A$152:$B$180,2)</f>
        <v>101236</v>
      </c>
      <c r="E85" s="1149">
        <f>'EXHIBIT D'!G77</f>
        <v>101236</v>
      </c>
      <c r="F85" s="1149">
        <f>D85-E85</f>
        <v>0</v>
      </c>
      <c r="G85" s="88"/>
      <c r="H85" s="88"/>
    </row>
    <row r="86" spans="1:8" ht="20.100000000000001" customHeight="1">
      <c r="A86" s="98"/>
      <c r="B86" s="98"/>
      <c r="C86" s="688" t="s">
        <v>157</v>
      </c>
      <c r="D86" s="687">
        <f>VLOOKUP($D$7,VLOOKUP!$A$7:$E$35,3)</f>
        <v>1752281</v>
      </c>
      <c r="E86" s="1149">
        <f>'EXHIBIT D'!G81</f>
        <v>1752281</v>
      </c>
      <c r="F86" s="1149">
        <f>D86-E86</f>
        <v>0</v>
      </c>
      <c r="G86" s="88"/>
      <c r="H86" s="88"/>
    </row>
    <row r="87" spans="1:8" ht="20.100000000000001" customHeight="1" thickBot="1">
      <c r="A87" s="97"/>
      <c r="B87" s="97"/>
      <c r="C87" s="143" t="s">
        <v>708</v>
      </c>
      <c r="D87" s="687">
        <f>VLOOKUP($D$7,VLOOKUP!$A$187:$B$215,2)</f>
        <v>1610425</v>
      </c>
      <c r="E87" s="1150">
        <f>'EXHIBIT D'!G76</f>
        <v>1610425</v>
      </c>
      <c r="F87" s="1149">
        <f>D87-E87</f>
        <v>0</v>
      </c>
      <c r="G87" s="88"/>
      <c r="H87" s="88"/>
    </row>
    <row r="88" spans="1:8" ht="20.100000000000001" customHeight="1" thickBot="1">
      <c r="A88" s="97"/>
      <c r="B88" s="97"/>
      <c r="C88" s="144" t="s">
        <v>158</v>
      </c>
      <c r="D88" s="145">
        <f>SUM(D84:D87)</f>
        <v>12318340</v>
      </c>
      <c r="E88" s="145">
        <f>SUM(E84:E87)</f>
        <v>12318340</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5315379</v>
      </c>
      <c r="D101" s="836" t="s">
        <v>721</v>
      </c>
      <c r="E101" s="836"/>
      <c r="F101" s="836"/>
      <c r="G101" s="88"/>
      <c r="H101" s="88"/>
    </row>
    <row r="102" spans="1:8" ht="20.100000000000001" customHeight="1">
      <c r="A102" s="95"/>
      <c r="B102" s="95"/>
      <c r="C102" s="691">
        <f>'EXHIBIT D'!G266-'EXHIBIT D'!G252-'EXHIBIT D'!G264</f>
        <v>5315379</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5833239</v>
      </c>
      <c r="D108" s="17" t="s">
        <v>723</v>
      </c>
    </row>
    <row r="109" spans="1:8" ht="26.25" customHeight="1">
      <c r="A109" s="151"/>
      <c r="B109" s="151"/>
      <c r="C109" s="693">
        <f>'EXHIBIT A'!E36</f>
        <v>5833239</v>
      </c>
      <c r="D109" s="17" t="s">
        <v>724</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91.789893617021278</v>
      </c>
      <c r="D119" s="17" t="s">
        <v>87</v>
      </c>
    </row>
    <row r="120" spans="1:8" ht="20.100000000000001" customHeight="1">
      <c r="C120" s="158"/>
    </row>
    <row r="121" spans="1:8" ht="20.100000000000001" customHeight="1">
      <c r="C121" s="159">
        <f>IF('EXHIBIT G'!D119=0,"No Credit Hours or Not Applicable",('EXHIBIT G'!D119/'EXHIBIT C'!D19))</f>
        <v>194.32954545454547</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3"/>
      <c r="D138" s="1114"/>
      <c r="E138" s="1114"/>
      <c r="F138" s="1114"/>
      <c r="G138" s="1115"/>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LsioF+sANdMdq8r/1IesI+7jmraGl4hLUUETyGjNJijiS6m44nhEBMBzcytGFTH8nNiEh1Np5tl68TiNWs2fIQ==" saltValue="toDPk84MhmxKTCX5eq0Xy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North Florida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f>6265085-E14</f>
        <v>431846</v>
      </c>
    </row>
    <row r="14" spans="2:7" ht="25.35" customHeight="1">
      <c r="B14" s="17" t="s">
        <v>180</v>
      </c>
      <c r="D14" s="28"/>
      <c r="E14" s="585">
        <v>5833239</v>
      </c>
    </row>
    <row r="15" spans="2:7" ht="25.35" customHeight="1">
      <c r="B15" s="28"/>
      <c r="D15" s="28"/>
      <c r="E15" s="164"/>
    </row>
    <row r="16" spans="2:7" ht="25.35" customHeight="1">
      <c r="B16" s="17" t="s">
        <v>735</v>
      </c>
      <c r="C16" s="28"/>
      <c r="D16" s="28"/>
      <c r="E16" s="586">
        <f>+E14+E13</f>
        <v>6265085</v>
      </c>
    </row>
    <row r="17" spans="2:7" ht="25.35" customHeight="1">
      <c r="B17" s="28"/>
      <c r="C17" s="28"/>
      <c r="D17" s="28"/>
      <c r="E17" s="165"/>
    </row>
    <row r="18" spans="2:7" ht="25.35" customHeight="1">
      <c r="B18" s="17" t="s">
        <v>181</v>
      </c>
      <c r="C18" s="28"/>
      <c r="D18" s="28"/>
      <c r="E18" s="175">
        <f>+'EXHIBIT D'!G142-SUM(+'EXHIBIT D'!G132+'EXHIBIT D'!G133)</f>
        <v>14960758</v>
      </c>
      <c r="G18" s="138"/>
    </row>
    <row r="19" spans="2:7" ht="25.35" customHeight="1">
      <c r="B19" s="17" t="s">
        <v>182</v>
      </c>
      <c r="D19" s="28"/>
      <c r="E19" s="586">
        <f>+'EXHIBIT D'!G132+'EXHIBIT D'!G133</f>
        <v>44000</v>
      </c>
    </row>
    <row r="20" spans="2:7" ht="25.35" customHeight="1">
      <c r="B20" s="28"/>
      <c r="D20" s="28"/>
      <c r="E20" s="170"/>
    </row>
    <row r="21" spans="2:7" ht="25.35" customHeight="1">
      <c r="B21" s="17" t="s">
        <v>183</v>
      </c>
      <c r="C21" s="28"/>
      <c r="D21" s="28"/>
      <c r="E21" s="587">
        <f>+E19+E18</f>
        <v>15004758</v>
      </c>
    </row>
    <row r="22" spans="2:7" ht="25.35" customHeight="1">
      <c r="B22" s="28"/>
      <c r="C22" s="28"/>
      <c r="D22" s="28"/>
      <c r="E22" s="170"/>
    </row>
    <row r="23" spans="2:7" ht="25.35" customHeight="1">
      <c r="B23" s="28" t="s">
        <v>184</v>
      </c>
      <c r="C23" s="28"/>
      <c r="D23" s="28"/>
      <c r="E23" s="587">
        <f>+E21+E16</f>
        <v>21269843</v>
      </c>
    </row>
    <row r="24" spans="2:7" ht="25.35" customHeight="1">
      <c r="B24" s="28"/>
      <c r="C24" s="28"/>
      <c r="D24" s="28"/>
      <c r="E24" s="170"/>
    </row>
    <row r="25" spans="2:7" ht="25.35" customHeight="1">
      <c r="B25" s="17" t="s">
        <v>185</v>
      </c>
      <c r="C25" s="28"/>
      <c r="D25" s="28"/>
      <c r="E25" s="176">
        <f>'EXHIBIT D'!G248-SUM(+'EXHIBIT D'!G222+'EXHIBIT D'!G223)</f>
        <v>15254464</v>
      </c>
    </row>
    <row r="26" spans="2:7" ht="25.35" customHeight="1">
      <c r="B26" s="17" t="s">
        <v>186</v>
      </c>
      <c r="D26" s="28"/>
      <c r="E26" s="586">
        <f>'EXHIBIT D'!G222+'EXHIBIT D'!G223</f>
        <v>500000</v>
      </c>
    </row>
    <row r="27" spans="2:7" ht="25.35" customHeight="1">
      <c r="B27" s="28"/>
      <c r="D27" s="28"/>
      <c r="E27" s="170"/>
    </row>
    <row r="28" spans="2:7" ht="25.35" customHeight="1">
      <c r="B28" s="28" t="s">
        <v>187</v>
      </c>
      <c r="C28" s="28"/>
      <c r="D28" s="28"/>
      <c r="E28" s="588">
        <f>+E26+E25</f>
        <v>15754464</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5515379</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736</v>
      </c>
      <c r="C35" s="28"/>
      <c r="D35" s="28"/>
      <c r="E35" s="169">
        <f>+D32+D33</f>
        <v>5515379</v>
      </c>
    </row>
    <row r="36" spans="2:10" ht="25.35" customHeight="1">
      <c r="B36" s="17" t="s">
        <v>737</v>
      </c>
      <c r="C36" s="28"/>
      <c r="D36" s="28"/>
      <c r="E36" s="587">
        <f>-'EXHIBIT D'!G264</f>
        <v>5833239</v>
      </c>
      <c r="J36" s="48"/>
    </row>
    <row r="37" spans="2:10" ht="25.35" customHeight="1">
      <c r="D37" s="28"/>
      <c r="E37" s="169"/>
    </row>
    <row r="38" spans="2:10" ht="25.35" customHeight="1">
      <c r="B38" s="28" t="s">
        <v>738</v>
      </c>
      <c r="D38" s="28"/>
      <c r="E38" s="586">
        <f>+E35-E36</f>
        <v>-317860</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5315379</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0.24990212668706582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North Florida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4.29</v>
      </c>
      <c r="D14" s="983">
        <v>6.55</v>
      </c>
      <c r="E14" s="983">
        <v>6.56</v>
      </c>
      <c r="F14" s="983">
        <v>2.81</v>
      </c>
      <c r="G14" s="696">
        <f>SUM(B14:F14)</f>
        <v>112.00000000000001</v>
      </c>
      <c r="H14" s="367">
        <f>G14*30</f>
        <v>3360.0000000000005</v>
      </c>
    </row>
    <row r="15" spans="1:18" s="17" customFormat="1" ht="20.100000000000001" customHeight="1">
      <c r="A15" s="28" t="s">
        <v>207</v>
      </c>
      <c r="B15" s="984">
        <v>76</v>
      </c>
      <c r="C15" s="984">
        <v>5.3</v>
      </c>
      <c r="D15" s="984">
        <v>6.5</v>
      </c>
      <c r="E15" s="984">
        <v>8.1999999999999993</v>
      </c>
      <c r="F15" s="984">
        <v>3.8</v>
      </c>
      <c r="G15" s="696">
        <f>SUM(B15:F15)</f>
        <v>99.8</v>
      </c>
      <c r="H15" s="340">
        <f>G15*30</f>
        <v>2994</v>
      </c>
    </row>
    <row r="16" spans="1:18" s="17" customFormat="1" ht="20.100000000000001" customHeight="1" thickBot="1">
      <c r="A16" s="28" t="s">
        <v>82</v>
      </c>
      <c r="B16" s="985">
        <v>71</v>
      </c>
      <c r="C16" s="985">
        <v>7</v>
      </c>
      <c r="D16" s="986"/>
      <c r="E16" s="985">
        <v>3.5</v>
      </c>
      <c r="F16" s="985">
        <v>3.5</v>
      </c>
      <c r="G16" s="341">
        <f>SUM(B16:F16)</f>
        <v>85</v>
      </c>
      <c r="H16" s="697">
        <f>G16*30</f>
        <v>2550</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30</v>
      </c>
      <c r="C19" s="368"/>
      <c r="D19" s="368"/>
      <c r="E19" s="368"/>
      <c r="F19" s="368"/>
      <c r="G19" s="696">
        <f>B19</f>
        <v>30</v>
      </c>
      <c r="H19" s="620">
        <f>G19*3</f>
        <v>90</v>
      </c>
    </row>
    <row r="20" spans="1:11" s="17" customFormat="1" ht="20.100000000000001" customHeight="1" thickBot="1">
      <c r="A20" s="28" t="s">
        <v>211</v>
      </c>
      <c r="B20" s="605">
        <v>30</v>
      </c>
      <c r="C20" s="322"/>
      <c r="D20" s="322"/>
      <c r="E20" s="322"/>
      <c r="F20" s="322"/>
      <c r="G20" s="343">
        <f>B20</f>
        <v>30</v>
      </c>
      <c r="H20" s="573">
        <f>G20*3</f>
        <v>90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45</v>
      </c>
      <c r="C22" s="542"/>
      <c r="D22" s="542"/>
      <c r="E22" s="542"/>
      <c r="F22" s="542"/>
      <c r="G22" s="345">
        <f>B22</f>
        <v>45</v>
      </c>
      <c r="H22" s="364">
        <f>G22*2</f>
        <v>90</v>
      </c>
    </row>
    <row r="23" spans="1:11" s="17" customFormat="1" ht="20.100000000000001" customHeight="1" thickBot="1">
      <c r="A23" s="28" t="s">
        <v>213</v>
      </c>
      <c r="B23" s="698">
        <v>45</v>
      </c>
      <c r="C23" s="322"/>
      <c r="D23" s="322"/>
      <c r="E23" s="322"/>
      <c r="F23" s="322"/>
      <c r="G23" s="699">
        <f>B23</f>
        <v>45</v>
      </c>
      <c r="H23" s="697">
        <f>G23*2</f>
        <v>90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194.33</v>
      </c>
      <c r="D29" s="983">
        <v>5.5</v>
      </c>
      <c r="E29" s="543">
        <f>D14</f>
        <v>6.55</v>
      </c>
      <c r="F29" s="983">
        <v>7.45</v>
      </c>
      <c r="G29" s="983">
        <v>3.71</v>
      </c>
      <c r="H29" s="348">
        <f>SUM(B29:G29)</f>
        <v>309.33</v>
      </c>
      <c r="I29" s="361">
        <f>H29*30</f>
        <v>9279.9</v>
      </c>
    </row>
    <row r="30" spans="1:11" s="17" customFormat="1" ht="20.100000000000001" customHeight="1">
      <c r="A30" s="28" t="str">
        <f t="shared" si="0"/>
        <v>LOWER LEVEL - CREDIT (A &amp; P, PSV, DEVELOPMENTAL EDUCATION AND EPI)</v>
      </c>
      <c r="B30" s="700">
        <f t="shared" si="0"/>
        <v>76</v>
      </c>
      <c r="C30" s="987">
        <v>228</v>
      </c>
      <c r="D30" s="987">
        <v>14.4</v>
      </c>
      <c r="E30" s="701">
        <f>D15</f>
        <v>6.5</v>
      </c>
      <c r="F30" s="987">
        <v>57</v>
      </c>
      <c r="G30" s="987">
        <v>14.4</v>
      </c>
      <c r="H30" s="696">
        <f>SUM(B30:G30)</f>
        <v>396.29999999999995</v>
      </c>
      <c r="I30" s="340">
        <f>H30*30</f>
        <v>11888.999999999998</v>
      </c>
    </row>
    <row r="31" spans="1:11" s="17" customFormat="1" ht="20.100000000000001" customHeight="1" thickBot="1">
      <c r="A31" s="28" t="str">
        <f t="shared" si="0"/>
        <v>CAREER CERTIFICATE AND APPLIED TECHNOLOGY DIPLOMA</v>
      </c>
      <c r="B31" s="411">
        <f t="shared" si="0"/>
        <v>71</v>
      </c>
      <c r="C31" s="984">
        <v>213</v>
      </c>
      <c r="D31" s="984">
        <v>27</v>
      </c>
      <c r="E31" s="322"/>
      <c r="F31" s="984">
        <v>14</v>
      </c>
      <c r="G31" s="984">
        <v>14</v>
      </c>
      <c r="H31" s="341">
        <f>SUM(B31:G31)</f>
        <v>339</v>
      </c>
      <c r="I31" s="697">
        <f>H31*30</f>
        <v>10170</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30</v>
      </c>
      <c r="C34" s="368"/>
      <c r="D34" s="368"/>
      <c r="E34" s="368"/>
      <c r="F34" s="368"/>
      <c r="G34" s="368"/>
      <c r="H34" s="702">
        <f>B34</f>
        <v>30</v>
      </c>
      <c r="I34" s="362">
        <f>H34*3</f>
        <v>90</v>
      </c>
      <c r="J34" s="346"/>
      <c r="K34" s="346"/>
    </row>
    <row r="35" spans="1:11" s="17" customFormat="1" ht="20.100000000000001" customHeight="1" thickBot="1">
      <c r="A35" s="28" t="str">
        <f>A20</f>
        <v>ADULT GENERAL EDUCATION AND SECONDARY (PER TERM)</v>
      </c>
      <c r="B35" s="703">
        <f>B20</f>
        <v>30</v>
      </c>
      <c r="C35" s="322"/>
      <c r="D35" s="322"/>
      <c r="E35" s="322"/>
      <c r="F35" s="322"/>
      <c r="G35" s="322"/>
      <c r="H35" s="352">
        <f>B35</f>
        <v>30</v>
      </c>
      <c r="I35" s="704">
        <f>H35*3</f>
        <v>90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45</v>
      </c>
      <c r="C37" s="542"/>
      <c r="D37" s="542"/>
      <c r="E37" s="542"/>
      <c r="F37" s="542"/>
      <c r="G37" s="542"/>
      <c r="H37" s="348">
        <f>B37</f>
        <v>45</v>
      </c>
      <c r="I37" s="361">
        <f>H37*2</f>
        <v>90</v>
      </c>
    </row>
    <row r="38" spans="1:11" s="17" customFormat="1" ht="20.100000000000001" customHeight="1" thickBot="1">
      <c r="A38" s="28" t="str">
        <f>A23</f>
        <v>ADULT GENERAL EDUCATION AND SECONDARY (PER HALF YEAR)</v>
      </c>
      <c r="B38" s="703">
        <f>B23</f>
        <v>45</v>
      </c>
      <c r="C38" s="322"/>
      <c r="D38" s="322"/>
      <c r="E38" s="322"/>
      <c r="F38" s="322"/>
      <c r="G38" s="322"/>
      <c r="H38" s="705">
        <f>B38</f>
        <v>45</v>
      </c>
      <c r="I38" s="363">
        <f>H38*2</f>
        <v>90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60" zoomScaleNormal="6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North Florida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f>(28*30)-88</f>
        <v>752</v>
      </c>
      <c r="E10" s="546">
        <v>0</v>
      </c>
      <c r="F10" s="547">
        <f t="shared" ref="F10:F15" si="0">+D10-E10</f>
        <v>752</v>
      </c>
      <c r="G10" s="547">
        <f>'EXHIBIT B'!B14</f>
        <v>91.79</v>
      </c>
      <c r="H10" s="548">
        <f>ROUND(+F10*G10,0)</f>
        <v>69026</v>
      </c>
    </row>
    <row r="11" spans="1:9" ht="20.100000000000001" customHeight="1">
      <c r="A11" s="707" t="s">
        <v>200</v>
      </c>
      <c r="B11" s="707" t="s">
        <v>132</v>
      </c>
      <c r="C11" s="708" t="s">
        <v>228</v>
      </c>
      <c r="D11" s="706">
        <f>(597*30)-834</f>
        <v>17076</v>
      </c>
      <c r="E11" s="706">
        <v>7100</v>
      </c>
      <c r="F11" s="709">
        <f t="shared" si="0"/>
        <v>9976</v>
      </c>
      <c r="G11" s="709">
        <f>+'EXHIBIT B'!B15</f>
        <v>76</v>
      </c>
      <c r="H11" s="710">
        <f t="shared" ref="H11:H15" si="1">ROUND(+F11*G11,0)</f>
        <v>758176</v>
      </c>
    </row>
    <row r="12" spans="1:9" ht="20.100000000000001" customHeight="1">
      <c r="A12" s="707" t="s">
        <v>200</v>
      </c>
      <c r="B12" s="707" t="s">
        <v>133</v>
      </c>
      <c r="C12" s="708" t="s">
        <v>229</v>
      </c>
      <c r="D12" s="706">
        <f>(114*30)-160</f>
        <v>3260</v>
      </c>
      <c r="E12" s="706">
        <v>207</v>
      </c>
      <c r="F12" s="709">
        <f t="shared" si="0"/>
        <v>3053</v>
      </c>
      <c r="G12" s="709">
        <f>+'EXHIBIT B'!B15</f>
        <v>76</v>
      </c>
      <c r="H12" s="710">
        <f t="shared" si="1"/>
        <v>232028</v>
      </c>
    </row>
    <row r="13" spans="1:9" ht="20.100000000000001" customHeight="1">
      <c r="A13" s="707" t="s">
        <v>200</v>
      </c>
      <c r="B13" s="707" t="s">
        <v>82</v>
      </c>
      <c r="C13" s="708" t="s">
        <v>230</v>
      </c>
      <c r="D13" s="711">
        <f>107*30</f>
        <v>3210</v>
      </c>
      <c r="E13" s="711">
        <v>20</v>
      </c>
      <c r="F13" s="709">
        <f t="shared" si="0"/>
        <v>3190</v>
      </c>
      <c r="G13" s="709">
        <f>+'EXHIBIT B'!B16</f>
        <v>71</v>
      </c>
      <c r="H13" s="710">
        <f t="shared" si="1"/>
        <v>226490</v>
      </c>
    </row>
    <row r="14" spans="1:9" ht="20.100000000000001" customHeight="1">
      <c r="A14" s="707" t="s">
        <v>200</v>
      </c>
      <c r="B14" s="707" t="s">
        <v>134</v>
      </c>
      <c r="C14" s="708" t="s">
        <v>231</v>
      </c>
      <c r="D14" s="706">
        <f>7*30</f>
        <v>210</v>
      </c>
      <c r="E14" s="706">
        <v>0</v>
      </c>
      <c r="F14" s="709">
        <f t="shared" si="0"/>
        <v>210</v>
      </c>
      <c r="G14" s="709">
        <f>+'EXHIBIT B'!B15</f>
        <v>76</v>
      </c>
      <c r="H14" s="710">
        <f t="shared" si="1"/>
        <v>15960</v>
      </c>
    </row>
    <row r="15" spans="1:9" ht="20.100000000000001" customHeight="1" thickBot="1">
      <c r="A15" s="712" t="s">
        <v>200</v>
      </c>
      <c r="B15" s="712" t="s">
        <v>135</v>
      </c>
      <c r="C15" s="713">
        <v>40160</v>
      </c>
      <c r="D15" s="714">
        <v>0</v>
      </c>
      <c r="E15" s="714">
        <v>0</v>
      </c>
      <c r="F15" s="715">
        <f t="shared" si="0"/>
        <v>0</v>
      </c>
      <c r="G15" s="715">
        <f>+'EXHIBIT B'!B15</f>
        <v>76</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24508</v>
      </c>
      <c r="E17" s="304">
        <f>SUM(E10:E15)</f>
        <v>7327</v>
      </c>
      <c r="F17" s="305">
        <f>SUM(F10:F15)</f>
        <v>17181</v>
      </c>
      <c r="G17" s="305"/>
      <c r="H17" s="306">
        <f>SUM(H10:H15)</f>
        <v>1301680</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88</v>
      </c>
      <c r="E19" s="718">
        <f>'EXHIBIT B'!C29</f>
        <v>194.33</v>
      </c>
      <c r="F19" s="719">
        <f t="shared" ref="F19:F24" si="2">ROUND(+D19*E19,0)</f>
        <v>17101</v>
      </c>
      <c r="G19" s="308"/>
      <c r="H19" s="308"/>
    </row>
    <row r="20" spans="1:9" ht="20.100000000000001" customHeight="1">
      <c r="A20" s="654" t="s">
        <v>215</v>
      </c>
      <c r="B20" s="654" t="s">
        <v>132</v>
      </c>
      <c r="C20" s="720" t="s">
        <v>235</v>
      </c>
      <c r="D20" s="727">
        <f>834-101-35</f>
        <v>698</v>
      </c>
      <c r="E20" s="721">
        <f>+'EXHIBIT B'!C30</f>
        <v>228</v>
      </c>
      <c r="F20" s="722">
        <f t="shared" si="2"/>
        <v>159144</v>
      </c>
      <c r="G20" s="48"/>
      <c r="H20" s="48"/>
    </row>
    <row r="21" spans="1:9" ht="20.100000000000001" customHeight="1">
      <c r="A21" s="654" t="s">
        <v>215</v>
      </c>
      <c r="B21" s="654" t="s">
        <v>133</v>
      </c>
      <c r="C21" s="720" t="s">
        <v>236</v>
      </c>
      <c r="D21" s="727">
        <v>160</v>
      </c>
      <c r="E21" s="721">
        <f>+'EXHIBIT B'!C30</f>
        <v>228</v>
      </c>
      <c r="F21" s="722">
        <f t="shared" si="2"/>
        <v>36480</v>
      </c>
      <c r="G21" s="48"/>
      <c r="H21" s="48"/>
    </row>
    <row r="22" spans="1:9" ht="20.100000000000001" customHeight="1">
      <c r="A22" s="654" t="s">
        <v>215</v>
      </c>
      <c r="B22" s="654" t="s">
        <v>82</v>
      </c>
      <c r="C22" s="720" t="s">
        <v>237</v>
      </c>
      <c r="D22" s="727">
        <v>101</v>
      </c>
      <c r="E22" s="721">
        <f>+'EXHIBIT B'!C31</f>
        <v>213</v>
      </c>
      <c r="F22" s="722">
        <f t="shared" si="2"/>
        <v>21513</v>
      </c>
      <c r="G22" s="48"/>
      <c r="H22" s="48"/>
    </row>
    <row r="23" spans="1:9" ht="20.100000000000001" customHeight="1">
      <c r="A23" s="654" t="s">
        <v>215</v>
      </c>
      <c r="B23" s="654" t="s">
        <v>134</v>
      </c>
      <c r="C23" s="720" t="s">
        <v>238</v>
      </c>
      <c r="D23" s="727">
        <v>35</v>
      </c>
      <c r="E23" s="721">
        <f>+'EXHIBIT B'!C30</f>
        <v>228</v>
      </c>
      <c r="F23" s="722">
        <f t="shared" si="2"/>
        <v>7980</v>
      </c>
      <c r="G23" s="48"/>
      <c r="H23" s="48"/>
    </row>
    <row r="24" spans="1:9" ht="20.100000000000001" customHeight="1" thickBot="1">
      <c r="A24" s="606" t="s">
        <v>215</v>
      </c>
      <c r="B24" s="606" t="s">
        <v>135</v>
      </c>
      <c r="C24" s="607">
        <v>40360</v>
      </c>
      <c r="D24" s="989">
        <v>0</v>
      </c>
      <c r="E24" s="608">
        <f>+'EXHIBIT B'!C30</f>
        <v>228</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1082</v>
      </c>
      <c r="E26" s="725"/>
      <c r="F26" s="726">
        <f>SUM(F19:F24)</f>
        <v>242218</v>
      </c>
      <c r="G26" s="312"/>
      <c r="H26" s="312"/>
    </row>
    <row r="27" spans="1:9" ht="20.100000000000001" customHeight="1" thickBot="1">
      <c r="A27" s="313" t="s">
        <v>239</v>
      </c>
      <c r="B27" s="313"/>
      <c r="C27" s="313"/>
      <c r="D27" s="313"/>
      <c r="E27" s="313"/>
      <c r="F27" s="314"/>
      <c r="G27" s="549"/>
      <c r="H27" s="315">
        <f>H17+F26</f>
        <v>1543898</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30</v>
      </c>
      <c r="H32" s="554">
        <f>ROUND(+F32*G32,0)</f>
        <v>0</v>
      </c>
    </row>
    <row r="33" spans="1:8" ht="20.100000000000001" customHeight="1">
      <c r="A33" s="654" t="s">
        <v>245</v>
      </c>
      <c r="B33" s="654" t="s">
        <v>248</v>
      </c>
      <c r="C33" s="720" t="s">
        <v>249</v>
      </c>
      <c r="D33" s="727">
        <v>0</v>
      </c>
      <c r="E33" s="727">
        <v>0</v>
      </c>
      <c r="F33" s="721">
        <f>D33-E33</f>
        <v>0</v>
      </c>
      <c r="G33" s="721">
        <f>'EXHIBIT B'!B20</f>
        <v>30</v>
      </c>
      <c r="H33" s="722">
        <f>ROUND(+F33*G33,0)</f>
        <v>0</v>
      </c>
    </row>
    <row r="34" spans="1:8" ht="20.100000000000001" customHeight="1">
      <c r="A34" s="654" t="s">
        <v>250</v>
      </c>
      <c r="B34" s="654" t="s">
        <v>246</v>
      </c>
      <c r="C34" s="720">
        <v>40180</v>
      </c>
      <c r="D34" s="727">
        <v>0</v>
      </c>
      <c r="E34" s="727">
        <v>0</v>
      </c>
      <c r="F34" s="721">
        <f>D34-E34</f>
        <v>0</v>
      </c>
      <c r="G34" s="721">
        <f>'EXHIBIT B'!B22</f>
        <v>45</v>
      </c>
      <c r="H34" s="722">
        <f>ROUND(+F34*G34,0)</f>
        <v>0</v>
      </c>
    </row>
    <row r="35" spans="1:8" ht="20.100000000000001" customHeight="1" thickBot="1">
      <c r="A35" s="655" t="s">
        <v>250</v>
      </c>
      <c r="B35" s="655" t="s">
        <v>248</v>
      </c>
      <c r="C35" s="728">
        <v>40190</v>
      </c>
      <c r="D35" s="729">
        <v>0</v>
      </c>
      <c r="E35" s="729">
        <v>0</v>
      </c>
      <c r="F35" s="730">
        <f>D35-E35</f>
        <v>0</v>
      </c>
      <c r="G35" s="730">
        <f>'EXHIBIT B'!B23</f>
        <v>45</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30</v>
      </c>
      <c r="F39" s="554">
        <f>D39*E39</f>
        <v>0</v>
      </c>
    </row>
    <row r="40" spans="1:8" ht="20.100000000000001" customHeight="1">
      <c r="A40" s="654" t="s">
        <v>245</v>
      </c>
      <c r="B40" s="654" t="s">
        <v>248</v>
      </c>
      <c r="C40" s="720">
        <v>40390</v>
      </c>
      <c r="D40" s="727">
        <v>0</v>
      </c>
      <c r="E40" s="721">
        <f>'EXHIBIT B'!B35</f>
        <v>30</v>
      </c>
      <c r="F40" s="722">
        <f>D40*E40</f>
        <v>0</v>
      </c>
    </row>
    <row r="41" spans="1:8" ht="20.100000000000001" customHeight="1">
      <c r="A41" s="654" t="s">
        <v>250</v>
      </c>
      <c r="B41" s="654" t="s">
        <v>246</v>
      </c>
      <c r="C41" s="720" t="s">
        <v>253</v>
      </c>
      <c r="D41" s="727">
        <v>0</v>
      </c>
      <c r="E41" s="721">
        <f>'EXHIBIT B'!B37</f>
        <v>45</v>
      </c>
      <c r="F41" s="722">
        <f>D41*E41</f>
        <v>0</v>
      </c>
    </row>
    <row r="42" spans="1:8" ht="20.100000000000001" customHeight="1" thickBot="1">
      <c r="A42" s="655" t="s">
        <v>250</v>
      </c>
      <c r="B42" s="655" t="s">
        <v>248</v>
      </c>
      <c r="C42" s="728" t="s">
        <v>254</v>
      </c>
      <c r="D42" s="729">
        <v>0</v>
      </c>
      <c r="E42" s="730">
        <f>'EXHIBIT B'!B38</f>
        <v>45</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1543898</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5" t="s">
        <v>752</v>
      </c>
      <c r="B50" s="1125"/>
      <c r="C50" s="1126"/>
      <c r="D50" s="1126"/>
      <c r="E50" s="1126"/>
      <c r="F50" s="1126"/>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500000</v>
      </c>
      <c r="C54" s="992" t="s">
        <v>781</v>
      </c>
      <c r="D54" s="993"/>
      <c r="E54" s="992" t="s">
        <v>782</v>
      </c>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500000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44000</v>
      </c>
      <c r="C63" s="992">
        <v>3</v>
      </c>
      <c r="D63" s="993"/>
      <c r="E63" s="992">
        <v>1</v>
      </c>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44000</v>
      </c>
      <c r="C69" s="1002"/>
      <c r="D69" s="1003"/>
      <c r="E69" s="1002"/>
      <c r="F69" s="1003"/>
    </row>
    <row r="70" spans="1:6" ht="24.95" customHeight="1" thickBot="1">
      <c r="A70" s="292" t="s">
        <v>264</v>
      </c>
      <c r="B70" s="293">
        <f>+B69+B60</f>
        <v>544000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North Florida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North Florida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69026</v>
      </c>
    </row>
    <row r="13" spans="1:8" ht="20.100000000000001" customHeight="1">
      <c r="A13" s="499" t="s">
        <v>200</v>
      </c>
      <c r="B13" s="184"/>
      <c r="C13" s="177" t="s">
        <v>132</v>
      </c>
      <c r="D13" s="184"/>
      <c r="E13" s="184"/>
      <c r="F13" s="189" t="s">
        <v>228</v>
      </c>
      <c r="G13" s="188">
        <f>+'EXHIBIT C'!H11+'EXHIBIT C(2)'!E14</f>
        <v>758176</v>
      </c>
    </row>
    <row r="14" spans="1:8" ht="20.100000000000001" customHeight="1">
      <c r="A14" s="499" t="s">
        <v>200</v>
      </c>
      <c r="B14" s="184"/>
      <c r="C14" s="184" t="s">
        <v>133</v>
      </c>
      <c r="D14" s="184"/>
      <c r="E14" s="184"/>
      <c r="F14" s="189" t="s">
        <v>229</v>
      </c>
      <c r="G14" s="520">
        <f>+'EXHIBIT C'!H12+'EXHIBIT C(2)'!E15</f>
        <v>232028</v>
      </c>
    </row>
    <row r="15" spans="1:8" ht="20.100000000000001" customHeight="1">
      <c r="A15" s="499" t="s">
        <v>200</v>
      </c>
      <c r="B15" s="184"/>
      <c r="C15" s="190" t="s">
        <v>281</v>
      </c>
      <c r="D15" s="184"/>
      <c r="E15" s="184"/>
      <c r="F15" s="189" t="s">
        <v>230</v>
      </c>
      <c r="G15" s="520">
        <f>+'EXHIBIT C'!H13+'EXHIBIT C(2)'!E16</f>
        <v>226490</v>
      </c>
    </row>
    <row r="16" spans="1:8" ht="20.100000000000001" customHeight="1">
      <c r="A16" s="499" t="s">
        <v>200</v>
      </c>
      <c r="B16" s="184"/>
      <c r="C16" s="190" t="s">
        <v>282</v>
      </c>
      <c r="D16" s="184"/>
      <c r="E16" s="184"/>
      <c r="F16" s="189" t="s">
        <v>231</v>
      </c>
      <c r="G16" s="521">
        <f>+'EXHIBIT C'!H14+'EXHIBIT C(2)'!E17</f>
        <v>15960</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1301680</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17101</v>
      </c>
    </row>
    <row r="22" spans="1:7" ht="20.100000000000001" customHeight="1">
      <c r="A22" s="499" t="s">
        <v>215</v>
      </c>
      <c r="B22" s="184"/>
      <c r="C22" s="177" t="s">
        <v>132</v>
      </c>
      <c r="D22" s="184"/>
      <c r="E22" s="184"/>
      <c r="F22" s="189" t="s">
        <v>235</v>
      </c>
      <c r="G22" s="193">
        <f>+'EXHIBIT C'!F20+'EXHIBIT C(2)'!E23</f>
        <v>159144</v>
      </c>
    </row>
    <row r="23" spans="1:7" ht="20.100000000000001" customHeight="1">
      <c r="A23" s="499" t="s">
        <v>215</v>
      </c>
      <c r="B23" s="184"/>
      <c r="C23" s="184" t="s">
        <v>133</v>
      </c>
      <c r="D23" s="184"/>
      <c r="E23" s="184"/>
      <c r="F23" s="189" t="s">
        <v>236</v>
      </c>
      <c r="G23" s="198">
        <f>+'EXHIBIT C'!F21+'EXHIBIT C(2)'!E24</f>
        <v>36480</v>
      </c>
    </row>
    <row r="24" spans="1:7" ht="20.100000000000001" customHeight="1">
      <c r="A24" s="499" t="s">
        <v>215</v>
      </c>
      <c r="B24" s="184"/>
      <c r="C24" s="190" t="s">
        <v>281</v>
      </c>
      <c r="D24" s="184"/>
      <c r="E24" s="184"/>
      <c r="F24" s="189" t="s">
        <v>237</v>
      </c>
      <c r="G24" s="198">
        <f>+'EXHIBIT C'!F22+'EXHIBIT C(2)'!E25</f>
        <v>21513</v>
      </c>
    </row>
    <row r="25" spans="1:7" ht="20.100000000000001" customHeight="1">
      <c r="A25" s="499" t="s">
        <v>215</v>
      </c>
      <c r="B25" s="184"/>
      <c r="C25" s="190" t="s">
        <v>282</v>
      </c>
      <c r="D25" s="184"/>
      <c r="E25" s="184"/>
      <c r="F25" s="189" t="s">
        <v>238</v>
      </c>
      <c r="G25" s="198">
        <f>+'EXHIBIT C'!F23+'EXHIBIT C(2)'!E26</f>
        <v>7980</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242218</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1543898</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2000</v>
      </c>
    </row>
    <row r="50" spans="1:7" ht="20.100000000000001" customHeight="1">
      <c r="A50" s="499" t="s">
        <v>300</v>
      </c>
      <c r="B50" s="184"/>
      <c r="C50" s="184"/>
      <c r="D50" s="184"/>
      <c r="E50" s="184"/>
      <c r="F50" s="189" t="s">
        <v>301</v>
      </c>
      <c r="G50" s="448">
        <v>165000</v>
      </c>
    </row>
    <row r="51" spans="1:7" ht="20.100000000000001" customHeight="1">
      <c r="A51" s="499" t="s">
        <v>302</v>
      </c>
      <c r="B51" s="184"/>
      <c r="C51" s="184"/>
      <c r="D51" s="184"/>
      <c r="E51" s="184"/>
      <c r="F51" s="187">
        <v>40450</v>
      </c>
      <c r="G51" s="448">
        <v>0</v>
      </c>
    </row>
    <row r="52" spans="1:7" ht="20.100000000000001" customHeight="1">
      <c r="A52" s="499" t="s">
        <v>303</v>
      </c>
      <c r="B52" s="184"/>
      <c r="C52" s="184"/>
      <c r="D52" s="184"/>
      <c r="E52" s="184"/>
      <c r="F52" s="189" t="s">
        <v>304</v>
      </c>
      <c r="G52" s="448">
        <v>11320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1700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76000</v>
      </c>
    </row>
    <row r="59" spans="1:7" ht="20.100000000000001" customHeight="1">
      <c r="A59" s="499" t="s">
        <v>317</v>
      </c>
      <c r="B59" s="184"/>
      <c r="C59" s="184"/>
      <c r="D59" s="184"/>
      <c r="E59" s="184"/>
      <c r="F59" s="189" t="s">
        <v>318</v>
      </c>
      <c r="G59" s="448">
        <v>62000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1861918</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230000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230000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8854398</v>
      </c>
    </row>
    <row r="76" spans="1:7" ht="20.100000000000001" customHeight="1">
      <c r="A76" s="499" t="s">
        <v>709</v>
      </c>
      <c r="B76" s="184"/>
      <c r="C76" s="184"/>
      <c r="D76" s="184"/>
      <c r="E76" s="184"/>
      <c r="F76" s="187">
        <v>42130</v>
      </c>
      <c r="G76" s="523">
        <v>1610425</v>
      </c>
    </row>
    <row r="77" spans="1:7" ht="20.100000000000001" customHeight="1">
      <c r="A77" s="501" t="s">
        <v>335</v>
      </c>
      <c r="B77" s="502"/>
      <c r="C77" s="502"/>
      <c r="D77" s="502"/>
      <c r="E77" s="502"/>
      <c r="F77" s="203" t="s">
        <v>336</v>
      </c>
      <c r="G77" s="524">
        <f>40414+60822</f>
        <v>101236</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f>80000+80000</f>
        <v>160000</v>
      </c>
    </row>
    <row r="81" spans="1:10" ht="20.100000000000001" customHeight="1">
      <c r="A81" s="499" t="s">
        <v>342</v>
      </c>
      <c r="B81" s="184"/>
      <c r="C81" s="184"/>
      <c r="D81" s="184"/>
      <c r="E81" s="184"/>
      <c r="F81" s="189" t="s">
        <v>343</v>
      </c>
      <c r="G81" s="522">
        <f>'CHECK SHEET'!D86</f>
        <v>1752281</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12478340</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45000</v>
      </c>
    </row>
    <row r="111" spans="1:7" ht="20.100000000000001" customHeight="1">
      <c r="A111" s="499" t="s">
        <v>371</v>
      </c>
      <c r="B111" s="184"/>
      <c r="C111" s="184"/>
      <c r="D111" s="184"/>
      <c r="E111" s="184"/>
      <c r="F111" s="189" t="s">
        <v>372</v>
      </c>
      <c r="G111" s="449">
        <v>500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45500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f>28000*12</f>
        <v>336000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0</v>
      </c>
    </row>
    <row r="126" spans="1:7" ht="20.100000000000001" customHeight="1">
      <c r="A126" s="499" t="s">
        <v>388</v>
      </c>
      <c r="B126" s="184"/>
      <c r="C126" s="184"/>
      <c r="D126" s="184"/>
      <c r="E126" s="184"/>
      <c r="F126" s="189" t="s">
        <v>389</v>
      </c>
      <c r="G126" s="449">
        <v>9000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345000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6" t="s">
        <v>393</v>
      </c>
      <c r="G132" s="451">
        <v>0</v>
      </c>
    </row>
    <row r="133" spans="1:7" ht="20.100000000000001" customHeight="1">
      <c r="A133" s="499" t="s">
        <v>711</v>
      </c>
      <c r="B133" s="184"/>
      <c r="C133" s="184"/>
      <c r="D133" s="508"/>
      <c r="E133" s="199"/>
      <c r="F133" s="1116">
        <v>49200</v>
      </c>
      <c r="G133" s="449">
        <v>44000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44000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15004758</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299370</v>
      </c>
    </row>
    <row r="147" spans="1:7" ht="20.100000000000001" customHeight="1">
      <c r="A147" s="499" t="s">
        <v>406</v>
      </c>
      <c r="F147" s="189" t="s">
        <v>407</v>
      </c>
      <c r="G147" s="453">
        <v>266856</v>
      </c>
    </row>
    <row r="148" spans="1:7" ht="20.100000000000001" customHeight="1">
      <c r="A148" s="499" t="s">
        <v>408</v>
      </c>
      <c r="F148" s="189" t="s">
        <v>409</v>
      </c>
      <c r="G148" s="453">
        <v>296633</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1861214</v>
      </c>
    </row>
    <row r="152" spans="1:7" ht="20.100000000000001" customHeight="1">
      <c r="A152" s="499" t="s">
        <v>416</v>
      </c>
      <c r="B152" s="184"/>
      <c r="C152" s="184"/>
      <c r="D152" s="184"/>
      <c r="E152" s="184"/>
      <c r="F152" s="189" t="s">
        <v>417</v>
      </c>
      <c r="G152" s="453">
        <v>203175</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2553264</v>
      </c>
    </row>
    <row r="162" spans="1:7" ht="20.100000000000001" customHeight="1">
      <c r="A162" s="499" t="s">
        <v>435</v>
      </c>
      <c r="B162" s="184"/>
      <c r="C162" s="184"/>
      <c r="D162" s="184"/>
      <c r="E162" s="184"/>
      <c r="F162" s="189" t="s">
        <v>436</v>
      </c>
      <c r="G162" s="453">
        <f>18500+6500</f>
        <v>25000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991013</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500000</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0</v>
      </c>
    </row>
    <row r="177" spans="1:7" ht="20.100000000000001" customHeight="1">
      <c r="A177" s="499" t="s">
        <v>462</v>
      </c>
      <c r="B177" s="184"/>
      <c r="C177" s="184"/>
      <c r="D177" s="184"/>
      <c r="E177" s="184"/>
      <c r="F177" s="189" t="s">
        <v>463</v>
      </c>
      <c r="G177" s="453">
        <v>89500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200000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3000</v>
      </c>
    </row>
    <row r="184" spans="1:7" ht="20.100000000000001" customHeight="1">
      <c r="A184" s="499" t="s">
        <v>476</v>
      </c>
      <c r="B184" s="184"/>
      <c r="C184" s="184"/>
      <c r="D184" s="184"/>
      <c r="E184" s="184"/>
      <c r="F184" s="189" t="s">
        <v>477</v>
      </c>
      <c r="G184" s="453">
        <v>527013</v>
      </c>
    </row>
    <row r="185" spans="1:7" ht="20.100000000000001" customHeight="1">
      <c r="A185" s="499" t="s">
        <v>478</v>
      </c>
      <c r="B185" s="184"/>
      <c r="C185" s="184"/>
      <c r="D185" s="184"/>
      <c r="E185" s="184"/>
      <c r="F185" s="189" t="s">
        <v>479</v>
      </c>
      <c r="G185" s="453">
        <v>991938</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1007192</v>
      </c>
    </row>
    <row r="191" spans="1:7" ht="20.100000000000001" customHeight="1">
      <c r="A191" s="499" t="s">
        <v>489</v>
      </c>
      <c r="B191" s="184"/>
      <c r="C191" s="184"/>
      <c r="D191" s="184"/>
      <c r="E191" s="184"/>
      <c r="F191" s="189" t="s">
        <v>490</v>
      </c>
      <c r="G191" s="453">
        <v>45000</v>
      </c>
    </row>
    <row r="192" spans="1:7" ht="20.100000000000001" customHeight="1">
      <c r="A192" s="499" t="s">
        <v>491</v>
      </c>
      <c r="B192" s="184"/>
      <c r="C192" s="184"/>
      <c r="D192" s="184"/>
      <c r="E192" s="184"/>
      <c r="F192" s="189" t="s">
        <v>492</v>
      </c>
      <c r="G192" s="453">
        <v>150000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10010168</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118825</v>
      </c>
    </row>
    <row r="199" spans="1:7" ht="20.100000000000001" customHeight="1">
      <c r="A199" s="499" t="s">
        <v>497</v>
      </c>
      <c r="B199" s="184"/>
      <c r="C199" s="184"/>
      <c r="D199" s="184"/>
      <c r="E199" s="184"/>
      <c r="F199" s="189" t="s">
        <v>498</v>
      </c>
      <c r="G199" s="453">
        <v>16680</v>
      </c>
    </row>
    <row r="200" spans="1:7" ht="20.100000000000001" customHeight="1">
      <c r="A200" s="499" t="s">
        <v>499</v>
      </c>
      <c r="B200" s="184"/>
      <c r="C200" s="184"/>
      <c r="D200" s="184"/>
      <c r="E200" s="184"/>
      <c r="F200" s="189" t="s">
        <v>500</v>
      </c>
      <c r="G200" s="453">
        <v>113500</v>
      </c>
    </row>
    <row r="201" spans="1:7" ht="20.100000000000001" customHeight="1">
      <c r="A201" s="499" t="s">
        <v>501</v>
      </c>
      <c r="B201" s="184"/>
      <c r="C201" s="184"/>
      <c r="D201" s="184"/>
      <c r="E201" s="184"/>
      <c r="F201" s="189" t="s">
        <v>502</v>
      </c>
      <c r="G201" s="453">
        <v>17250</v>
      </c>
    </row>
    <row r="202" spans="1:7" ht="20.100000000000001" customHeight="1">
      <c r="A202" s="499" t="s">
        <v>503</v>
      </c>
      <c r="B202" s="184"/>
      <c r="C202" s="184"/>
      <c r="D202" s="184"/>
      <c r="E202" s="184"/>
      <c r="F202" s="189" t="s">
        <v>504</v>
      </c>
      <c r="G202" s="453">
        <v>431750</v>
      </c>
    </row>
    <row r="203" spans="1:7" ht="20.100000000000001" customHeight="1">
      <c r="A203" s="499" t="s">
        <v>505</v>
      </c>
      <c r="B203" s="184"/>
      <c r="C203" s="184"/>
      <c r="D203" s="184"/>
      <c r="E203" s="184"/>
      <c r="F203" s="189" t="s">
        <v>506</v>
      </c>
      <c r="G203" s="453">
        <v>41000</v>
      </c>
    </row>
    <row r="204" spans="1:7" ht="20.100000000000001" customHeight="1">
      <c r="A204" s="499" t="s">
        <v>697</v>
      </c>
      <c r="B204" s="184"/>
      <c r="C204" s="184"/>
      <c r="D204" s="184"/>
      <c r="E204" s="184"/>
      <c r="F204" s="1028">
        <v>63100</v>
      </c>
      <c r="G204" s="453">
        <v>32580</v>
      </c>
    </row>
    <row r="205" spans="1:7" ht="20.100000000000001" customHeight="1">
      <c r="A205" s="499" t="s">
        <v>507</v>
      </c>
      <c r="B205" s="184"/>
      <c r="C205" s="184"/>
      <c r="D205" s="184"/>
      <c r="E205" s="184"/>
      <c r="F205" s="189" t="s">
        <v>508</v>
      </c>
      <c r="G205" s="453">
        <v>378000</v>
      </c>
    </row>
    <row r="206" spans="1:7" ht="20.100000000000001" customHeight="1">
      <c r="A206" s="499" t="s">
        <v>509</v>
      </c>
      <c r="B206" s="184"/>
      <c r="C206" s="184"/>
      <c r="D206" s="184"/>
      <c r="E206" s="184"/>
      <c r="F206" s="189" t="s">
        <v>510</v>
      </c>
      <c r="G206" s="453">
        <v>557100</v>
      </c>
    </row>
    <row r="207" spans="1:7" ht="20.100000000000001" customHeight="1">
      <c r="A207" s="499" t="s">
        <v>511</v>
      </c>
      <c r="B207" s="184"/>
      <c r="C207" s="184"/>
      <c r="D207" s="184"/>
      <c r="E207" s="184"/>
      <c r="F207" s="189" t="s">
        <v>512</v>
      </c>
      <c r="G207" s="453">
        <v>616100</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534700</v>
      </c>
    </row>
    <row r="211" spans="1:9" ht="20.100000000000001" customHeight="1">
      <c r="A211" s="499" t="s">
        <v>518</v>
      </c>
      <c r="B211" s="184"/>
      <c r="C211" s="184"/>
      <c r="D211" s="184"/>
      <c r="E211" s="184"/>
      <c r="F211" s="189" t="s">
        <v>519</v>
      </c>
      <c r="G211" s="453">
        <v>262525</v>
      </c>
    </row>
    <row r="212" spans="1:9" ht="20.100000000000001" customHeight="1">
      <c r="A212" s="499" t="s">
        <v>520</v>
      </c>
      <c r="F212" s="207" t="s">
        <v>521</v>
      </c>
      <c r="G212" s="453">
        <v>191450</v>
      </c>
    </row>
    <row r="213" spans="1:9" ht="20.100000000000001" customHeight="1">
      <c r="A213" s="499" t="s">
        <v>522</v>
      </c>
      <c r="B213" s="184"/>
      <c r="C213" s="184"/>
      <c r="D213" s="184"/>
      <c r="E213" s="184"/>
      <c r="F213" s="189" t="s">
        <v>523</v>
      </c>
      <c r="G213" s="453">
        <v>111000</v>
      </c>
    </row>
    <row r="214" spans="1:9" ht="20.100000000000001" customHeight="1">
      <c r="A214" s="499" t="s">
        <v>524</v>
      </c>
      <c r="B214" s="184"/>
      <c r="C214" s="184"/>
      <c r="D214" s="184"/>
      <c r="E214" s="184"/>
      <c r="F214" s="189" t="s">
        <v>525</v>
      </c>
      <c r="G214" s="453">
        <v>40900</v>
      </c>
    </row>
    <row r="215" spans="1:9" ht="20.100000000000001" customHeight="1">
      <c r="A215" s="499" t="s">
        <v>526</v>
      </c>
      <c r="B215" s="184"/>
      <c r="C215" s="184"/>
      <c r="D215" s="184"/>
      <c r="E215" s="184"/>
      <c r="F215" s="189" t="s">
        <v>527</v>
      </c>
      <c r="G215" s="453">
        <v>72940</v>
      </c>
    </row>
    <row r="216" spans="1:9" ht="20.100000000000001" customHeight="1">
      <c r="A216" s="499" t="s">
        <v>528</v>
      </c>
      <c r="B216" s="184"/>
      <c r="C216" s="184"/>
      <c r="D216" s="184"/>
      <c r="E216" s="184"/>
      <c r="F216" s="205" t="s">
        <v>529</v>
      </c>
      <c r="G216" s="453">
        <v>29000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350000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18">
        <v>69100</v>
      </c>
      <c r="G222" s="453">
        <v>0</v>
      </c>
    </row>
    <row r="223" spans="1:9" ht="20.100000000000001" customHeight="1">
      <c r="A223" s="510" t="s">
        <v>713</v>
      </c>
      <c r="B223" s="214"/>
      <c r="C223" s="214"/>
      <c r="D223" s="215"/>
      <c r="E223" s="214"/>
      <c r="F223" s="1117">
        <v>69200</v>
      </c>
      <c r="G223" s="453">
        <v>500000</v>
      </c>
    </row>
    <row r="224" spans="1:9" ht="20.100000000000001" customHeight="1">
      <c r="A224" s="499" t="s">
        <v>540</v>
      </c>
      <c r="B224" s="184"/>
      <c r="C224" s="184"/>
      <c r="D224" s="184"/>
      <c r="E224" s="184"/>
      <c r="F224" s="189" t="s">
        <v>541</v>
      </c>
      <c r="G224" s="453">
        <v>73946</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150000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4639246</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143050</v>
      </c>
    </row>
    <row r="233" spans="1:7" ht="20.100000000000001" customHeight="1">
      <c r="A233" s="499" t="s">
        <v>549</v>
      </c>
      <c r="B233" s="184"/>
      <c r="C233" s="184"/>
      <c r="D233" s="184"/>
      <c r="E233" s="184"/>
      <c r="F233" s="189" t="s">
        <v>550</v>
      </c>
      <c r="G233" s="453">
        <v>167000</v>
      </c>
    </row>
    <row r="234" spans="1:7" ht="20.100000000000001" customHeight="1">
      <c r="A234" s="499" t="s">
        <v>551</v>
      </c>
      <c r="B234" s="184"/>
      <c r="C234" s="184"/>
      <c r="D234" s="184"/>
      <c r="E234" s="184"/>
      <c r="F234" s="189" t="s">
        <v>552</v>
      </c>
      <c r="G234" s="453">
        <v>720000</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75000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1105050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15754464</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200000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f>400000+150000</f>
        <v>550000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f>6265085+G142-G248-G252-G255</f>
        <v>4765379</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5515379</v>
      </c>
    </row>
    <row r="263" spans="1:12" ht="20.100000000000001" customHeight="1">
      <c r="A263" s="500"/>
      <c r="B263" s="184"/>
      <c r="C263" s="184"/>
      <c r="D263" s="184"/>
      <c r="E263" s="184"/>
      <c r="F263" s="201"/>
      <c r="G263" s="217"/>
    </row>
    <row r="264" spans="1:12" ht="20.100000000000001" customHeight="1" thickBot="1">
      <c r="A264" s="511" t="s">
        <v>703</v>
      </c>
      <c r="F264" s="207">
        <v>30800</v>
      </c>
      <c r="G264" s="454">
        <v>-5833239</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-317860</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d75253ff-189d-4b1b-a7a0-490ea96e780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27775E571837D4D93E1FFACE373822A" ma:contentTypeVersion="17" ma:contentTypeDescription="Create a new document." ma:contentTypeScope="" ma:versionID="5504269183943416fbbf5d854ec784ae">
  <xsd:schema xmlns:xsd="http://www.w3.org/2001/XMLSchema" xmlns:xs="http://www.w3.org/2001/XMLSchema" xmlns:p="http://schemas.microsoft.com/office/2006/metadata/properties" xmlns:ns1="http://schemas.microsoft.com/sharepoint/v3" xmlns:ns3="d75253ff-189d-4b1b-a7a0-490ea96e7803" xmlns:ns4="8c038583-2837-4424-b092-2b658c688801" targetNamespace="http://schemas.microsoft.com/office/2006/metadata/properties" ma:root="true" ma:fieldsID="1acdc0a19edd4b6654752a04550f5275" ns1:_="" ns3:_="" ns4:_="">
    <xsd:import namespace="http://schemas.microsoft.com/sharepoint/v3"/>
    <xsd:import namespace="d75253ff-189d-4b1b-a7a0-490ea96e7803"/>
    <xsd:import namespace="8c038583-2837-4424-b092-2b658c688801"/>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5253ff-189d-4b1b-a7a0-490ea96e78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_activity" ma:index="24"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038583-2837-4424-b092-2b658c688801"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microsoft.com/office/2006/documentManagement/types"/>
    <ds:schemaRef ds:uri="d75253ff-189d-4b1b-a7a0-490ea96e7803"/>
    <ds:schemaRef ds:uri="http://purl.org/dc/dcmitype/"/>
    <ds:schemaRef ds:uri="http://purl.org/dc/elements/1.1/"/>
    <ds:schemaRef ds:uri="http://www.w3.org/XML/1998/namespace"/>
    <ds:schemaRef ds:uri="8c038583-2837-4424-b092-2b658c688801"/>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C10BB469-C41E-47A8-B4C6-7FDB68C3C3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75253ff-189d-4b1b-a7a0-490ea96e7803"/>
    <ds:schemaRef ds:uri="8c038583-2837-4424-b092-2b658c6888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2023-08-09T20:37:31Z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0x010100427775E571837D4D93E1FFACE373822A</vt:lpwstr>
  </property>
</Properties>
</file>