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A80C27BE-894F-46C4-9A77-94CD7091C825}"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8" l="1"/>
  <c r="A25" i="18"/>
  <c r="A22" i="18"/>
  <c r="A19" i="18"/>
  <c r="A16" i="18"/>
  <c r="A13" i="18"/>
  <c r="A10" i="18"/>
  <c r="E77" i="22"/>
  <c r="D77" i="22"/>
  <c r="E75" i="22"/>
  <c r="D75" i="22"/>
  <c r="D66" i="22"/>
  <c r="E65" i="22"/>
  <c r="E67" i="22" s="1"/>
  <c r="D65" i="22"/>
  <c r="D67" i="22" s="1"/>
  <c r="E62" i="22"/>
  <c r="D60" i="22"/>
  <c r="E59" i="22"/>
  <c r="E61" i="22" s="1"/>
  <c r="D59" i="22"/>
  <c r="D62" i="22" s="1"/>
  <c r="B53" i="22"/>
  <c r="B52" i="22"/>
  <c r="B46" i="22"/>
  <c r="E38" i="22"/>
  <c r="D38" i="22"/>
  <c r="C38" i="22"/>
  <c r="E33" i="22"/>
  <c r="E34" i="22" s="1"/>
  <c r="D33" i="22"/>
  <c r="D34" i="22" s="1"/>
  <c r="E26" i="22"/>
  <c r="D26" i="22"/>
  <c r="E15" i="22"/>
  <c r="D15" i="22"/>
  <c r="E129" i="15"/>
  <c r="F128" i="15"/>
  <c r="F127" i="15"/>
  <c r="F126" i="15"/>
  <c r="F125" i="15"/>
  <c r="F124" i="15"/>
  <c r="F123" i="15"/>
  <c r="F122" i="15"/>
  <c r="F121" i="15"/>
  <c r="F120" i="15"/>
  <c r="E111" i="15"/>
  <c r="D111" i="15"/>
  <c r="F110" i="15"/>
  <c r="F109" i="15"/>
  <c r="F108" i="15"/>
  <c r="F107" i="15"/>
  <c r="F106" i="15"/>
  <c r="F105" i="15"/>
  <c r="F104" i="15"/>
  <c r="F103" i="15"/>
  <c r="F102" i="15"/>
  <c r="F101" i="15"/>
  <c r="F100" i="15"/>
  <c r="F99" i="15"/>
  <c r="F98" i="15"/>
  <c r="C96" i="15"/>
  <c r="E93" i="15"/>
  <c r="D93" i="15"/>
  <c r="F92" i="15"/>
  <c r="F91" i="15"/>
  <c r="F90" i="15"/>
  <c r="F89" i="15"/>
  <c r="F88" i="15"/>
  <c r="F87" i="15"/>
  <c r="F86" i="15"/>
  <c r="F85" i="15"/>
  <c r="F84" i="15"/>
  <c r="F83" i="15"/>
  <c r="F82" i="15"/>
  <c r="F81" i="15"/>
  <c r="F80" i="15"/>
  <c r="F79" i="15"/>
  <c r="F78" i="15"/>
  <c r="F77" i="15"/>
  <c r="F76" i="15"/>
  <c r="F75" i="15"/>
  <c r="F74" i="15"/>
  <c r="F73" i="15"/>
  <c r="F72" i="15"/>
  <c r="F71" i="15"/>
  <c r="F69" i="15"/>
  <c r="F68" i="15"/>
  <c r="F67" i="15"/>
  <c r="F66" i="15"/>
  <c r="F65" i="15"/>
  <c r="F64" i="15"/>
  <c r="C61" i="15"/>
  <c r="E57" i="15"/>
  <c r="E113" i="15" s="1"/>
  <c r="D57" i="15"/>
  <c r="F57" i="15" s="1"/>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B1" i="15"/>
  <c r="D96" i="8"/>
  <c r="C96" i="8"/>
  <c r="D21" i="8"/>
  <c r="C21" i="8"/>
  <c r="B21" i="8"/>
  <c r="E20" i="8"/>
  <c r="E19" i="8"/>
  <c r="E18" i="8"/>
  <c r="E17" i="8"/>
  <c r="E16" i="8"/>
  <c r="E15" i="8"/>
  <c r="E14" i="8"/>
  <c r="E12" i="8"/>
  <c r="E11" i="8"/>
  <c r="E10" i="8"/>
  <c r="B3" i="8"/>
  <c r="G262" i="7"/>
  <c r="G266" i="7" s="1"/>
  <c r="C102" i="3" s="1"/>
  <c r="G246" i="7"/>
  <c r="G228" i="7"/>
  <c r="G194" i="7"/>
  <c r="G140" i="7"/>
  <c r="G128" i="7"/>
  <c r="G119" i="7"/>
  <c r="G115" i="7"/>
  <c r="G105" i="7"/>
  <c r="G96" i="7"/>
  <c r="G71" i="7"/>
  <c r="B2" i="7"/>
  <c r="C94" i="12"/>
  <c r="E29" i="12"/>
  <c r="E20" i="12"/>
  <c r="E30" i="12" s="1"/>
  <c r="B7" i="12"/>
  <c r="B69" i="6"/>
  <c r="B60" i="6"/>
  <c r="B70" i="6" s="1"/>
  <c r="D43" i="6"/>
  <c r="E42" i="6"/>
  <c r="F42" i="6" s="1"/>
  <c r="G40" i="7" s="1"/>
  <c r="E41" i="6"/>
  <c r="F41" i="6" s="1"/>
  <c r="G39" i="7" s="1"/>
  <c r="E36" i="6"/>
  <c r="D36" i="6"/>
  <c r="F36" i="6" s="1"/>
  <c r="G35" i="6"/>
  <c r="F35" i="6"/>
  <c r="H35" i="6" s="1"/>
  <c r="G33" i="7" s="1"/>
  <c r="H34" i="6"/>
  <c r="G32" i="7" s="1"/>
  <c r="G34" i="6"/>
  <c r="F34" i="6"/>
  <c r="G33" i="6"/>
  <c r="F33" i="6"/>
  <c r="G32" i="6"/>
  <c r="F32" i="6"/>
  <c r="H32" i="6" s="1"/>
  <c r="G30" i="7" s="1"/>
  <c r="D26" i="6"/>
  <c r="E24" i="6"/>
  <c r="F24" i="6" s="1"/>
  <c r="G26" i="7" s="1"/>
  <c r="E23" i="6"/>
  <c r="F23" i="6" s="1"/>
  <c r="G25" i="7" s="1"/>
  <c r="E22" i="6"/>
  <c r="F22" i="6" s="1"/>
  <c r="G24" i="7" s="1"/>
  <c r="E21" i="6"/>
  <c r="F21" i="6" s="1"/>
  <c r="G23" i="7" s="1"/>
  <c r="E20" i="6"/>
  <c r="F20" i="6" s="1"/>
  <c r="G22" i="7" s="1"/>
  <c r="E19" i="6"/>
  <c r="F19" i="6" s="1"/>
  <c r="E17" i="6"/>
  <c r="D17" i="6"/>
  <c r="G15" i="6"/>
  <c r="F15" i="6"/>
  <c r="H15" i="6" s="1"/>
  <c r="G17" i="7" s="1"/>
  <c r="G14" i="6"/>
  <c r="F14" i="6"/>
  <c r="G13" i="6"/>
  <c r="F13" i="6"/>
  <c r="G12" i="6"/>
  <c r="H12" i="6" s="1"/>
  <c r="G14" i="7" s="1"/>
  <c r="F12" i="6"/>
  <c r="G11" i="6"/>
  <c r="F11" i="6"/>
  <c r="G10" i="6"/>
  <c r="F10" i="6"/>
  <c r="B5" i="6"/>
  <c r="H38" i="5"/>
  <c r="I38" i="5" s="1"/>
  <c r="B38" i="5"/>
  <c r="A38" i="5"/>
  <c r="B37" i="5"/>
  <c r="H37" i="5" s="1"/>
  <c r="I37" i="5" s="1"/>
  <c r="A37" i="5"/>
  <c r="B35" i="5"/>
  <c r="H35" i="5" s="1"/>
  <c r="I35" i="5" s="1"/>
  <c r="A35" i="5"/>
  <c r="B34" i="5"/>
  <c r="H34" i="5" s="1"/>
  <c r="I34" i="5" s="1"/>
  <c r="A34" i="5"/>
  <c r="B31" i="5"/>
  <c r="H31" i="5" s="1"/>
  <c r="I31" i="5" s="1"/>
  <c r="A31" i="5"/>
  <c r="E30" i="5"/>
  <c r="B30" i="5"/>
  <c r="A30" i="5"/>
  <c r="E29" i="5"/>
  <c r="B29" i="5"/>
  <c r="A29" i="5"/>
  <c r="H23" i="5"/>
  <c r="G23" i="5"/>
  <c r="G22" i="5"/>
  <c r="H22" i="5" s="1"/>
  <c r="G20" i="5"/>
  <c r="H20" i="5" s="1"/>
  <c r="G19" i="5"/>
  <c r="H19" i="5" s="1"/>
  <c r="G16" i="5"/>
  <c r="H16" i="5" s="1"/>
  <c r="H15" i="5"/>
  <c r="G15" i="5"/>
  <c r="G14" i="5"/>
  <c r="H14" i="5" s="1"/>
  <c r="D8" i="5"/>
  <c r="E40" i="4"/>
  <c r="C101" i="3" s="1"/>
  <c r="E36" i="4"/>
  <c r="C109" i="3" s="1"/>
  <c r="D33" i="4"/>
  <c r="E26" i="4"/>
  <c r="E19" i="4"/>
  <c r="C74" i="3" s="1"/>
  <c r="E16" i="4"/>
  <c r="C8" i="4"/>
  <c r="C112" i="3"/>
  <c r="C108" i="3"/>
  <c r="E87" i="3"/>
  <c r="D87" i="3"/>
  <c r="D86" i="3"/>
  <c r="G81" i="7" s="1"/>
  <c r="E86" i="3" s="1"/>
  <c r="F86" i="3" s="1"/>
  <c r="E85" i="3"/>
  <c r="F85" i="3" s="1"/>
  <c r="D85" i="3"/>
  <c r="C77" i="3"/>
  <c r="C75" i="3"/>
  <c r="E64" i="3"/>
  <c r="E63" i="3"/>
  <c r="E62" i="3"/>
  <c r="E61" i="3"/>
  <c r="E60" i="3"/>
  <c r="E59" i="3"/>
  <c r="E55" i="3"/>
  <c r="D55" i="3"/>
  <c r="E48" i="3"/>
  <c r="E47" i="3"/>
  <c r="E46" i="3"/>
  <c r="E45" i="3"/>
  <c r="E44" i="3"/>
  <c r="E40" i="3"/>
  <c r="B215" i="23"/>
  <c r="B180" i="23"/>
  <c r="AF139" i="23"/>
  <c r="AE139" i="23"/>
  <c r="AA139" i="23"/>
  <c r="X139" i="23"/>
  <c r="W139" i="23"/>
  <c r="R139" i="23"/>
  <c r="Q139" i="23"/>
  <c r="O139" i="23"/>
  <c r="N139" i="23"/>
  <c r="L139" i="23"/>
  <c r="K139" i="23"/>
  <c r="I139" i="23"/>
  <c r="H139" i="23"/>
  <c r="F139" i="23"/>
  <c r="E139" i="23"/>
  <c r="B139" i="23"/>
  <c r="AG138" i="23"/>
  <c r="AB138" i="23" s="1"/>
  <c r="Z138" i="23" s="1"/>
  <c r="AD138" i="23"/>
  <c r="V138" i="23"/>
  <c r="S138" i="23"/>
  <c r="P138" i="23"/>
  <c r="M138" i="23"/>
  <c r="J138" i="23"/>
  <c r="G138" i="23"/>
  <c r="D138" i="23"/>
  <c r="T138" i="23" s="1"/>
  <c r="A138" i="23"/>
  <c r="AG137" i="23"/>
  <c r="AD137" i="23"/>
  <c r="AB137" i="23"/>
  <c r="Z137" i="23"/>
  <c r="V137" i="23"/>
  <c r="S137" i="23"/>
  <c r="P137" i="23"/>
  <c r="M137" i="23"/>
  <c r="J137" i="23"/>
  <c r="G137" i="23"/>
  <c r="D137" i="23"/>
  <c r="T137" i="23" s="1"/>
  <c r="A137" i="23"/>
  <c r="AG136" i="23"/>
  <c r="AB136" i="23" s="1"/>
  <c r="Z136" i="23" s="1"/>
  <c r="AD136" i="23"/>
  <c r="V136" i="23"/>
  <c r="S136" i="23"/>
  <c r="P136" i="23"/>
  <c r="M136" i="23"/>
  <c r="J136" i="23"/>
  <c r="T136" i="23" s="1"/>
  <c r="G136" i="23"/>
  <c r="D136" i="23"/>
  <c r="A136" i="23"/>
  <c r="AG135" i="23"/>
  <c r="AB135" i="23"/>
  <c r="Z135" i="23" s="1"/>
  <c r="V135" i="23"/>
  <c r="S135" i="23"/>
  <c r="P135" i="23"/>
  <c r="M135" i="23"/>
  <c r="J135" i="23"/>
  <c r="G135" i="23"/>
  <c r="D135" i="23"/>
  <c r="T135" i="23" s="1"/>
  <c r="A135" i="23"/>
  <c r="AD135" i="23" s="1"/>
  <c r="AG134" i="23"/>
  <c r="AB134" i="23"/>
  <c r="Z134" i="23" s="1"/>
  <c r="V134" i="23"/>
  <c r="S134" i="23"/>
  <c r="P134" i="23"/>
  <c r="M134" i="23"/>
  <c r="J134" i="23"/>
  <c r="G134" i="23"/>
  <c r="T134" i="23" s="1"/>
  <c r="D134" i="23"/>
  <c r="A134" i="23"/>
  <c r="AD134" i="23" s="1"/>
  <c r="AG133" i="23"/>
  <c r="AB133" i="23"/>
  <c r="Z133" i="23" s="1"/>
  <c r="V133" i="23"/>
  <c r="S133" i="23"/>
  <c r="P133" i="23"/>
  <c r="M133" i="23"/>
  <c r="J133" i="23"/>
  <c r="G133" i="23"/>
  <c r="T133" i="23" s="1"/>
  <c r="D133" i="23"/>
  <c r="A133" i="23"/>
  <c r="AD133" i="23" s="1"/>
  <c r="AG132" i="23"/>
  <c r="AB132" i="23" s="1"/>
  <c r="Z132" i="23" s="1"/>
  <c r="AD132" i="23"/>
  <c r="V132" i="23"/>
  <c r="T132" i="23"/>
  <c r="S132" i="23"/>
  <c r="P132" i="23"/>
  <c r="M132" i="23"/>
  <c r="J132" i="23"/>
  <c r="G132" i="23"/>
  <c r="D132" i="23"/>
  <c r="A132" i="23"/>
  <c r="AG131" i="23"/>
  <c r="AB131" i="23" s="1"/>
  <c r="Z131" i="23" s="1"/>
  <c r="V131" i="23"/>
  <c r="S131" i="23"/>
  <c r="P131" i="23"/>
  <c r="M131" i="23"/>
  <c r="J131" i="23"/>
  <c r="G131" i="23"/>
  <c r="D131" i="23"/>
  <c r="T131" i="23" s="1"/>
  <c r="A131" i="23"/>
  <c r="AD131" i="23" s="1"/>
  <c r="AG130" i="23"/>
  <c r="AB130" i="23" s="1"/>
  <c r="Z130" i="23" s="1"/>
  <c r="AD130" i="23"/>
  <c r="V130" i="23"/>
  <c r="S130" i="23"/>
  <c r="P130" i="23"/>
  <c r="M130" i="23"/>
  <c r="J130" i="23"/>
  <c r="G130" i="23"/>
  <c r="D130" i="23"/>
  <c r="T130" i="23" s="1"/>
  <c r="A130" i="23"/>
  <c r="AG129" i="23"/>
  <c r="AD129" i="23"/>
  <c r="AB129" i="23"/>
  <c r="Z129" i="23"/>
  <c r="V129" i="23"/>
  <c r="S129" i="23"/>
  <c r="P129" i="23"/>
  <c r="M129" i="23"/>
  <c r="J129" i="23"/>
  <c r="G129" i="23"/>
  <c r="D129" i="23"/>
  <c r="T129" i="23" s="1"/>
  <c r="A129" i="23"/>
  <c r="AG128" i="23"/>
  <c r="AB128" i="23" s="1"/>
  <c r="Z128" i="23" s="1"/>
  <c r="AD128" i="23"/>
  <c r="V128" i="23"/>
  <c r="S128" i="23"/>
  <c r="P128" i="23"/>
  <c r="M128" i="23"/>
  <c r="J128" i="23"/>
  <c r="T128" i="23" s="1"/>
  <c r="G128" i="23"/>
  <c r="D128" i="23"/>
  <c r="A128" i="23"/>
  <c r="AG127" i="23"/>
  <c r="AB127" i="23" s="1"/>
  <c r="Z127" i="23" s="1"/>
  <c r="V127" i="23"/>
  <c r="S127" i="23"/>
  <c r="P127" i="23"/>
  <c r="M127" i="23"/>
  <c r="J127" i="23"/>
  <c r="G127" i="23"/>
  <c r="D127" i="23"/>
  <c r="T127" i="23" s="1"/>
  <c r="A127" i="23"/>
  <c r="AD127" i="23" s="1"/>
  <c r="AG126" i="23"/>
  <c r="AB126" i="23"/>
  <c r="Z126" i="23" s="1"/>
  <c r="V126" i="23"/>
  <c r="S126" i="23"/>
  <c r="P126" i="23"/>
  <c r="M126" i="23"/>
  <c r="J126" i="23"/>
  <c r="G126" i="23"/>
  <c r="D126" i="23"/>
  <c r="T126" i="23" s="1"/>
  <c r="A126" i="23"/>
  <c r="AD126" i="23" s="1"/>
  <c r="AG125" i="23"/>
  <c r="AB125" i="23"/>
  <c r="Z125" i="23" s="1"/>
  <c r="V125" i="23"/>
  <c r="S125" i="23"/>
  <c r="P125" i="23"/>
  <c r="M125" i="23"/>
  <c r="J125" i="23"/>
  <c r="G125" i="23"/>
  <c r="T125" i="23" s="1"/>
  <c r="D125" i="23"/>
  <c r="A125" i="23"/>
  <c r="AD125" i="23" s="1"/>
  <c r="AG124" i="23"/>
  <c r="AB124" i="23" s="1"/>
  <c r="Z124" i="23" s="1"/>
  <c r="AD124" i="23"/>
  <c r="V124" i="23"/>
  <c r="T124" i="23"/>
  <c r="S124" i="23"/>
  <c r="P124" i="23"/>
  <c r="M124" i="23"/>
  <c r="J124" i="23"/>
  <c r="G124" i="23"/>
  <c r="D124" i="23"/>
  <c r="A124" i="23"/>
  <c r="AG123" i="23"/>
  <c r="AB123" i="23" s="1"/>
  <c r="Z123" i="23" s="1"/>
  <c r="V123" i="23"/>
  <c r="S123" i="23"/>
  <c r="P123" i="23"/>
  <c r="M123" i="23"/>
  <c r="J123" i="23"/>
  <c r="G123" i="23"/>
  <c r="D123" i="23"/>
  <c r="T123" i="23" s="1"/>
  <c r="A123" i="23"/>
  <c r="AD123" i="23" s="1"/>
  <c r="AG122" i="23"/>
  <c r="AB122" i="23" s="1"/>
  <c r="Z122" i="23" s="1"/>
  <c r="AD122" i="23"/>
  <c r="V122" i="23"/>
  <c r="S122" i="23"/>
  <c r="P122" i="23"/>
  <c r="M122" i="23"/>
  <c r="J122" i="23"/>
  <c r="G122" i="23"/>
  <c r="D122" i="23"/>
  <c r="T122" i="23" s="1"/>
  <c r="A122" i="23"/>
  <c r="AG121" i="23"/>
  <c r="AD121" i="23"/>
  <c r="AB121" i="23"/>
  <c r="Z121" i="23"/>
  <c r="V121" i="23"/>
  <c r="S121" i="23"/>
  <c r="P121" i="23"/>
  <c r="M121" i="23"/>
  <c r="J121" i="23"/>
  <c r="G121" i="23"/>
  <c r="D121" i="23"/>
  <c r="T121" i="23" s="1"/>
  <c r="A121" i="23"/>
  <c r="AG120" i="23"/>
  <c r="AB120" i="23" s="1"/>
  <c r="Z120" i="23" s="1"/>
  <c r="V120" i="23"/>
  <c r="S120" i="23"/>
  <c r="P120" i="23"/>
  <c r="M120" i="23"/>
  <c r="J120" i="23"/>
  <c r="G120" i="23"/>
  <c r="D120" i="23"/>
  <c r="T120" i="23" s="1"/>
  <c r="A120" i="23"/>
  <c r="AD120" i="23" s="1"/>
  <c r="AG119" i="23"/>
  <c r="AB119" i="23" s="1"/>
  <c r="Z119" i="23" s="1"/>
  <c r="AD119" i="23"/>
  <c r="V119" i="23"/>
  <c r="S119" i="23"/>
  <c r="P119" i="23"/>
  <c r="M119" i="23"/>
  <c r="J119" i="23"/>
  <c r="G119" i="23"/>
  <c r="D119" i="23"/>
  <c r="D139" i="23" s="1"/>
  <c r="A119" i="23"/>
  <c r="AG118" i="23"/>
  <c r="AB118" i="23" s="1"/>
  <c r="Z118" i="23" s="1"/>
  <c r="AD118" i="23"/>
  <c r="V118" i="23"/>
  <c r="T118" i="23"/>
  <c r="S118" i="23"/>
  <c r="P118" i="23"/>
  <c r="M118" i="23"/>
  <c r="J118" i="23"/>
  <c r="G118" i="23"/>
  <c r="D118" i="23"/>
  <c r="A118" i="23"/>
  <c r="AG117" i="23"/>
  <c r="AB117" i="23"/>
  <c r="Z117" i="23" s="1"/>
  <c r="V117" i="23"/>
  <c r="S117" i="23"/>
  <c r="P117" i="23"/>
  <c r="M117" i="23"/>
  <c r="J117" i="23"/>
  <c r="G117" i="23"/>
  <c r="D117" i="23"/>
  <c r="T117" i="23" s="1"/>
  <c r="A117" i="23"/>
  <c r="AD117" i="23" s="1"/>
  <c r="AG116" i="23"/>
  <c r="AB116" i="23"/>
  <c r="Z116" i="23" s="1"/>
  <c r="V116" i="23"/>
  <c r="S116" i="23"/>
  <c r="P116" i="23"/>
  <c r="M116" i="23"/>
  <c r="J116" i="23"/>
  <c r="G116" i="23"/>
  <c r="T116" i="23" s="1"/>
  <c r="D116" i="23"/>
  <c r="A116" i="23"/>
  <c r="AD116" i="23" s="1"/>
  <c r="AG115" i="23"/>
  <c r="AB115" i="23" s="1"/>
  <c r="Z115" i="23" s="1"/>
  <c r="AD115" i="23"/>
  <c r="V115" i="23"/>
  <c r="T115" i="23"/>
  <c r="S115" i="23"/>
  <c r="P115" i="23"/>
  <c r="M115" i="23"/>
  <c r="J115" i="23"/>
  <c r="G115" i="23"/>
  <c r="D115" i="23"/>
  <c r="A115" i="23"/>
  <c r="AG114" i="23"/>
  <c r="AB114" i="23"/>
  <c r="Z114" i="23" s="1"/>
  <c r="V114" i="23"/>
  <c r="S114" i="23"/>
  <c r="P114" i="23"/>
  <c r="M114" i="23"/>
  <c r="J114" i="23"/>
  <c r="G114" i="23"/>
  <c r="G139" i="23" s="1"/>
  <c r="D114" i="23"/>
  <c r="T114" i="23" s="1"/>
  <c r="A114" i="23"/>
  <c r="AD114" i="23" s="1"/>
  <c r="AO113" i="23"/>
  <c r="AG113" i="23"/>
  <c r="AB113" i="23" s="1"/>
  <c r="Z113" i="23" s="1"/>
  <c r="AD113" i="23"/>
  <c r="V113" i="23"/>
  <c r="S113" i="23"/>
  <c r="P113" i="23"/>
  <c r="M113" i="23"/>
  <c r="J113" i="23"/>
  <c r="T113" i="23" s="1"/>
  <c r="G113" i="23"/>
  <c r="D113" i="23"/>
  <c r="A113" i="23"/>
  <c r="AG112" i="23"/>
  <c r="AB112" i="23" s="1"/>
  <c r="Z112" i="23" s="1"/>
  <c r="V112" i="23"/>
  <c r="S112" i="23"/>
  <c r="P112" i="23"/>
  <c r="M112" i="23"/>
  <c r="J112" i="23"/>
  <c r="G112" i="23"/>
  <c r="D112" i="23"/>
  <c r="T112" i="23" s="1"/>
  <c r="A112" i="23"/>
  <c r="AD112" i="23" s="1"/>
  <c r="AG111" i="23"/>
  <c r="AG139" i="23" s="1"/>
  <c r="AD111" i="23"/>
  <c r="AB111" i="23"/>
  <c r="Z111" i="23"/>
  <c r="V111" i="23"/>
  <c r="V139" i="23" s="1"/>
  <c r="S111" i="23"/>
  <c r="S139" i="23" s="1"/>
  <c r="P111" i="23"/>
  <c r="P139" i="23" s="1"/>
  <c r="M111" i="23"/>
  <c r="M139" i="23" s="1"/>
  <c r="J111" i="23"/>
  <c r="J139" i="23" s="1"/>
  <c r="G111" i="23"/>
  <c r="D111" i="23"/>
  <c r="T111" i="23" s="1"/>
  <c r="A111" i="23"/>
  <c r="D64" i="3" s="1"/>
  <c r="B97" i="23"/>
  <c r="E96" i="23"/>
  <c r="F96" i="23" s="1"/>
  <c r="D96" i="23"/>
  <c r="C96" i="23"/>
  <c r="A96" i="23"/>
  <c r="D95" i="23"/>
  <c r="E95" i="23" s="1"/>
  <c r="C95" i="23"/>
  <c r="A95" i="23"/>
  <c r="D94" i="23"/>
  <c r="E94" i="23" s="1"/>
  <c r="F94" i="23" s="1"/>
  <c r="C94" i="23"/>
  <c r="A94" i="23"/>
  <c r="D93" i="23"/>
  <c r="E93" i="23" s="1"/>
  <c r="F93" i="23" s="1"/>
  <c r="C93" i="23"/>
  <c r="A93" i="23"/>
  <c r="C92" i="23"/>
  <c r="D92" i="23" s="1"/>
  <c r="E92" i="23" s="1"/>
  <c r="F92" i="23" s="1"/>
  <c r="A92" i="23"/>
  <c r="C91" i="23"/>
  <c r="A91" i="23"/>
  <c r="C90" i="23"/>
  <c r="D90" i="23" s="1"/>
  <c r="E90" i="23" s="1"/>
  <c r="A90" i="23"/>
  <c r="C89" i="23"/>
  <c r="A89" i="23"/>
  <c r="E88" i="23"/>
  <c r="F88" i="23" s="1"/>
  <c r="D88" i="23"/>
  <c r="C88" i="23"/>
  <c r="A88" i="23"/>
  <c r="D87" i="23"/>
  <c r="E87" i="23" s="1"/>
  <c r="C87" i="23"/>
  <c r="A87" i="23"/>
  <c r="D86" i="23"/>
  <c r="E86" i="23" s="1"/>
  <c r="F86" i="23" s="1"/>
  <c r="C86" i="23"/>
  <c r="A86" i="23"/>
  <c r="D85" i="23"/>
  <c r="E85" i="23" s="1"/>
  <c r="F85" i="23" s="1"/>
  <c r="C85" i="23"/>
  <c r="A85" i="23"/>
  <c r="C84" i="23"/>
  <c r="A84" i="23"/>
  <c r="C83" i="23"/>
  <c r="A83" i="23"/>
  <c r="C82" i="23"/>
  <c r="D82" i="23" s="1"/>
  <c r="E82" i="23" s="1"/>
  <c r="A82" i="23"/>
  <c r="C81" i="23"/>
  <c r="A81" i="23"/>
  <c r="D80" i="23"/>
  <c r="E80" i="23" s="1"/>
  <c r="F80" i="23" s="1"/>
  <c r="C80" i="23"/>
  <c r="A80" i="23"/>
  <c r="D79" i="23"/>
  <c r="E79" i="23" s="1"/>
  <c r="C79" i="23"/>
  <c r="F79" i="23" s="1"/>
  <c r="A79" i="23"/>
  <c r="D78" i="23"/>
  <c r="E78" i="23" s="1"/>
  <c r="F78" i="23" s="1"/>
  <c r="C78" i="23"/>
  <c r="A78" i="23"/>
  <c r="C77" i="23"/>
  <c r="D77" i="23" s="1"/>
  <c r="E77" i="23" s="1"/>
  <c r="F77" i="23" s="1"/>
  <c r="A77" i="23"/>
  <c r="C76" i="23"/>
  <c r="A76" i="23"/>
  <c r="C75" i="23"/>
  <c r="A75" i="23"/>
  <c r="C74" i="23"/>
  <c r="D74" i="23" s="1"/>
  <c r="E74" i="23" s="1"/>
  <c r="A74" i="23"/>
  <c r="C73" i="23"/>
  <c r="A73" i="23"/>
  <c r="D72" i="23"/>
  <c r="E72" i="23" s="1"/>
  <c r="F72" i="23" s="1"/>
  <c r="C72" i="23"/>
  <c r="A72" i="23"/>
  <c r="D71" i="23"/>
  <c r="E71" i="23" s="1"/>
  <c r="C71" i="23"/>
  <c r="F71" i="23" s="1"/>
  <c r="A71" i="23"/>
  <c r="D70" i="23"/>
  <c r="E70" i="23" s="1"/>
  <c r="F70" i="23" s="1"/>
  <c r="C70" i="23"/>
  <c r="A70" i="23"/>
  <c r="C69" i="23"/>
  <c r="D69" i="23" s="1"/>
  <c r="A69" i="23"/>
  <c r="B64" i="23"/>
  <c r="A63" i="23"/>
  <c r="D56" i="23"/>
  <c r="C56" i="23"/>
  <c r="E55" i="23"/>
  <c r="E54" i="23"/>
  <c r="E53" i="23"/>
  <c r="A53" i="23"/>
  <c r="E52" i="23"/>
  <c r="E51" i="23"/>
  <c r="E50" i="23"/>
  <c r="E49" i="23"/>
  <c r="E48" i="23"/>
  <c r="E46" i="23"/>
  <c r="E45" i="23"/>
  <c r="A45" i="23"/>
  <c r="E44" i="23"/>
  <c r="E43" i="23"/>
  <c r="E56" i="23" s="1"/>
  <c r="A43" i="23"/>
  <c r="C35" i="23"/>
  <c r="B34" i="23"/>
  <c r="D34" i="23" s="1"/>
  <c r="B33" i="23"/>
  <c r="D33" i="23" s="1"/>
  <c r="D32" i="23"/>
  <c r="B32" i="23"/>
  <c r="B31" i="23"/>
  <c r="D31" i="23" s="1"/>
  <c r="B30" i="23"/>
  <c r="D30" i="23" s="1"/>
  <c r="B29" i="23"/>
  <c r="D29" i="23" s="1"/>
  <c r="D28" i="23"/>
  <c r="B28" i="23"/>
  <c r="B27" i="23"/>
  <c r="D27" i="23" s="1"/>
  <c r="B26" i="23"/>
  <c r="D26" i="23" s="1"/>
  <c r="B25" i="23"/>
  <c r="D25" i="23" s="1"/>
  <c r="D24" i="23"/>
  <c r="B24" i="23"/>
  <c r="B23" i="23"/>
  <c r="D23" i="23" s="1"/>
  <c r="B22" i="23"/>
  <c r="D22" i="23" s="1"/>
  <c r="B21" i="23"/>
  <c r="D84" i="3" s="1"/>
  <c r="D20" i="23"/>
  <c r="B20" i="23"/>
  <c r="B19" i="23"/>
  <c r="D19" i="23" s="1"/>
  <c r="B18" i="23"/>
  <c r="D18" i="23" s="1"/>
  <c r="B17" i="23"/>
  <c r="D17" i="23" s="1"/>
  <c r="D16" i="23"/>
  <c r="B16" i="23"/>
  <c r="B15" i="23"/>
  <c r="D15" i="23" s="1"/>
  <c r="B14" i="23"/>
  <c r="D14" i="23" s="1"/>
  <c r="B13" i="23"/>
  <c r="D13" i="23" s="1"/>
  <c r="D12" i="23"/>
  <c r="B12" i="23"/>
  <c r="B11" i="23"/>
  <c r="D11" i="23" s="1"/>
  <c r="B10" i="23"/>
  <c r="D10" i="23" s="1"/>
  <c r="B9" i="23"/>
  <c r="D9" i="23" s="1"/>
  <c r="D8" i="23"/>
  <c r="B8" i="23"/>
  <c r="B7" i="23"/>
  <c r="D7" i="23" s="1"/>
  <c r="F87" i="23" l="1"/>
  <c r="E131" i="15"/>
  <c r="F81" i="23"/>
  <c r="D68" i="22"/>
  <c r="Z139" i="23"/>
  <c r="D88" i="3"/>
  <c r="G75" i="7"/>
  <c r="E69" i="23"/>
  <c r="F95" i="23"/>
  <c r="AB139" i="23"/>
  <c r="AO111" i="23" s="1"/>
  <c r="AO114" i="23" s="1"/>
  <c r="E49" i="3"/>
  <c r="F60" i="3"/>
  <c r="G60" i="3" s="1"/>
  <c r="F74" i="23"/>
  <c r="D76" i="23"/>
  <c r="E76" i="23" s="1"/>
  <c r="F76" i="23" s="1"/>
  <c r="F82" i="23"/>
  <c r="D84" i="23"/>
  <c r="E84" i="23" s="1"/>
  <c r="F84" i="23" s="1"/>
  <c r="F90" i="23"/>
  <c r="C97" i="23"/>
  <c r="T119" i="23"/>
  <c r="T139" i="23" s="1"/>
  <c r="D46" i="3"/>
  <c r="F46" i="3" s="1"/>
  <c r="G46" i="3" s="1"/>
  <c r="D61" i="3"/>
  <c r="F61" i="3" s="1"/>
  <c r="G61" i="3" s="1"/>
  <c r="H30" i="5"/>
  <c r="I30" i="5" s="1"/>
  <c r="F17" i="6"/>
  <c r="E50" i="3" s="1"/>
  <c r="H14" i="6"/>
  <c r="G16" i="7" s="1"/>
  <c r="D69" i="22"/>
  <c r="F64" i="3"/>
  <c r="G64" i="3" s="1"/>
  <c r="D21" i="23"/>
  <c r="D35" i="23" s="1"/>
  <c r="D73" i="23"/>
  <c r="E73" i="23" s="1"/>
  <c r="F73" i="23" s="1"/>
  <c r="D81" i="23"/>
  <c r="E81" i="23" s="1"/>
  <c r="D89" i="23"/>
  <c r="E89" i="23" s="1"/>
  <c r="F89" i="23" s="1"/>
  <c r="H33" i="6"/>
  <c r="D62" i="3"/>
  <c r="F62" i="3" s="1"/>
  <c r="G62" i="3" s="1"/>
  <c r="D70" i="22"/>
  <c r="D75" i="23"/>
  <c r="E75" i="23" s="1"/>
  <c r="F75" i="23" s="1"/>
  <c r="D83" i="23"/>
  <c r="E83" i="23" s="1"/>
  <c r="F83" i="23" s="1"/>
  <c r="D91" i="23"/>
  <c r="E91" i="23" s="1"/>
  <c r="F91" i="23" s="1"/>
  <c r="D59" i="3"/>
  <c r="C78" i="3"/>
  <c r="F87" i="3"/>
  <c r="H11" i="6"/>
  <c r="G13" i="7" s="1"/>
  <c r="E60" i="22"/>
  <c r="E66" i="22"/>
  <c r="D48" i="3"/>
  <c r="E65" i="3"/>
  <c r="D63" i="3"/>
  <c r="H29" i="5"/>
  <c r="I29" i="5" s="1"/>
  <c r="E39" i="6"/>
  <c r="F39" i="6" s="1"/>
  <c r="G37" i="7" s="1"/>
  <c r="F93" i="15"/>
  <c r="F111" i="15"/>
  <c r="D61" i="22"/>
  <c r="D47" i="3"/>
  <c r="F47" i="3" s="1"/>
  <c r="G47" i="3" s="1"/>
  <c r="B35" i="23"/>
  <c r="F48" i="3"/>
  <c r="G48" i="3" s="1"/>
  <c r="F63" i="3"/>
  <c r="G63" i="3" s="1"/>
  <c r="D49" i="3"/>
  <c r="D60" i="3"/>
  <c r="D45" i="3" s="1"/>
  <c r="F45" i="3" s="1"/>
  <c r="G45" i="3" s="1"/>
  <c r="H13" i="6"/>
  <c r="G15" i="7" s="1"/>
  <c r="F26" i="6"/>
  <c r="G21" i="7"/>
  <c r="G28" i="7" s="1"/>
  <c r="E40" i="6"/>
  <c r="F40" i="6" s="1"/>
  <c r="G38" i="7" s="1"/>
  <c r="H36" i="6"/>
  <c r="G31" i="7"/>
  <c r="G35" i="7" s="1"/>
  <c r="D119" i="15"/>
  <c r="H10" i="6"/>
  <c r="D113" i="15"/>
  <c r="C110" i="3"/>
  <c r="C114" i="3" s="1"/>
  <c r="C93" i="3"/>
  <c r="E21" i="8"/>
  <c r="C94" i="3"/>
  <c r="C95" i="3"/>
  <c r="C103" i="3"/>
  <c r="G248" i="7"/>
  <c r="E25" i="4" s="1"/>
  <c r="E28" i="4" s="1"/>
  <c r="AO117" i="23" l="1"/>
  <c r="AO118" i="23" s="1"/>
  <c r="AO120" i="23" s="1"/>
  <c r="F49" i="3"/>
  <c r="G49" i="3" s="1"/>
  <c r="E84" i="3"/>
  <c r="G85" i="7"/>
  <c r="F97" i="23"/>
  <c r="F65" i="3"/>
  <c r="G65" i="3" s="1"/>
  <c r="F59" i="3"/>
  <c r="G59" i="3" s="1"/>
  <c r="D44" i="3"/>
  <c r="D65" i="3"/>
  <c r="E97" i="23"/>
  <c r="F69" i="23"/>
  <c r="E70" i="22"/>
  <c r="E69" i="22"/>
  <c r="E68" i="22"/>
  <c r="D97" i="23"/>
  <c r="G42" i="7"/>
  <c r="F43" i="6"/>
  <c r="H44" i="6" s="1"/>
  <c r="F119" i="15"/>
  <c r="C129" i="3"/>
  <c r="C121" i="3"/>
  <c r="H17" i="6"/>
  <c r="H27" i="6" s="1"/>
  <c r="D118" i="15"/>
  <c r="G12" i="7"/>
  <c r="G19" i="7" s="1"/>
  <c r="F113" i="15"/>
  <c r="C96" i="3"/>
  <c r="F84" i="3" l="1"/>
  <c r="F88" i="3" s="1"/>
  <c r="E88" i="3"/>
  <c r="G44" i="7"/>
  <c r="G63" i="7" s="1"/>
  <c r="G142" i="7" s="1"/>
  <c r="E18" i="4" s="1"/>
  <c r="E21" i="4" s="1"/>
  <c r="E23" i="4" s="1"/>
  <c r="E44" i="4" s="1"/>
  <c r="C17" i="3" s="1"/>
  <c r="D50" i="3"/>
  <c r="F50" i="3" s="1"/>
  <c r="G50" i="3" s="1"/>
  <c r="F44" i="3"/>
  <c r="G44" i="3" s="1"/>
  <c r="H46" i="6"/>
  <c r="C34" i="3" s="1"/>
  <c r="D129" i="15"/>
  <c r="D131" i="15" s="1"/>
  <c r="F118" i="15"/>
  <c r="F129" i="15" s="1"/>
  <c r="F131" i="15" s="1"/>
  <c r="C119" i="3"/>
  <c r="C126" i="3"/>
  <c r="D32" i="4" l="1"/>
  <c r="E35" i="4" s="1"/>
  <c r="E38" i="4" s="1"/>
  <c r="C1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1F10A5A2-766A-4706-B47D-2E73272ED1FD}">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654A5D60-CF9E-44A3-AA2F-F5E7C2AC2E0E}">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<sst xmlns="http://schemas.openxmlformats.org/spreadsheetml/2006/main" count="1349" uniqueCount="783">
  <si>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</si>
  <si>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</si>
  <si>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</si>
  <si>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</si>
  <si>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</si>
  <si>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</si>
  <si>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</si>
  <si>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</si>
  <si>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</si>
  <si>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</si>
  <si>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</si>
  <si>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</si>
  <si>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</si>
  <si>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</si>
  <si>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</si>
  <si>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</si>
  <si>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</si>
  <si>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</si>
  <si>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</si>
  <si>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</si>
  <si>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</si>
  <si>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</si>
  <si>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</si>
  <si>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</si>
  <si>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</si>
  <si>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</si>
  <si>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</si>
  <si>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</si>
  <si>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</si>
  <si>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</si>
  <si>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</si>
  <si>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</si>
  <si>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</si>
  <si>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</si>
  <si>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</si>
  <si>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</si>
  <si>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</si>
  <si>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</si>
  <si>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</si>
  <si>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</si>
  <si>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</si>
  <si>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</si>
  <si>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</si>
  <si>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</si>
  <si>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</si>
  <si>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</si>
  <si>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</si>
  <si>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</si>
  <si>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</si>
  <si>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</si>
  <si>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</si>
  <si>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</si>
  <si>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</si>
  <si>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</si>
  <si>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</si>
  <si>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</si>
  <si>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</si>
  <si>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</si>
  <si>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</si>
  <si>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</si>
  <si>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</si>
  <si>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</si>
  <si>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</si>
  <si>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</si>
  <si>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</si>
  <si>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</si>
  <si>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</si>
  <si>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</si>
  <si>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</si>
  <si>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</si>
  <si>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</si>
  <si>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</si>
  <si>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</si>
  <si>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</si>
  <si>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</si>
  <si>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</si>
  <si>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</si>
  <si>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</si>
  <si>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</si>
  <si>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</si>
  <si>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</si>
  <si>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</si>
  <si>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</si>
  <si>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</si>
  <si>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</si>
  <si>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</si>
  <si>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</si>
  <si>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</si>
  <si>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</si>
  <si>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</si>
  <si>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</si>
  <si>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</si>
  <si>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</si>
  <si>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</si>
  <si>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</si>
  <si>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</si>
  <si>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</si>
  <si>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</si>
  <si>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</si>
  <si>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</si>
  <si>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</si>
  <si>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</si>
  <si>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</si>
  <si>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</si>
  <si>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</si>
  <si>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</si>
  <si>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</si>
  <si>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</si>
  <si>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</si>
  <si>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</si>
  <si>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</si>
  <si>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</si>
  <si>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</si>
  <si>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</si>
  <si>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</si>
  <si>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</si>
  <si>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</si>
  <si>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</si>
  <si>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</si>
  <si>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</si>
  <si>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</si>
  <si>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</si>
  <si>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</si>
  <si>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</si>
  <si>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</si>
  <si>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</si>
  <si>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</si>
  <si>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</si>
  <si>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</si>
  <si>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</si>
  <si>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</si>
  <si>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</si>
  <si>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</si>
  <si>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</si>
  <si>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</si>
  <si>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</si>
  <si>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</si>
  <si>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</si>
  <si>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</si>
  <si>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</si>
  <si>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</si>
  <si>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</si>
  <si>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</si>
  <si>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</si>
  <si>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</si>
  <si>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</si>
  <si>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</si>
  <si>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</si>
  <si>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</si>
  <si>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</si>
  <si>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</si>
  <si>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</si>
  <si>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</si>
  <si>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</si>
  <si>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</si>
  <si>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</si>
  <si>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</si>
  <si>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</si>
  <si>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</si>
  <si>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</si>
  <si>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</si>
  <si>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</si>
  <si>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</si>
  <si>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</si>
  <si>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</si>
  <si>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</si>
  <si>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</si>
  <si>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</si>
  <si>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</si>
  <si>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</si>
  <si>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</si>
  <si>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</si>
  <si>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</si>
  <si>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</si>
  <si>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</si>
  <si>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</si>
  <si>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</si>
  <si>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</si>
  <si>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</si>
  <si>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</si>
  <si>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</si>
  <si>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</si>
  <si>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</si>
  <si>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</si>
  <si>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</si>
  <si>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</si>
  <si>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</si>
  <si>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</si>
  <si>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</si>
  <si>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</si>
  <si>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</si>
  <si>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</si>
  <si>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</si>
  <si>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</si>
  <si>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</si>
  <si>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</si>
  <si>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</si>
  <si>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</si>
  <si>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</si>
  <si>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</si>
  <si>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</si>
  <si>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</si>
  <si>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</si>
  <si>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</si>
  <si>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</si>
  <si>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</si>
  <si>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</si>
  <si>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</si>
  <si>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</si>
  <si>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</si>
  <si>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</si>
  <si>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</si>
  <si>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</si>
  <si>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</si>
  <si>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</si>
  <si>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</si>
  <si>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</si>
  <si>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</si>
  <si>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</si>
  <si>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</si>
  <si>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</si>
  <si>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</si>
  <si>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</si>
  <si>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</si>
  <si>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</si>
  <si>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</si>
  <si>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</si>
  <si>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</si>
  <si>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</si>
  <si>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</si>
  <si>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</si>
  <si>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</si>
  <si>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</si>
  <si>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</si>
  <si>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</si>
  <si>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</si>
  <si>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</si>
  <si>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</si>
  <si>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</si>
  <si>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</si>
  <si>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</si>
  <si>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</si>
  <si>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</si>
  <si>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</si>
  <si>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</si>
  <si>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</si>
  <si>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</si>
  <si>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</si>
  <si>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</si>
  <si>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</si>
  <si>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</si>
  <si>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</si>
  <si>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</si>
  <si>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</si>
  <si>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</si>
  <si>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</si>
  <si>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</si>
  <si>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</si>
  <si>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</si>
  <si>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</si>
  <si>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</si>
  <si>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</si>
  <si>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</si>
  <si>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</si>
  <si>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</si>
  <si>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</si>
  <si>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</si>
  <si>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</si>
  <si>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</si>
  <si>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</si>
  <si>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</si>
  <si>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</si>
  <si>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</si>
  <si>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</si>
  <si>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</si>
  <si>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</si>
  <si>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</si>
  <si>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</si>
  <si>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</si>
  <si>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</si>
  <si>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</si>
  <si>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</si>
  <si>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</si>
  <si>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</si>
  <si>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</si>
  <si>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</si>
  <si>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</si>
  <si>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</si>
  <si>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</si>
  <si>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</si>
  <si>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</si>
  <si>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</si>
  <si>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</si>
  <si>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</si>
  <si>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</si>
  <si>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</si>
  <si>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</si>
  <si>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</si>
  <si>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</si>
  <si>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</si>
  <si>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</si>
  <si>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</si>
  <si>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</si>
  <si>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</si>
  <si>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</si>
  <si>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</si>
  <si>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</si>
  <si>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</si>
  <si>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</si>
  <si>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</si>
  <si>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</si>
  <si>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</si>
  <si>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</si>
  <si>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</si>
  <si>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</si>
  <si>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</si>
  <si>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</si>
  <si>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</si>
  <si>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</si>
  <si>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</si>
  <si>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</si>
  <si>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</si>
  <si>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</si>
  <si>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</si>
  <si>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</si>
  <si>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</si>
  <si>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</si>
  <si>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</si>
  <si>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</si>
  <si>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</si>
  <si>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</si>
  <si>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</si>
  <si>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</si>
  <si>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</si>
  <si>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</si>
  <si>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</si>
  <si>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</si>
  <si>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</si>
  <si>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</si>
  <si>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</si>
  <si>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</si>
  <si>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</si>
  <si>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</si>
  <si>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</si>
  <si>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</si>
  <si>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</si>
  <si>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</si>
  <si>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</si>
  <si>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</si>
  <si>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</si>
  <si>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</si>
  <si>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</si>
  <si>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</si>
  <si>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</si>
  <si>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</si>
  <si>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</si>
  <si>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</si>
  <si>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</si>
  <si>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</si>
  <si>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</si>
  <si>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</si>
  <si>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</si>
  <si>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</si>
  <si>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</si>
  <si>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</si>
  <si>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</si>
  <si>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</si>
  <si>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</si>
  <si>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</si>
  <si>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</si>
  <si>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</si>
  <si>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</si>
  <si>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</si>
  <si>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</si>
  <si>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</si>
  <si>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</si>
  <si>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</si>
  <si>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</si>
  <si>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</si>
  <si>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</si>
  <si>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</si>
  <si>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</si>
  <si>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</si>
  <si>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</si>
  <si>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</si>
  <si>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</si>
  <si>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</si>
  <si>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</si>
  <si>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</si>
  <si>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</si>
  <si>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</si>
  <si>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</si>
  <si>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</si>
  <si>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</si>
  <si>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</si>
  <si>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</si>
  <si>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</si>
  <si>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</si>
  <si>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</si>
  <si>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</si>
  <si>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</si>
  <si>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</si>
  <si>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</si>
  <si>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</si>
  <si>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</si>
  <si>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</si>
  <si>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</si>
  <si>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</si>
  <si>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</si>
  <si>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</si>
  <si>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</si>
  <si>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</si>
  <si>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</si>
  <si>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</si>
  <si>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</si>
  <si>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</si>
  <si>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</si>
  <si>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</si>
  <si>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</si>
  <si>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</si>
  <si>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</si>
  <si>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</si>
  <si>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</si>
  <si>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</si>
  <si>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</si>
  <si>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</si>
  <si>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</si>
  <si>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</si>
  <si>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</si>
  <si>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</si>
  <si>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</si>
  <si>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</si>
  <si>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</si>
  <si>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</si>
  <si>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</si>
  <si>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</si>
  <si>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</si>
  <si>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</si>
  <si>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</si>
  <si>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</si>
  <si>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</si>
  <si>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</si>
  <si>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</si>
  <si>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</si>
  <si>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</si>
  <si>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</si>
  <si>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</si>
  <si>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</si>
  <si>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</si>
  <si>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</si>
  <si>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</si>
  <si>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</si>
  <si>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</si>
  <si>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</si>
  <si>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</si>
  <si>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</si>
  <si>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</si>
  <si>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</si>
  <si>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</si>
  <si>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</si>
  <si>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</si>
  <si>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</si>
  <si>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</si>
  <si>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</si>
  <si>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</si>
  <si>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</si>
  <si>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</si>
  <si>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</si>
  <si>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</si>
  <si>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</si>
  <si>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</si>
  <si>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</si>
  <si>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</si>
  <si>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</si>
  <si>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</si>
  <si>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</si>
  <si>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</si>
  <si>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</si>
  <si>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</si>
  <si>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</si>
  <si>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</si>
  <si>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</si>
  <si>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</si>
  <si>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</si>
  <si>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</si>
  <si>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</si>
  <si>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</si>
  <si>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</si>
  <si>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</si>
  <si>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</si>
  <si>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</si>
  <si>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</si>
  <si>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</si>
  <si>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</si>
  <si>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</si>
  <si>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</si>
  <si>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</si>
  <si>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</si>
  <si>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</si>
  <si>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</si>
  <si>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</si>
  <si>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</si>
  <si>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</si>
  <si>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</si>
  <si>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</si>
  <si>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</si>
  <si>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</si>
  <si>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</si>
  <si>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</si>
  <si>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</si>
  <si>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</si>
  <si>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</si>
  <si>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</si>
  <si>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</si>
  <si>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</si>
  <si>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</si>
  <si>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</si>
  <si>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</si>
  <si>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</si>
  <si>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</si>
  <si>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</si>
  <si>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</si>
  <si>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</si>
  <si>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</si>
  <si>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</si>
  <si>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</si>
  <si>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</si>
  <si>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</si>
  <si>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</si>
  <si>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</si>
  <si>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</si>
  <si>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</si>
  <si>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</si>
  <si>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</si>
  <si>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</si>
  <si>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</si>
  <si>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</si>
  <si>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</si>
  <si>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</si>
  <si>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</si>
  <si>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</si>
  <si>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</si>
  <si>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</si>
  <si>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</si>
  <si>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</si>
  <si>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</si>
  <si>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</si>
  <si>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</si>
  <si>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</si>
  <si>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</si>
  <si>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</si>
  <si>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</si>
  <si>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</si>
  <si>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</si>
  <si>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</si>
  <si>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</si>
  <si>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</si>
  <si>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</si>
  <si>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</si>
  <si>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</si>
  <si>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</si>
  <si>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</si>
  <si>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</si>
  <si>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</si>
  <si>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</si>
  <si>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</si>
  <si>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</si>
  <si>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</si>
  <si>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</si>
  <si>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</si>
  <si>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</si>
  <si>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</si>
  <si>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</si>
  <si>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</si>
  <si>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</si>
  <si>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</si>
  <si>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</si>
  <si>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</si>
  <si>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</si>
  <si>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</si>
  <si>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</si>
  <si>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</si>
  <si>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</si>
  <si>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</si>
  <si>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</si>
  <si>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</si>
  <si>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</si>
  <si>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</si>
  <si>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</si>
  <si>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</si>
  <si>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</si>
  <si>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</si>
  <si>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</si>
  <si>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</si>
  <si>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</si>
  <si>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</si>
  <si>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</si>
  <si>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</si>
  <si>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</si>
  <si>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</si>
  <si>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</si>
  <si>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</si>
  <si>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</si>
  <si>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</si>
  <si>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</si>
  <si>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</si>
  <si>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</si>
  <si>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</si>
  <si>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</si>
  <si>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</si>
  <si>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</si>
  <si>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</si>
  <si>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</si>
  <si>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</si>
  <si>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</si>
  <si>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</si>
  <si>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</si>
  <si>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</si>
  <si>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</si>
  <si>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</si>
  <si>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</si>
  <si>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</si>
  <si>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</si>
  <si>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</si>
  <si>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</si>
  <si>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</si>
  <si>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</si>
  <si>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</si>
  <si>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</si>
  <si>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</si>
  <si>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</si>
  <si>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</si>
  <si>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</si>
  <si>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</si>
  <si>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</si>
  <si>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</si>
  <si>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</si>
  <si>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</si>
  <si>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</si>
  <si>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</si>
  <si>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</si>
  <si>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</si>
  <si>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</si>
  <si>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</si>
  <si>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</si>
  <si>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</si>
  <si>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</si>
  <si>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</si>
  <si>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</si>
  <si>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</si>
  <si>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</si>
  <si>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</si>
  <si>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</si>
  <si>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</si>
  <si>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</si>
  <si>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</si>
  <si>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</si>
  <si>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</si>
  <si>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</si>
  <si>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</si>
  <si>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</si>
  <si>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</si>
  <si>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</si>
  <si>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</si>
  <si>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</si>
  <si>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</si>
  <si>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</si>
  <si>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</si>
  <si>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</si>
  <si>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</si>
  <si>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</si>
  <si>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</si>
  <si>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</si>
  <si>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</si>
  <si>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</si>
  <si>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</si>
  <si>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</si>
  <si>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</si>
  <si>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</si>
  <si>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</si>
  <si>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</si>
  <si>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</si>
  <si>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</si>
  <si>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</si>
  <si>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</si>
  <si>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</si>
  <si>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</si>
  <si>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</si>
  <si>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</si>
  <si>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</si>
  <si>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</si>
  <si>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</si>
  <si>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</si>
  <si>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</si>
  <si>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</si>
  <si>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</si>
  <si>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</si>
  <si>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</si>
  <si>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</si>
  <si>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</si>
  <si>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</si>
  <si>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</si>
  <si>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</si>
  <si>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</si>
  <si>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</si>
  <si>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</si>
  <si>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</si>
  <si>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</si>
  <si>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</si>
  <si>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</si>
  <si>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</si>
  <si>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</si>
  <si>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</si>
  <si>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</si>
  <si>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</si>
  <si>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</si>
  <si>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</si>
  <si>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</si>
  <si>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</si>
  <si>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</si>
  <si>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</si>
  <si>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</si>
  <si>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</si>
  <si>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</si>
  <si>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</si>
  <si>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</si>
  <si>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</si>
  <si>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</si>
  <si>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</si>
  <si>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</si>
  <si>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</si>
  <si>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</si>
  <si>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</si>
  <si>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</si>
  <si>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</si>
  <si>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</si>
  <si>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</si>
  <si>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</si>
  <si>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</si>
  <si>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</si>
  <si>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</si>
  <si>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</si>
  <si>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</si>
  <si>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</si>
  <si>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</si>
  <si>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</si>
  <si>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</si>
  <si>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</si>
  <si>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</si>
  <si>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</si>
  <si>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</si>
  <si>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</si>
  <si>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</si>
  <si>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</si>
  <si>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</si>
  <si>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</si>
  <si>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</si>
  <si>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</si>
  <si>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</si>
  <si>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</si>
  <si>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</si>
  <si>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</si>
  <si>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</si>
  <si>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</si>
  <si>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</si>
  <si>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</si>
  <si>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</si>
  <si>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</si>
  <si>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</si>
  <si>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</si>
  <si>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</si>
  <si>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</si>
  <si>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</si>
  <si>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</si>
  <si>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</si>
  <si>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</si>
  <si>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</si>
  <si>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</si>
  <si>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</si>
  <si>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</si>
  <si>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</si>
  <si>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The overall difference in the fee revenue credit projections is consistent with the Colleges' fiscal planning. Contact David M. Kaiser at dkaiser@mdc.edu with any questions.</t>
  </si>
  <si>
    <t>The differences in the out-of-state fee revenue credit proejctions are consistent with the College's latest enrollment.  Contact David M. Kaiser at dkaiser@mdc.edu with any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</si>
</sst>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4" fontId="161" fillId="32" borderId="311" xfId="0" applyNumberFormat="1" applyFont="1" applyFill="1" applyBorder="1" applyProtection="1">
      <protection locked="0"/>
    </xf>
    <xf numFmtId="4" fontId="156" fillId="32" borderId="311" xfId="0" applyNumberFormat="1" applyFont="1" applyFill="1" applyBorder="1" applyProtection="1">
      <protection locked="0"/>
    </xf>
    <xf numFmtId="4" fontId="156" fillId="32" borderId="296" xfId="0" applyNumberFormat="1" applyFont="1" applyFill="1" applyBorder="1" applyProtection="1">
      <protection locked="0"/>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xf numFmtId="0" fontId="74" fillId="37" borderId="0" xfId="0" applyFont="1" applyFill="1" applyAlignment="1">
      <alignment horizontal="centerContinuous" vertical="center" wrapText="1"/>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5" t="s">
        <v>0</v>
      </c>
      <c r="B1" s="615"/>
      <c r="C1" s="615"/>
      <c r="D1" s="615"/>
      <c r="E1" s="615"/>
    </row>
    <row r="2" spans="1:5" ht="23.25">
      <c r="A2" s="615" t="s">
        <v>693</v>
      </c>
      <c r="B2" s="615"/>
      <c r="C2" s="615"/>
      <c r="D2" s="615"/>
      <c r="E2" s="615"/>
    </row>
    <row r="3" spans="1:5" ht="21" customHeight="1">
      <c r="A3" s="615" t="s">
        <v>1</v>
      </c>
      <c r="B3" s="615"/>
      <c r="C3" s="615"/>
      <c r="D3" s="615"/>
      <c r="E3" s="615"/>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3"/>
      <c r="E9" s="599"/>
    </row>
    <row r="10" spans="1:5" s="3" customFormat="1" ht="20.100000000000001" customHeight="1">
      <c r="A10" s="616" t="s">
        <v>9</v>
      </c>
      <c r="B10" s="12"/>
      <c r="C10" s="13" t="s">
        <v>10</v>
      </c>
      <c r="D10" s="13"/>
      <c r="E10" s="11" t="s">
        <v>10</v>
      </c>
    </row>
    <row r="11" spans="1:5" s="3" customFormat="1" ht="20.100000000000001" customHeight="1">
      <c r="A11" s="616"/>
      <c r="B11" s="12"/>
      <c r="C11" s="12"/>
      <c r="D11" s="13"/>
      <c r="E11" s="12"/>
    </row>
    <row r="12" spans="1:5" ht="20.100000000000001" customHeight="1">
      <c r="A12" s="14"/>
      <c r="B12" s="14"/>
      <c r="C12" s="14"/>
      <c r="D12" s="15"/>
      <c r="E12" s="14"/>
    </row>
    <row r="13" spans="1:5" ht="20.100000000000001" customHeight="1">
      <c r="A13" s="617" t="s">
        <v>10</v>
      </c>
      <c r="B13" s="14"/>
      <c r="C13" s="14"/>
      <c r="D13" s="15"/>
      <c r="E13" s="14"/>
    </row>
    <row r="14" spans="1:5" ht="20.100000000000001" customHeight="1">
      <c r="A14" s="617"/>
      <c r="B14" s="14"/>
      <c r="C14" s="14"/>
      <c r="D14" s="14"/>
      <c r="E14" s="14"/>
    </row>
    <row r="15" spans="1:5" ht="20.100000000000001" customHeight="1">
      <c r="A15" s="617"/>
      <c r="B15" s="14"/>
      <c r="C15" s="14"/>
      <c r="D15" s="14"/>
      <c r="E15" s="14"/>
    </row>
    <row r="16" spans="1:5" ht="20.100000000000001" customHeight="1">
      <c r="A16" s="617"/>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4" t="s">
        <v>11</v>
      </c>
      <c r="B1" s="620"/>
      <c r="C1" s="620"/>
      <c r="D1" s="620"/>
      <c r="E1" s="620"/>
      <c r="F1" s="620"/>
      <c r="G1" s="620"/>
      <c r="H1" s="620"/>
      <c r="I1" s="620"/>
      <c r="J1" s="620"/>
    </row>
    <row r="2" spans="1:10" ht="22.35" customHeight="1">
      <c r="A2" s="624" t="s">
        <v>747</v>
      </c>
      <c r="B2" s="620"/>
      <c r="C2" s="620"/>
      <c r="D2" s="620"/>
      <c r="E2" s="620"/>
      <c r="F2" s="620"/>
      <c r="G2" s="620"/>
      <c r="H2" s="620"/>
      <c r="I2" s="620"/>
      <c r="J2" s="620"/>
    </row>
    <row r="3" spans="1:10" ht="22.35" customHeight="1">
      <c r="A3" s="624" t="s">
        <v>12</v>
      </c>
      <c r="B3" s="620"/>
      <c r="C3" s="620"/>
      <c r="D3" s="620"/>
      <c r="E3" s="620"/>
      <c r="F3" s="620"/>
      <c r="G3" s="620"/>
      <c r="H3" s="620"/>
      <c r="I3" s="620"/>
      <c r="J3" s="620"/>
    </row>
    <row r="4" spans="1:10" ht="26.45" customHeight="1">
      <c r="A4" s="625" t="s">
        <v>13</v>
      </c>
      <c r="B4" s="626"/>
      <c r="C4" s="626"/>
      <c r="D4" s="626"/>
      <c r="E4" s="626"/>
      <c r="F4" s="626"/>
      <c r="G4" s="626"/>
      <c r="H4" s="626"/>
      <c r="I4" s="626"/>
      <c r="J4" s="626"/>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1" t="s">
        <v>14</v>
      </c>
      <c r="B1" s="1041"/>
      <c r="C1" s="1041"/>
      <c r="D1" s="1041"/>
      <c r="E1" s="16"/>
    </row>
    <row r="2" spans="1:10" ht="33.6" customHeight="1" thickBot="1">
      <c r="A2" s="1048" t="s">
        <v>15</v>
      </c>
      <c r="B2" s="1048"/>
      <c r="C2" s="1048"/>
      <c r="D2" s="1048"/>
    </row>
    <row r="3" spans="1:10" ht="25.35" customHeight="1" thickBot="1">
      <c r="A3" s="62"/>
      <c r="B3" s="63" t="s">
        <v>778</v>
      </c>
      <c r="C3" s="64"/>
      <c r="D3" s="73"/>
      <c r="E3" s="72"/>
    </row>
    <row r="4" spans="1:10" ht="25.35" customHeight="1" thickBot="1">
      <c r="A4" s="62">
        <v>1</v>
      </c>
      <c r="B4" s="52">
        <v>2</v>
      </c>
      <c r="C4" s="52">
        <v>3</v>
      </c>
      <c r="D4" s="52">
        <v>4</v>
      </c>
      <c r="E4" s="19"/>
    </row>
    <row r="5" spans="1:10" ht="44.1" customHeight="1" thickBot="1">
      <c r="A5" s="38" t="s">
        <v>16</v>
      </c>
      <c r="B5" s="1087" t="s">
        <v>765</v>
      </c>
      <c r="C5" s="1088"/>
      <c r="D5" s="1089"/>
      <c r="E5" s="594"/>
      <c r="F5" s="19"/>
    </row>
    <row r="6" spans="1:10" ht="89.1" customHeight="1" thickBot="1">
      <c r="A6" s="292" t="s">
        <v>17</v>
      </c>
      <c r="B6" s="61" t="s">
        <v>18</v>
      </c>
      <c r="C6" s="23" t="s">
        <v>19</v>
      </c>
      <c r="D6" s="76" t="s">
        <v>20</v>
      </c>
      <c r="F6" s="19"/>
    </row>
    <row r="7" spans="1:10" ht="25.35" customHeight="1">
      <c r="A7" s="410" t="s">
        <v>21</v>
      </c>
      <c r="B7" s="956">
        <f>53283437-C7</f>
        <v>43041873</v>
      </c>
      <c r="C7" s="957">
        <v>10241564</v>
      </c>
      <c r="D7" s="81">
        <f t="shared" ref="D7:D34" si="0">SUM(B7:C7)</f>
        <v>53283437</v>
      </c>
      <c r="E7" s="437"/>
      <c r="F7" s="438"/>
      <c r="G7" s="48"/>
      <c r="I7" s="48"/>
      <c r="J7" s="48"/>
    </row>
    <row r="8" spans="1:10" ht="25.35" customHeight="1">
      <c r="A8" s="390" t="s">
        <v>22</v>
      </c>
      <c r="B8" s="1143">
        <f>109661903-C8</f>
        <v>89136073</v>
      </c>
      <c r="C8" s="959">
        <v>20525830</v>
      </c>
      <c r="D8" s="74">
        <f t="shared" si="0"/>
        <v>109661903</v>
      </c>
      <c r="E8" s="413"/>
      <c r="F8" s="48"/>
      <c r="G8" s="48"/>
      <c r="I8" s="48"/>
      <c r="J8" s="48"/>
    </row>
    <row r="9" spans="1:10" ht="25.35" customHeight="1">
      <c r="A9" s="390" t="s">
        <v>23</v>
      </c>
      <c r="B9" s="958">
        <f>40709150+1649800-C9</f>
        <v>36495661</v>
      </c>
      <c r="C9" s="959">
        <v>5863289</v>
      </c>
      <c r="D9" s="74">
        <f t="shared" si="0"/>
        <v>42358950</v>
      </c>
      <c r="E9" s="413"/>
      <c r="F9" s="48"/>
      <c r="G9" s="48"/>
      <c r="I9" s="48"/>
      <c r="J9" s="48"/>
    </row>
    <row r="10" spans="1:10" ht="25.35" customHeight="1">
      <c r="A10" s="390" t="s">
        <v>24</v>
      </c>
      <c r="B10" s="958">
        <f>15452951-C10</f>
        <v>12227907</v>
      </c>
      <c r="C10" s="959">
        <v>3225044</v>
      </c>
      <c r="D10" s="74">
        <f t="shared" si="0"/>
        <v>15452951</v>
      </c>
      <c r="E10" s="413"/>
      <c r="F10" s="48"/>
      <c r="G10" s="48"/>
      <c r="I10" s="48"/>
      <c r="J10" s="48"/>
    </row>
    <row r="11" spans="1:10" ht="25.35" customHeight="1">
      <c r="A11" s="390" t="s">
        <v>25</v>
      </c>
      <c r="B11" s="958">
        <f>60952010+650000-C11</f>
        <v>49278774</v>
      </c>
      <c r="C11" s="959">
        <v>12323236</v>
      </c>
      <c r="D11" s="74">
        <f t="shared" si="0"/>
        <v>61602010</v>
      </c>
      <c r="E11" s="413"/>
      <c r="F11" s="48"/>
      <c r="G11" s="48"/>
      <c r="I11" s="48"/>
      <c r="J11" s="48"/>
    </row>
    <row r="12" spans="1:10" ht="25.35" customHeight="1">
      <c r="A12" s="390" t="s">
        <v>26</v>
      </c>
      <c r="B12" s="958">
        <f>49896992+970000-C12</f>
        <v>43015397</v>
      </c>
      <c r="C12" s="959">
        <v>7851595</v>
      </c>
      <c r="D12" s="74">
        <f t="shared" si="0"/>
        <v>50866992</v>
      </c>
      <c r="E12" s="413"/>
      <c r="F12" s="48"/>
      <c r="G12" s="48"/>
      <c r="I12" s="48"/>
      <c r="J12" s="48"/>
    </row>
    <row r="13" spans="1:10" ht="25.35" customHeight="1">
      <c r="A13" s="390" t="s">
        <v>27</v>
      </c>
      <c r="B13" s="958">
        <f>87966155-C13</f>
        <v>69516327</v>
      </c>
      <c r="C13" s="959">
        <v>18449828</v>
      </c>
      <c r="D13" s="74">
        <f t="shared" si="0"/>
        <v>87966155</v>
      </c>
      <c r="E13" s="413"/>
      <c r="F13" s="48"/>
      <c r="G13" s="48"/>
      <c r="I13" s="48"/>
      <c r="J13" s="48"/>
    </row>
    <row r="14" spans="1:10" ht="25.35" customHeight="1">
      <c r="A14" s="390" t="s">
        <v>28</v>
      </c>
      <c r="B14" s="958">
        <f>10777267-C14</f>
        <v>9114843</v>
      </c>
      <c r="C14" s="959">
        <v>1662424</v>
      </c>
      <c r="D14" s="74">
        <f t="shared" si="0"/>
        <v>10777267</v>
      </c>
      <c r="E14" s="413"/>
      <c r="F14" s="48"/>
      <c r="G14" s="48"/>
      <c r="I14" s="48"/>
      <c r="J14" s="48"/>
    </row>
    <row r="15" spans="1:10" ht="25.35" customHeight="1">
      <c r="A15" s="390" t="s">
        <v>29</v>
      </c>
      <c r="B15" s="958">
        <f>27074121-C15</f>
        <v>21817302</v>
      </c>
      <c r="C15" s="959">
        <v>5256819</v>
      </c>
      <c r="D15" s="74">
        <f t="shared" si="0"/>
        <v>27074121</v>
      </c>
      <c r="E15" s="413"/>
      <c r="F15" s="48"/>
      <c r="G15" s="48"/>
      <c r="I15" s="48"/>
      <c r="J15" s="48"/>
    </row>
    <row r="16" spans="1:10" ht="25.35" customHeight="1">
      <c r="A16" s="390" t="s">
        <v>30</v>
      </c>
      <c r="B16" s="958">
        <f>84333300+500000-C16</f>
        <v>70892957</v>
      </c>
      <c r="C16" s="959">
        <v>13940343</v>
      </c>
      <c r="D16" s="74">
        <f t="shared" si="0"/>
        <v>84833300</v>
      </c>
      <c r="E16" s="413"/>
      <c r="F16" s="48"/>
      <c r="G16" s="48"/>
      <c r="I16" s="48"/>
      <c r="J16" s="48"/>
    </row>
    <row r="17" spans="1:10" ht="25.35" customHeight="1">
      <c r="A17" s="390" t="s">
        <v>31</v>
      </c>
      <c r="B17" s="958">
        <f>60019348+2200000-C17</f>
        <v>50922046</v>
      </c>
      <c r="C17" s="959">
        <v>11297302</v>
      </c>
      <c r="D17" s="74">
        <f t="shared" si="0"/>
        <v>62219348</v>
      </c>
      <c r="E17" s="413"/>
      <c r="F17" s="48"/>
      <c r="G17" s="48"/>
      <c r="I17" s="48"/>
      <c r="J17" s="48"/>
    </row>
    <row r="18" spans="1:10" ht="25.35" customHeight="1">
      <c r="A18" s="390" t="s">
        <v>32</v>
      </c>
      <c r="B18" s="958">
        <f>18336804-C18</f>
        <v>15047680</v>
      </c>
      <c r="C18" s="959">
        <v>3289124</v>
      </c>
      <c r="D18" s="74">
        <f t="shared" si="0"/>
        <v>18336804</v>
      </c>
      <c r="E18" s="413"/>
      <c r="F18" s="48"/>
      <c r="G18" s="48"/>
      <c r="I18" s="48"/>
      <c r="J18" s="48"/>
    </row>
    <row r="19" spans="1:10" ht="25.35" customHeight="1">
      <c r="A19" s="390" t="s">
        <v>33</v>
      </c>
      <c r="B19" s="958">
        <f>24190865-C19</f>
        <v>20958984</v>
      </c>
      <c r="C19" s="959">
        <v>3231881</v>
      </c>
      <c r="D19" s="74">
        <f t="shared" si="0"/>
        <v>24190865</v>
      </c>
      <c r="E19" s="413"/>
      <c r="F19" s="48"/>
      <c r="G19" s="48"/>
      <c r="I19" s="48"/>
      <c r="J19" s="48"/>
    </row>
    <row r="20" spans="1:10" ht="25.35" customHeight="1">
      <c r="A20" s="390" t="s">
        <v>34</v>
      </c>
      <c r="B20" s="958">
        <f>33434210+3850000-C20</f>
        <v>31838529</v>
      </c>
      <c r="C20" s="959">
        <v>5445681</v>
      </c>
      <c r="D20" s="74">
        <f t="shared" si="0"/>
        <v>37284210</v>
      </c>
      <c r="E20" s="413"/>
      <c r="F20" s="48"/>
      <c r="G20" s="48"/>
      <c r="H20" s="48"/>
      <c r="I20" s="48"/>
      <c r="J20" s="48"/>
    </row>
    <row r="21" spans="1:10" ht="25.35" customHeight="1">
      <c r="A21" s="390" t="s">
        <v>35</v>
      </c>
      <c r="B21" s="958">
        <f>202008901-C21</f>
        <v>160382392</v>
      </c>
      <c r="C21" s="959">
        <v>41626509</v>
      </c>
      <c r="D21" s="74">
        <f t="shared" si="0"/>
        <v>202008901</v>
      </c>
      <c r="E21" s="413"/>
      <c r="F21" s="48"/>
      <c r="G21" s="48"/>
      <c r="I21" s="48"/>
      <c r="J21" s="48"/>
    </row>
    <row r="22" spans="1:10" ht="25.35" customHeight="1">
      <c r="A22" s="390" t="s">
        <v>36</v>
      </c>
      <c r="B22" s="958">
        <f>10606679-C22</f>
        <v>8854398</v>
      </c>
      <c r="C22" s="959">
        <v>1752281</v>
      </c>
      <c r="D22" s="74">
        <f t="shared" si="0"/>
        <v>10606679</v>
      </c>
      <c r="E22" s="413"/>
      <c r="F22" s="48"/>
      <c r="G22" s="48"/>
      <c r="I22" s="48"/>
      <c r="J22" s="48"/>
    </row>
    <row r="23" spans="1:10" ht="25.35" customHeight="1">
      <c r="A23" s="390" t="s">
        <v>37</v>
      </c>
      <c r="B23" s="958">
        <f>29133735+990000-C23</f>
        <v>25493548</v>
      </c>
      <c r="C23" s="959">
        <v>4630187</v>
      </c>
      <c r="D23" s="74">
        <f t="shared" si="0"/>
        <v>30123735</v>
      </c>
      <c r="E23" s="413"/>
      <c r="F23" s="48"/>
      <c r="G23" s="48"/>
      <c r="I23" s="48"/>
      <c r="J23" s="48"/>
    </row>
    <row r="24" spans="1:10" ht="25.35" customHeight="1">
      <c r="A24" s="390" t="s">
        <v>38</v>
      </c>
      <c r="B24" s="958">
        <f>79008687-C24</f>
        <v>65047135</v>
      </c>
      <c r="C24" s="959">
        <v>13961552</v>
      </c>
      <c r="D24" s="74">
        <f t="shared" si="0"/>
        <v>79008687</v>
      </c>
      <c r="E24" s="413"/>
      <c r="F24" s="48"/>
      <c r="G24" s="48"/>
      <c r="I24" s="48"/>
      <c r="J24" s="48"/>
    </row>
    <row r="25" spans="1:10" ht="25.35" customHeight="1">
      <c r="A25" s="390" t="s">
        <v>39</v>
      </c>
      <c r="B25" s="958">
        <f>50017798-C25</f>
        <v>43276705</v>
      </c>
      <c r="C25" s="959">
        <v>6741093</v>
      </c>
      <c r="D25" s="74">
        <f t="shared" si="0"/>
        <v>50017798</v>
      </c>
      <c r="E25" s="413"/>
      <c r="F25" s="48"/>
      <c r="G25" s="48"/>
      <c r="I25" s="48"/>
      <c r="J25" s="48"/>
    </row>
    <row r="26" spans="1:10" ht="25.35" customHeight="1">
      <c r="A26" s="390" t="s">
        <v>40</v>
      </c>
      <c r="B26" s="958">
        <f>66736548-C26</f>
        <v>58376378</v>
      </c>
      <c r="C26" s="959">
        <v>8360170</v>
      </c>
      <c r="D26" s="74">
        <f t="shared" si="0"/>
        <v>66736548</v>
      </c>
      <c r="E26" s="413"/>
      <c r="F26" s="48"/>
      <c r="G26" s="48"/>
      <c r="I26" s="48"/>
      <c r="J26" s="48"/>
    </row>
    <row r="27" spans="1:10" ht="25.35" customHeight="1">
      <c r="A27" s="390" t="s">
        <v>41</v>
      </c>
      <c r="B27" s="958">
        <f>50059240-C27</f>
        <v>43206598</v>
      </c>
      <c r="C27" s="959">
        <v>6852642</v>
      </c>
      <c r="D27" s="74">
        <f t="shared" si="0"/>
        <v>50059240</v>
      </c>
      <c r="E27" s="413"/>
      <c r="F27" s="48"/>
      <c r="G27" s="48"/>
      <c r="I27" s="48"/>
      <c r="J27" s="48"/>
    </row>
    <row r="28" spans="1:10" ht="25.35" customHeight="1">
      <c r="A28" s="390" t="s">
        <v>42</v>
      </c>
      <c r="B28" s="958">
        <f>35352158-C28</f>
        <v>30677558</v>
      </c>
      <c r="C28" s="959">
        <v>4674600</v>
      </c>
      <c r="D28" s="74">
        <f t="shared" si="0"/>
        <v>35352158</v>
      </c>
      <c r="E28" s="413"/>
      <c r="F28" s="48"/>
      <c r="G28" s="48"/>
      <c r="I28" s="48"/>
      <c r="J28" s="48"/>
    </row>
    <row r="29" spans="1:10" ht="25.35" customHeight="1">
      <c r="A29" s="390" t="s">
        <v>43</v>
      </c>
      <c r="B29" s="958">
        <f>93333325+386940-C29</f>
        <v>76965923</v>
      </c>
      <c r="C29" s="959">
        <v>16754342</v>
      </c>
      <c r="D29" s="74">
        <f t="shared" si="0"/>
        <v>93720265</v>
      </c>
      <c r="E29" s="413"/>
      <c r="F29" s="48"/>
      <c r="G29" s="48"/>
      <c r="I29" s="48"/>
      <c r="J29" s="48"/>
    </row>
    <row r="30" spans="1:10" ht="25.35" customHeight="1">
      <c r="A30" s="390" t="s">
        <v>44</v>
      </c>
      <c r="B30" s="958">
        <f>53864947-C30</f>
        <v>45359068</v>
      </c>
      <c r="C30" s="959">
        <v>8505879</v>
      </c>
      <c r="D30" s="74">
        <f t="shared" si="0"/>
        <v>53864947</v>
      </c>
      <c r="E30" s="413"/>
      <c r="F30" s="48"/>
      <c r="G30" s="48"/>
      <c r="I30" s="48"/>
      <c r="J30" s="48"/>
    </row>
    <row r="31" spans="1:10" ht="25.35" customHeight="1">
      <c r="A31" s="390" t="s">
        <v>45</v>
      </c>
      <c r="B31" s="958">
        <f>56282435-C31</f>
        <v>47118829</v>
      </c>
      <c r="C31" s="959">
        <v>9163606</v>
      </c>
      <c r="D31" s="74">
        <f t="shared" si="0"/>
        <v>56282435</v>
      </c>
      <c r="E31" s="413"/>
      <c r="F31" s="48"/>
      <c r="G31" s="48"/>
      <c r="I31" s="48"/>
      <c r="J31" s="48"/>
    </row>
    <row r="32" spans="1:10" ht="25.35" customHeight="1">
      <c r="A32" s="390" t="s">
        <v>46</v>
      </c>
      <c r="B32" s="958">
        <f>27556204-C32</f>
        <v>23622370</v>
      </c>
      <c r="C32" s="959">
        <v>3933834</v>
      </c>
      <c r="D32" s="74">
        <f t="shared" si="0"/>
        <v>27556204</v>
      </c>
      <c r="E32" s="413"/>
      <c r="F32" s="48"/>
      <c r="G32" s="48"/>
      <c r="I32" s="48" t="s">
        <v>47</v>
      </c>
      <c r="J32" s="48"/>
    </row>
    <row r="33" spans="1:12" ht="25.35" customHeight="1">
      <c r="A33" s="390" t="s">
        <v>48</v>
      </c>
      <c r="B33" s="958">
        <f>41379691+750000-C33</f>
        <v>34477912</v>
      </c>
      <c r="C33" s="959">
        <v>7651779</v>
      </c>
      <c r="D33" s="74">
        <f t="shared" si="0"/>
        <v>42129691</v>
      </c>
      <c r="E33" s="413"/>
      <c r="F33" s="48"/>
      <c r="G33" s="48"/>
      <c r="I33" s="413"/>
      <c r="J33" s="48"/>
      <c r="K33" s="413"/>
    </row>
    <row r="34" spans="1:12" ht="25.35" customHeight="1" thickBot="1">
      <c r="A34" s="391" t="s">
        <v>49</v>
      </c>
      <c r="B34" s="958">
        <f>122831247-C34</f>
        <v>106185684</v>
      </c>
      <c r="C34" s="959">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0" t="s">
        <v>51</v>
      </c>
      <c r="B36" s="1090"/>
      <c r="C36" s="1090"/>
      <c r="D36" s="1090"/>
      <c r="E36" s="483"/>
      <c r="K36" s="413"/>
    </row>
    <row r="37" spans="1:12" ht="44.45" customHeight="1">
      <c r="A37" s="1091" t="s">
        <v>707</v>
      </c>
      <c r="B37" s="1091"/>
      <c r="C37" s="1091"/>
      <c r="D37" s="1091"/>
      <c r="E37" s="482"/>
      <c r="K37" s="413"/>
    </row>
    <row r="38" spans="1:12" ht="26.45" customHeight="1">
      <c r="A38" s="1061"/>
      <c r="B38" s="1061"/>
      <c r="C38" s="1061"/>
      <c r="D38" s="1061"/>
      <c r="E38" s="482"/>
      <c r="K38" s="413"/>
    </row>
    <row r="39" spans="1:12" ht="36.6" customHeight="1" thickBot="1">
      <c r="A39" s="477" t="s">
        <v>15</v>
      </c>
      <c r="B39" s="478"/>
      <c r="C39" s="478"/>
      <c r="K39" s="171"/>
    </row>
    <row r="40" spans="1:12" ht="24" customHeight="1" thickBot="1">
      <c r="A40" s="44" t="s">
        <v>700</v>
      </c>
      <c r="B40" s="952" t="s">
        <v>779</v>
      </c>
      <c r="C40" s="953"/>
      <c r="D40" s="953"/>
      <c r="E40" s="954"/>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1" t="str">
        <f>A10</f>
        <v>Chipola College</v>
      </c>
      <c r="B43" s="637" t="s">
        <v>56</v>
      </c>
      <c r="C43" s="638">
        <v>200000</v>
      </c>
      <c r="D43" s="638"/>
      <c r="E43" s="639">
        <f t="shared" ref="E43:E55" si="1">C43+D43</f>
        <v>200000</v>
      </c>
    </row>
    <row r="44" spans="1:12" ht="42">
      <c r="A44" s="962" t="s">
        <v>23</v>
      </c>
      <c r="B44" s="1092" t="s">
        <v>706</v>
      </c>
      <c r="C44" s="1039"/>
      <c r="D44" s="1039">
        <v>1649800</v>
      </c>
      <c r="E44" s="639">
        <f t="shared" si="1"/>
        <v>1649800</v>
      </c>
    </row>
    <row r="45" spans="1:12" ht="42">
      <c r="A45" s="962" t="str">
        <f>A11</f>
        <v>Daytona State College</v>
      </c>
      <c r="B45" s="640" t="s">
        <v>57</v>
      </c>
      <c r="C45" s="638">
        <v>500000</v>
      </c>
      <c r="D45" s="638"/>
      <c r="E45" s="639">
        <f t="shared" si="1"/>
        <v>500000</v>
      </c>
    </row>
    <row r="46" spans="1:12" ht="84.75" customHeight="1">
      <c r="A46" s="960" t="s">
        <v>25</v>
      </c>
      <c r="B46" s="640" t="s">
        <v>767</v>
      </c>
      <c r="C46" s="638"/>
      <c r="D46" s="638">
        <v>650000</v>
      </c>
      <c r="E46" s="639">
        <f t="shared" si="1"/>
        <v>650000</v>
      </c>
    </row>
    <row r="47" spans="1:12" ht="84.75" customHeight="1">
      <c r="A47" s="960" t="s">
        <v>772</v>
      </c>
      <c r="B47" s="1038" t="s">
        <v>773</v>
      </c>
      <c r="C47" s="1039"/>
      <c r="D47" s="1039">
        <v>970000</v>
      </c>
      <c r="E47" s="1142"/>
      <c r="G47" s="163" t="s">
        <v>10</v>
      </c>
    </row>
    <row r="48" spans="1:12" ht="62.45" customHeight="1">
      <c r="A48" s="960" t="s">
        <v>30</v>
      </c>
      <c r="B48" s="640" t="s">
        <v>58</v>
      </c>
      <c r="C48" s="638">
        <v>2500000</v>
      </c>
      <c r="D48" s="638"/>
      <c r="E48" s="639">
        <f t="shared" si="1"/>
        <v>2500000</v>
      </c>
    </row>
    <row r="49" spans="1:5" ht="62.45" customHeight="1">
      <c r="A49" s="960" t="s">
        <v>30</v>
      </c>
      <c r="B49" s="1038" t="s">
        <v>770</v>
      </c>
      <c r="C49" s="1039"/>
      <c r="D49" s="1039">
        <v>500000</v>
      </c>
      <c r="E49" s="639">
        <f t="shared" si="1"/>
        <v>500000</v>
      </c>
    </row>
    <row r="50" spans="1:5" ht="62.45" customHeight="1">
      <c r="A50" s="960" t="s">
        <v>31</v>
      </c>
      <c r="B50" s="1038" t="s">
        <v>774</v>
      </c>
      <c r="C50" s="1039"/>
      <c r="D50" s="1039">
        <v>2200000</v>
      </c>
      <c r="E50" s="639">
        <f t="shared" si="1"/>
        <v>2200000</v>
      </c>
    </row>
    <row r="51" spans="1:5" ht="62.45" customHeight="1">
      <c r="A51" s="960" t="s">
        <v>776</v>
      </c>
      <c r="B51" s="1038" t="s">
        <v>777</v>
      </c>
      <c r="C51" s="1039"/>
      <c r="D51" s="1039">
        <v>3850000</v>
      </c>
      <c r="E51" s="1142">
        <f t="shared" si="1"/>
        <v>3850000</v>
      </c>
    </row>
    <row r="52" spans="1:5" ht="62.45" customHeight="1">
      <c r="A52" s="960" t="s">
        <v>37</v>
      </c>
      <c r="B52" s="1038" t="s">
        <v>771</v>
      </c>
      <c r="C52" s="1039"/>
      <c r="D52" s="1039">
        <v>990000</v>
      </c>
      <c r="E52" s="639">
        <f t="shared" si="1"/>
        <v>990000</v>
      </c>
    </row>
    <row r="53" spans="1:5">
      <c r="A53" s="960" t="str">
        <f>A25</f>
        <v>Pasco-Hernando State College</v>
      </c>
      <c r="B53" s="640" t="s">
        <v>59</v>
      </c>
      <c r="C53" s="638">
        <v>2306271</v>
      </c>
      <c r="D53" s="638"/>
      <c r="E53" s="639">
        <f t="shared" si="1"/>
        <v>2306271</v>
      </c>
    </row>
    <row r="54" spans="1:5" ht="42">
      <c r="A54" s="963" t="s">
        <v>43</v>
      </c>
      <c r="B54" s="640" t="s">
        <v>769</v>
      </c>
      <c r="C54" s="638"/>
      <c r="D54" s="638">
        <v>386940</v>
      </c>
      <c r="E54" s="639">
        <f t="shared" si="1"/>
        <v>386940</v>
      </c>
    </row>
    <row r="55" spans="1:5" ht="86.25" customHeight="1" thickBot="1">
      <c r="A55" s="963" t="s">
        <v>60</v>
      </c>
      <c r="B55" s="1038" t="s">
        <v>768</v>
      </c>
      <c r="C55" s="1039"/>
      <c r="D55" s="1039">
        <v>750000</v>
      </c>
      <c r="E55" s="639">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718</v>
      </c>
      <c r="B60" s="394" t="s">
        <v>764</v>
      </c>
      <c r="C60" s="16" t="s">
        <v>10</v>
      </c>
      <c r="D60" s="16"/>
    </row>
    <row r="61" spans="1:5" ht="69" customHeight="1" thickBot="1">
      <c r="A61" s="1056" t="s">
        <v>775</v>
      </c>
      <c r="B61" s="1057"/>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762</v>
      </c>
      <c r="B67" s="1058" t="s">
        <v>761</v>
      </c>
      <c r="C67" s="1059"/>
      <c r="D67" s="1059"/>
      <c r="E67" s="1060"/>
      <c r="F67" s="18"/>
      <c r="G67" s="16"/>
    </row>
    <row r="68" spans="1:7" ht="87.6" customHeight="1" thickBot="1">
      <c r="A68" s="40" t="s">
        <v>17</v>
      </c>
      <c r="B68" s="24" t="s">
        <v>763</v>
      </c>
      <c r="C68" s="39" t="s">
        <v>63</v>
      </c>
      <c r="D68" s="25" t="s">
        <v>64</v>
      </c>
      <c r="E68" s="26" t="s">
        <v>65</v>
      </c>
      <c r="F68" s="24" t="s">
        <v>66</v>
      </c>
    </row>
    <row r="69" spans="1:7" ht="25.35" customHeight="1">
      <c r="A69" s="641" t="str">
        <f t="shared" ref="A69:A96" si="2">A7</f>
        <v>Eastern Florida State College</v>
      </c>
      <c r="B69" s="415">
        <v>19419080.683654048</v>
      </c>
      <c r="C69" s="415">
        <f t="shared" ref="C69:C96" si="3">B69*0.05</f>
        <v>970954.03418270242</v>
      </c>
      <c r="D69" s="1097">
        <f t="shared" ref="D69:D96" si="4">IF(C69&gt;500000,0,1)</f>
        <v>0</v>
      </c>
      <c r="E69" s="416">
        <f t="shared" ref="E69:E96" si="5">IF(D69&lt;1,0,B69*0.02)</f>
        <v>0</v>
      </c>
      <c r="F69" s="415">
        <f>C69+E69</f>
        <v>970954.03418270242</v>
      </c>
    </row>
    <row r="70" spans="1:7" ht="25.35" customHeight="1">
      <c r="A70" s="642"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3"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3"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2"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2"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2"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3"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3"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2"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2"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3"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3"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2"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2"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3"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3"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2"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2"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2"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2"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3"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2"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2"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2"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3"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2"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2"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49" t="s">
        <v>780</v>
      </c>
      <c r="B100" s="1049"/>
      <c r="C100" s="1049"/>
      <c r="D100" s="1049"/>
      <c r="E100" s="1049"/>
      <c r="F100" s="1049"/>
      <c r="G100" s="1049"/>
      <c r="H100" s="1049"/>
      <c r="I100" s="1049"/>
      <c r="J100" s="1049"/>
      <c r="K100" s="1049"/>
      <c r="L100" s="1049"/>
      <c r="M100" s="1049"/>
      <c r="N100" s="1049"/>
      <c r="O100" s="1049"/>
      <c r="P100" s="1049"/>
      <c r="Q100" s="1049"/>
      <c r="R100" s="1049"/>
    </row>
    <row r="101" spans="1:50" ht="20.100000000000001" customHeight="1">
      <c r="A101" s="1047" t="s">
        <v>68</v>
      </c>
      <c r="B101" s="1047"/>
      <c r="C101" s="1047"/>
      <c r="D101" s="1047"/>
      <c r="E101" s="1047"/>
      <c r="F101" s="1047"/>
      <c r="G101" s="1047"/>
      <c r="H101" s="1047"/>
      <c r="I101" s="1047"/>
      <c r="J101" s="1047"/>
      <c r="K101" s="1047"/>
      <c r="L101" s="1047"/>
      <c r="M101" s="1047"/>
      <c r="N101" s="1047"/>
      <c r="O101" s="1047"/>
      <c r="P101" s="1047"/>
      <c r="Q101" s="1047"/>
      <c r="R101" s="1047"/>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47" t="s">
        <v>70</v>
      </c>
      <c r="B103" s="1047"/>
      <c r="C103" s="1047"/>
      <c r="D103" s="1047"/>
      <c r="E103" s="1047"/>
      <c r="F103" s="1047"/>
      <c r="G103" s="1047"/>
      <c r="H103" s="1047"/>
      <c r="I103" s="1047"/>
      <c r="J103" s="1047"/>
      <c r="K103" s="1047"/>
      <c r="L103" s="1047"/>
      <c r="M103" s="1047"/>
      <c r="N103" s="1047"/>
      <c r="O103" s="1047"/>
      <c r="P103" s="1047"/>
      <c r="Q103" s="1047"/>
      <c r="R103" s="1047"/>
    </row>
    <row r="104" spans="1:50" ht="20.100000000000001" customHeight="1">
      <c r="A104" s="1047"/>
      <c r="B104" s="1047"/>
      <c r="C104" s="1047"/>
      <c r="D104" s="1047"/>
      <c r="E104" s="1047"/>
      <c r="F104" s="1047"/>
      <c r="G104" s="1047"/>
    </row>
    <row r="105" spans="1:50" ht="32.450000000000003" customHeight="1" thickBot="1">
      <c r="E105" s="476"/>
      <c r="F105" s="476"/>
      <c r="G105" s="476"/>
    </row>
    <row r="106" spans="1:50" ht="43.35" customHeight="1" thickBot="1">
      <c r="A106" s="47" t="s">
        <v>754</v>
      </c>
      <c r="B106" s="1042" t="s">
        <v>759</v>
      </c>
      <c r="C106" s="1043"/>
      <c r="D106" s="1044"/>
      <c r="E106" s="1045" t="s">
        <v>71</v>
      </c>
      <c r="F106" s="1045"/>
      <c r="G106" s="1045"/>
      <c r="H106" s="1045"/>
      <c r="I106" s="1045"/>
      <c r="J106" s="1045"/>
      <c r="K106" s="1045"/>
      <c r="L106" s="1045"/>
      <c r="M106" s="1045"/>
      <c r="N106" s="1045"/>
      <c r="O106" s="1045"/>
      <c r="P106" s="1045"/>
      <c r="Q106" s="1045"/>
      <c r="R106" s="1045"/>
      <c r="S106" s="1046"/>
      <c r="T106" s="19"/>
      <c r="U106" s="19"/>
      <c r="AC106" s="19"/>
      <c r="AK106" s="386"/>
    </row>
    <row r="107" spans="1:50" ht="39" customHeight="1" thickBot="1">
      <c r="A107" s="46">
        <v>1</v>
      </c>
      <c r="B107" s="44">
        <v>2</v>
      </c>
      <c r="C107" s="1045">
        <v>3</v>
      </c>
      <c r="D107" s="1046">
        <v>4</v>
      </c>
      <c r="E107" s="1045">
        <v>5</v>
      </c>
      <c r="F107" s="1045">
        <v>6</v>
      </c>
      <c r="G107" s="1045">
        <v>7</v>
      </c>
      <c r="H107" s="1045">
        <v>8</v>
      </c>
      <c r="I107" s="1045">
        <v>9</v>
      </c>
      <c r="J107" s="1045">
        <v>10</v>
      </c>
      <c r="K107" s="1045">
        <v>11</v>
      </c>
      <c r="L107" s="1045">
        <v>12</v>
      </c>
      <c r="M107" s="1045">
        <v>13</v>
      </c>
      <c r="N107" s="1045">
        <v>14</v>
      </c>
      <c r="O107" s="1045">
        <v>15</v>
      </c>
      <c r="P107" s="1045">
        <v>16</v>
      </c>
      <c r="Q107" s="1045">
        <v>17</v>
      </c>
      <c r="R107" s="1045">
        <v>18</v>
      </c>
      <c r="S107" s="1046">
        <v>19</v>
      </c>
      <c r="T107" s="1083" t="s">
        <v>50</v>
      </c>
      <c r="U107" s="28"/>
      <c r="V107" s="44">
        <v>20</v>
      </c>
      <c r="W107" s="1045">
        <v>21</v>
      </c>
      <c r="X107" s="1045">
        <v>22</v>
      </c>
      <c r="Y107" s="58"/>
      <c r="Z107" s="1045">
        <v>23</v>
      </c>
      <c r="AA107" s="1045">
        <v>24</v>
      </c>
      <c r="AB107" s="1046">
        <v>25</v>
      </c>
      <c r="AC107" s="31"/>
    </row>
    <row r="108" spans="1:50" ht="29.45" customHeight="1" thickBot="1">
      <c r="A108" s="55" t="s">
        <v>73</v>
      </c>
      <c r="B108" s="1093" t="s">
        <v>74</v>
      </c>
      <c r="C108" s="1094"/>
      <c r="D108" s="1095"/>
      <c r="E108" s="30"/>
      <c r="G108" s="1064"/>
      <c r="H108" s="1064"/>
      <c r="I108" s="1064"/>
      <c r="J108" s="1064" t="s">
        <v>75</v>
      </c>
      <c r="K108" s="1064"/>
      <c r="L108" s="1064"/>
      <c r="M108" s="1064"/>
      <c r="N108" s="1064"/>
      <c r="O108" s="1064"/>
      <c r="P108" s="1064"/>
      <c r="Q108" s="1077" t="s">
        <v>76</v>
      </c>
      <c r="R108" s="1078"/>
      <c r="S108" s="1079"/>
      <c r="T108" s="1084" t="s">
        <v>704</v>
      </c>
      <c r="U108" s="32"/>
      <c r="V108" s="33"/>
      <c r="W108" s="34"/>
      <c r="X108" s="35"/>
      <c r="Y108" s="59"/>
      <c r="Z108" s="1065"/>
      <c r="AA108" s="1066"/>
      <c r="AB108" s="1067"/>
      <c r="AC108" s="19"/>
      <c r="AD108" s="595" t="s">
        <v>756</v>
      </c>
      <c r="AF108" s="29"/>
    </row>
    <row r="109" spans="1:50" ht="66" customHeight="1" thickBot="1">
      <c r="A109" s="36"/>
      <c r="B109" s="44" t="s">
        <v>77</v>
      </c>
      <c r="C109" s="1045"/>
      <c r="D109" s="1046"/>
      <c r="E109" s="44" t="s">
        <v>78</v>
      </c>
      <c r="F109" s="1045"/>
      <c r="G109" s="1046"/>
      <c r="H109" s="44" t="s">
        <v>79</v>
      </c>
      <c r="I109" s="1045"/>
      <c r="J109" s="1046"/>
      <c r="K109" s="1053" t="s">
        <v>80</v>
      </c>
      <c r="L109" s="1053"/>
      <c r="M109" s="1053"/>
      <c r="N109" s="38" t="s">
        <v>81</v>
      </c>
      <c r="O109" s="1054"/>
      <c r="P109" s="39"/>
      <c r="Q109" s="1080" t="s">
        <v>755</v>
      </c>
      <c r="R109" s="1081"/>
      <c r="S109" s="1082"/>
      <c r="T109" s="1141"/>
      <c r="U109" s="21"/>
      <c r="V109" s="1050" t="s">
        <v>84</v>
      </c>
      <c r="W109" s="1051"/>
      <c r="X109" s="1055"/>
      <c r="Y109" s="1085"/>
      <c r="Z109" s="1050" t="s">
        <v>85</v>
      </c>
      <c r="AA109" s="1051"/>
      <c r="AB109" s="1052"/>
      <c r="AD109" s="43" t="s">
        <v>86</v>
      </c>
      <c r="AF109" s="19"/>
      <c r="AI109" s="1086" t="s">
        <v>705</v>
      </c>
      <c r="AJ109" s="1086"/>
      <c r="AK109" s="1086"/>
      <c r="AL109" s="1086"/>
      <c r="AM109" s="1086"/>
      <c r="AN109" s="1086"/>
      <c r="AO109" s="1086"/>
    </row>
    <row r="110" spans="1:50" ht="87" customHeight="1" thickBot="1">
      <c r="A110" s="40" t="s">
        <v>17</v>
      </c>
      <c r="B110" s="970" t="s">
        <v>87</v>
      </c>
      <c r="C110" s="384"/>
      <c r="D110" s="570" t="s">
        <v>55</v>
      </c>
      <c r="E110" s="969" t="s">
        <v>87</v>
      </c>
      <c r="F110" s="968" t="s">
        <v>88</v>
      </c>
      <c r="G110" s="19" t="s">
        <v>55</v>
      </c>
      <c r="H110" s="971" t="s">
        <v>87</v>
      </c>
      <c r="I110" s="972" t="s">
        <v>88</v>
      </c>
      <c r="J110" s="57" t="s">
        <v>55</v>
      </c>
      <c r="K110" s="973" t="s">
        <v>87</v>
      </c>
      <c r="L110" s="974" t="s">
        <v>88</v>
      </c>
      <c r="M110" s="601" t="s">
        <v>55</v>
      </c>
      <c r="N110" s="975" t="s">
        <v>87</v>
      </c>
      <c r="O110" s="974" t="s">
        <v>88</v>
      </c>
      <c r="P110" s="540" t="s">
        <v>55</v>
      </c>
      <c r="Q110" s="975" t="s">
        <v>87</v>
      </c>
      <c r="R110" s="968" t="s">
        <v>88</v>
      </c>
      <c r="S110" s="57" t="s">
        <v>55</v>
      </c>
      <c r="T110" s="1140" t="s">
        <v>83</v>
      </c>
      <c r="V110" s="976" t="s">
        <v>87</v>
      </c>
      <c r="W110" s="977" t="s">
        <v>88</v>
      </c>
      <c r="X110" s="644" t="s">
        <v>55</v>
      </c>
      <c r="Y110" s="56"/>
      <c r="Z110" s="37" t="s">
        <v>87</v>
      </c>
      <c r="AA110" s="978" t="s">
        <v>88</v>
      </c>
      <c r="AB110" s="80" t="s">
        <v>55</v>
      </c>
      <c r="AD110" s="40" t="s">
        <v>17</v>
      </c>
      <c r="AE110" s="979" t="s">
        <v>89</v>
      </c>
      <c r="AF110" s="980" t="s">
        <v>90</v>
      </c>
      <c r="AG110" s="23" t="s">
        <v>91</v>
      </c>
      <c r="AR110" s="28"/>
      <c r="AS110" s="28"/>
      <c r="AT110" s="28"/>
    </row>
    <row r="111" spans="1:50" ht="24.6" customHeight="1">
      <c r="A111" s="380" t="str">
        <f t="shared" ref="A111:A138" si="7">A7</f>
        <v>Eastern Florida State College</v>
      </c>
      <c r="B111" s="466">
        <v>904</v>
      </c>
      <c r="C111" s="1096"/>
      <c r="D111" s="964">
        <f t="shared" ref="D111:D138" si="8">B111+C111</f>
        <v>904</v>
      </c>
      <c r="E111" s="1068">
        <v>4070.6633523229893</v>
      </c>
      <c r="F111" s="467">
        <v>183.61735253529599</v>
      </c>
      <c r="G111" s="396">
        <f t="shared" ref="G111:G138" si="9">E111+F111</f>
        <v>4254.2807048582854</v>
      </c>
      <c r="H111" s="1134">
        <v>1521.3588197412328</v>
      </c>
      <c r="I111" s="1135">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5">
        <f>X111-W111</f>
        <v>0</v>
      </c>
      <c r="W111" s="471">
        <v>0</v>
      </c>
      <c r="X111" s="472">
        <v>0</v>
      </c>
      <c r="Y111" s="79"/>
      <c r="Z111" s="401">
        <f>AB111-AA111</f>
        <v>0</v>
      </c>
      <c r="AA111" s="473">
        <v>0</v>
      </c>
      <c r="AB111" s="646">
        <f t="shared" ref="AB111:AB138" si="14">AG111</f>
        <v>0</v>
      </c>
      <c r="AD111" s="380" t="str">
        <f t="shared" ref="AD111:AD138" si="15">A111</f>
        <v>Eastern Florida State College</v>
      </c>
      <c r="AE111" s="474">
        <v>0</v>
      </c>
      <c r="AF111" s="474">
        <v>0</v>
      </c>
      <c r="AG111" s="403">
        <f t="shared" ref="AG111:AG138" si="16">AE111+AF111</f>
        <v>0</v>
      </c>
      <c r="AI111" s="1063" t="s">
        <v>92</v>
      </c>
      <c r="AJ111" s="1063"/>
      <c r="AK111" s="1063"/>
      <c r="AL111" s="1063"/>
      <c r="AM111" s="1063"/>
      <c r="AN111" s="1063"/>
      <c r="AO111" s="42">
        <f>X139+AB139</f>
        <v>2673</v>
      </c>
      <c r="AR111" s="28"/>
      <c r="AS111" s="28"/>
      <c r="AT111" s="28"/>
    </row>
    <row r="112" spans="1:50" ht="25.35" customHeight="1">
      <c r="A112" s="647" t="str">
        <f t="shared" si="7"/>
        <v>Broward College</v>
      </c>
      <c r="B112" s="621">
        <v>1113</v>
      </c>
      <c r="C112" s="627"/>
      <c r="D112" s="965">
        <f t="shared" si="8"/>
        <v>1113</v>
      </c>
      <c r="E112" s="1069">
        <v>10769.338335884886</v>
      </c>
      <c r="F112" s="629">
        <v>476.04007571701146</v>
      </c>
      <c r="G112" s="628">
        <f t="shared" si="9"/>
        <v>11245.378411601898</v>
      </c>
      <c r="H112" s="1136">
        <v>5837.5073015000162</v>
      </c>
      <c r="I112" s="1137">
        <v>282.09685943848712</v>
      </c>
      <c r="J112" s="628">
        <f t="shared" ref="J112:J138" si="17">H112+I112</f>
        <v>6119.6041609385029</v>
      </c>
      <c r="K112" s="648">
        <v>546.38061503783615</v>
      </c>
      <c r="L112" s="622">
        <v>68.619384962163906</v>
      </c>
      <c r="M112" s="649">
        <f t="shared" si="10"/>
        <v>615</v>
      </c>
      <c r="N112" s="648">
        <v>11</v>
      </c>
      <c r="O112" s="622">
        <v>0</v>
      </c>
      <c r="P112" s="649">
        <f t="shared" si="11"/>
        <v>11</v>
      </c>
      <c r="Q112" s="648">
        <v>172.50768355150825</v>
      </c>
      <c r="R112" s="630">
        <v>0.49231644849174733</v>
      </c>
      <c r="S112" s="628">
        <f t="shared" si="12"/>
        <v>173</v>
      </c>
      <c r="T112" s="649">
        <f t="shared" si="13"/>
        <v>19276.982572540401</v>
      </c>
      <c r="V112" s="645">
        <f t="shared" ref="V112:V138" si="18">X112-W112</f>
        <v>0</v>
      </c>
      <c r="W112" s="630">
        <v>0</v>
      </c>
      <c r="X112" s="650">
        <v>0</v>
      </c>
      <c r="Y112" s="79"/>
      <c r="Z112" s="631">
        <f t="shared" ref="Z112:Z138" si="19">AB112-AA112</f>
        <v>0</v>
      </c>
      <c r="AA112" s="651">
        <v>0</v>
      </c>
      <c r="AB112" s="646">
        <f t="shared" si="14"/>
        <v>0</v>
      </c>
      <c r="AD112" s="385" t="str">
        <f t="shared" si="15"/>
        <v>Broward College</v>
      </c>
      <c r="AE112" s="652">
        <v>0</v>
      </c>
      <c r="AF112" s="652">
        <v>0</v>
      </c>
      <c r="AG112" s="628">
        <f t="shared" si="16"/>
        <v>0</v>
      </c>
      <c r="AI112" s="1063" t="s">
        <v>93</v>
      </c>
      <c r="AJ112" s="1063"/>
      <c r="AK112" s="1063"/>
      <c r="AL112" s="1063"/>
      <c r="AM112" s="1063"/>
      <c r="AN112" s="1063"/>
      <c r="AO112" s="475">
        <v>28486.441174206753</v>
      </c>
      <c r="AR112" s="158"/>
      <c r="AS112" s="158"/>
      <c r="AT112" s="158"/>
      <c r="AU112" s="158"/>
      <c r="AV112" s="158"/>
      <c r="AW112" s="158"/>
      <c r="AX112" s="158"/>
    </row>
    <row r="113" spans="1:50" ht="25.35" customHeight="1">
      <c r="A113" s="653" t="str">
        <f t="shared" si="7"/>
        <v>College of Central Florida</v>
      </c>
      <c r="B113" s="621">
        <v>281</v>
      </c>
      <c r="C113" s="627"/>
      <c r="D113" s="965">
        <f t="shared" si="8"/>
        <v>281</v>
      </c>
      <c r="E113" s="1069">
        <v>1773.1988276570255</v>
      </c>
      <c r="F113" s="629">
        <v>69.360688002738328</v>
      </c>
      <c r="G113" s="628">
        <f t="shared" si="9"/>
        <v>1842.5595156597637</v>
      </c>
      <c r="H113" s="1136">
        <v>1075.7106295853951</v>
      </c>
      <c r="I113" s="1137">
        <v>36.138884149462548</v>
      </c>
      <c r="J113" s="628">
        <f t="shared" si="17"/>
        <v>1111.8495137348575</v>
      </c>
      <c r="K113" s="648">
        <v>79.163594470046078</v>
      </c>
      <c r="L113" s="622">
        <v>14.836405529953918</v>
      </c>
      <c r="M113" s="649">
        <f t="shared" si="10"/>
        <v>94</v>
      </c>
      <c r="N113" s="648">
        <v>0</v>
      </c>
      <c r="O113" s="622">
        <v>0</v>
      </c>
      <c r="P113" s="649">
        <f t="shared" si="11"/>
        <v>0</v>
      </c>
      <c r="Q113" s="648">
        <v>106.33390557939914</v>
      </c>
      <c r="R113" s="630">
        <v>2.9622317596566523</v>
      </c>
      <c r="S113" s="628">
        <f t="shared" si="12"/>
        <v>109.29613733905579</v>
      </c>
      <c r="T113" s="649">
        <f t="shared" si="13"/>
        <v>3438.7051667336768</v>
      </c>
      <c r="V113" s="645">
        <f t="shared" si="18"/>
        <v>0</v>
      </c>
      <c r="W113" s="630">
        <v>0</v>
      </c>
      <c r="X113" s="650">
        <v>0</v>
      </c>
      <c r="Y113" s="79"/>
      <c r="Z113" s="631">
        <f t="shared" si="19"/>
        <v>5.8543046357615882</v>
      </c>
      <c r="AA113" s="651">
        <v>8.1456953642384118</v>
      </c>
      <c r="AB113" s="646">
        <f t="shared" si="14"/>
        <v>14</v>
      </c>
      <c r="AD113" s="653" t="str">
        <f t="shared" si="15"/>
        <v>College of Central Florida</v>
      </c>
      <c r="AE113" s="652">
        <v>10</v>
      </c>
      <c r="AF113" s="652">
        <v>4</v>
      </c>
      <c r="AG113" s="628">
        <f t="shared" si="16"/>
        <v>14</v>
      </c>
      <c r="AI113" s="1063" t="s">
        <v>94</v>
      </c>
      <c r="AJ113" s="1063"/>
      <c r="AK113" s="1063"/>
      <c r="AL113" s="1063"/>
      <c r="AM113" s="1063"/>
      <c r="AN113" s="1063"/>
      <c r="AO113" s="582">
        <f>3747-0</f>
        <v>3747</v>
      </c>
    </row>
    <row r="114" spans="1:50" ht="25.35" customHeight="1">
      <c r="A114" s="653" t="str">
        <f t="shared" si="7"/>
        <v>Chipola College</v>
      </c>
      <c r="B114" s="621">
        <v>136</v>
      </c>
      <c r="C114" s="627"/>
      <c r="D114" s="965">
        <f t="shared" si="8"/>
        <v>136</v>
      </c>
      <c r="E114" s="1069">
        <v>587.8461337171268</v>
      </c>
      <c r="F114" s="629">
        <v>54.699463561428765</v>
      </c>
      <c r="G114" s="628">
        <f t="shared" si="9"/>
        <v>642.54559727855553</v>
      </c>
      <c r="H114" s="1136">
        <v>163.33010648596323</v>
      </c>
      <c r="I114" s="1137">
        <v>6.447241045498548</v>
      </c>
      <c r="J114" s="628">
        <f t="shared" si="17"/>
        <v>169.77734753146177</v>
      </c>
      <c r="K114" s="648">
        <v>2.9661016949152543</v>
      </c>
      <c r="L114" s="622">
        <v>2.0338983050847457</v>
      </c>
      <c r="M114" s="649">
        <f t="shared" si="10"/>
        <v>5</v>
      </c>
      <c r="N114" s="648">
        <v>0</v>
      </c>
      <c r="O114" s="622">
        <v>0</v>
      </c>
      <c r="P114" s="649">
        <f t="shared" si="11"/>
        <v>0</v>
      </c>
      <c r="Q114" s="648">
        <v>157.54172185430463</v>
      </c>
      <c r="R114" s="630">
        <v>0.23443708609271524</v>
      </c>
      <c r="S114" s="628">
        <f t="shared" si="12"/>
        <v>157.77615894039735</v>
      </c>
      <c r="T114" s="649">
        <f t="shared" si="13"/>
        <v>1111.0991037504148</v>
      </c>
      <c r="V114" s="645">
        <f t="shared" si="18"/>
        <v>0</v>
      </c>
      <c r="W114" s="630">
        <v>0</v>
      </c>
      <c r="X114" s="650">
        <v>0</v>
      </c>
      <c r="Y114" s="79"/>
      <c r="Z114" s="631">
        <f t="shared" si="19"/>
        <v>0</v>
      </c>
      <c r="AA114" s="651">
        <v>0</v>
      </c>
      <c r="AB114" s="646">
        <f t="shared" si="14"/>
        <v>0</v>
      </c>
      <c r="AD114" s="653" t="str">
        <f t="shared" si="15"/>
        <v>Chipola College</v>
      </c>
      <c r="AE114" s="652">
        <v>0</v>
      </c>
      <c r="AF114" s="652">
        <v>0</v>
      </c>
      <c r="AG114" s="628">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3" t="str">
        <f t="shared" si="7"/>
        <v>Daytona State College</v>
      </c>
      <c r="B115" s="621">
        <v>861</v>
      </c>
      <c r="C115" s="627"/>
      <c r="D115" s="965">
        <f t="shared" si="8"/>
        <v>861</v>
      </c>
      <c r="E115" s="1069">
        <v>3924.0806598915729</v>
      </c>
      <c r="F115" s="629">
        <v>213.16398188990146</v>
      </c>
      <c r="G115" s="628">
        <f t="shared" si="9"/>
        <v>4137.2446417814745</v>
      </c>
      <c r="H115" s="1136">
        <v>1904.5630637291142</v>
      </c>
      <c r="I115" s="1137">
        <v>82.649711666420231</v>
      </c>
      <c r="J115" s="628">
        <f t="shared" si="17"/>
        <v>1987.2127753955344</v>
      </c>
      <c r="K115" s="648">
        <v>119.94230769230769</v>
      </c>
      <c r="L115" s="622">
        <v>12.057692307692307</v>
      </c>
      <c r="M115" s="649">
        <f t="shared" si="10"/>
        <v>132</v>
      </c>
      <c r="N115" s="648">
        <v>0</v>
      </c>
      <c r="O115" s="622">
        <v>0</v>
      </c>
      <c r="P115" s="649">
        <f t="shared" si="11"/>
        <v>0</v>
      </c>
      <c r="Q115" s="648">
        <v>629.96193353474314</v>
      </c>
      <c r="R115" s="630">
        <v>23.764350453172206</v>
      </c>
      <c r="S115" s="628">
        <f t="shared" si="12"/>
        <v>653.72628398791539</v>
      </c>
      <c r="T115" s="649">
        <f t="shared" si="13"/>
        <v>7771.1837011649241</v>
      </c>
      <c r="V115" s="645">
        <f t="shared" si="18"/>
        <v>0</v>
      </c>
      <c r="W115" s="630">
        <v>0</v>
      </c>
      <c r="X115" s="650">
        <v>0</v>
      </c>
      <c r="Y115" s="79"/>
      <c r="Z115" s="631">
        <f t="shared" si="19"/>
        <v>160</v>
      </c>
      <c r="AA115" s="651">
        <v>0</v>
      </c>
      <c r="AB115" s="646">
        <f t="shared" si="14"/>
        <v>160</v>
      </c>
      <c r="AD115" s="653" t="str">
        <f t="shared" si="15"/>
        <v>Daytona State College</v>
      </c>
      <c r="AE115" s="652">
        <v>135</v>
      </c>
      <c r="AF115" s="652">
        <v>25</v>
      </c>
      <c r="AG115" s="628">
        <f t="shared" si="16"/>
        <v>160</v>
      </c>
      <c r="AS115" s="28"/>
    </row>
    <row r="116" spans="1:50" ht="25.35" customHeight="1">
      <c r="A116" s="653" t="str">
        <f t="shared" si="7"/>
        <v>Florida SouthWestern State College</v>
      </c>
      <c r="B116" s="621">
        <v>500</v>
      </c>
      <c r="C116" s="627"/>
      <c r="D116" s="965">
        <f t="shared" si="8"/>
        <v>500</v>
      </c>
      <c r="E116" s="1069">
        <v>6485.1085390690969</v>
      </c>
      <c r="F116" s="629">
        <v>269.7336943023198</v>
      </c>
      <c r="G116" s="628">
        <f t="shared" si="9"/>
        <v>6754.842233371417</v>
      </c>
      <c r="H116" s="1136">
        <v>343.97809523809525</v>
      </c>
      <c r="I116" s="1137">
        <v>6.7619047619047628</v>
      </c>
      <c r="J116" s="628">
        <f t="shared" si="17"/>
        <v>350.74</v>
      </c>
      <c r="K116" s="648">
        <v>97.2</v>
      </c>
      <c r="L116" s="622">
        <v>10.799999999999999</v>
      </c>
      <c r="M116" s="649">
        <f t="shared" si="10"/>
        <v>108</v>
      </c>
      <c r="N116" s="648">
        <v>0</v>
      </c>
      <c r="O116" s="622">
        <v>0</v>
      </c>
      <c r="P116" s="649">
        <f t="shared" si="11"/>
        <v>0</v>
      </c>
      <c r="Q116" s="648">
        <v>34.086956521739133</v>
      </c>
      <c r="R116" s="630">
        <v>0.91304347826086962</v>
      </c>
      <c r="S116" s="628">
        <f t="shared" si="12"/>
        <v>35</v>
      </c>
      <c r="T116" s="649">
        <f t="shared" si="13"/>
        <v>7748.5822333714168</v>
      </c>
      <c r="V116" s="645">
        <f t="shared" si="18"/>
        <v>0</v>
      </c>
      <c r="W116" s="630">
        <v>0</v>
      </c>
      <c r="X116" s="650">
        <v>0</v>
      </c>
      <c r="Y116" s="79"/>
      <c r="Z116" s="631">
        <f t="shared" si="19"/>
        <v>0</v>
      </c>
      <c r="AA116" s="651">
        <v>0</v>
      </c>
      <c r="AB116" s="646">
        <f t="shared" si="14"/>
        <v>0</v>
      </c>
      <c r="AD116" s="653" t="str">
        <f t="shared" si="15"/>
        <v>Florida SouthWestern State College</v>
      </c>
      <c r="AE116" s="652">
        <v>0</v>
      </c>
      <c r="AF116" s="652">
        <v>0</v>
      </c>
      <c r="AG116" s="628">
        <f t="shared" si="16"/>
        <v>0</v>
      </c>
      <c r="AI116" s="28" t="s">
        <v>757</v>
      </c>
      <c r="AO116" s="475">
        <v>270875</v>
      </c>
      <c r="AR116" s="28"/>
      <c r="AS116" s="28"/>
    </row>
    <row r="117" spans="1:50" ht="25.35" customHeight="1">
      <c r="A117" s="653" t="str">
        <f t="shared" si="7"/>
        <v>Florida State College at Jacksonville</v>
      </c>
      <c r="B117" s="621">
        <v>1500</v>
      </c>
      <c r="C117" s="627"/>
      <c r="D117" s="965">
        <f t="shared" si="8"/>
        <v>1500</v>
      </c>
      <c r="E117" s="1069">
        <v>6555.559169235682</v>
      </c>
      <c r="F117" s="629">
        <v>202.5386703349341</v>
      </c>
      <c r="G117" s="628">
        <f t="shared" si="9"/>
        <v>6758.0978395706161</v>
      </c>
      <c r="H117" s="1136">
        <v>2928.0981193785769</v>
      </c>
      <c r="I117" s="1137">
        <v>71.494685200327055</v>
      </c>
      <c r="J117" s="628">
        <f t="shared" si="17"/>
        <v>2999.5928045789042</v>
      </c>
      <c r="K117" s="648">
        <v>370.72568032530495</v>
      </c>
      <c r="L117" s="622">
        <v>19.274319674695029</v>
      </c>
      <c r="M117" s="649">
        <f t="shared" si="10"/>
        <v>390</v>
      </c>
      <c r="N117" s="648">
        <v>8.6300578034682083</v>
      </c>
      <c r="O117" s="622">
        <v>0.36994219653179189</v>
      </c>
      <c r="P117" s="649">
        <f t="shared" si="11"/>
        <v>9</v>
      </c>
      <c r="Q117" s="648">
        <v>655.0743281875358</v>
      </c>
      <c r="R117" s="630">
        <v>40.222984562607209</v>
      </c>
      <c r="S117" s="628">
        <f t="shared" si="12"/>
        <v>695.29731275014296</v>
      </c>
      <c r="T117" s="649">
        <f t="shared" si="13"/>
        <v>12351.987956899662</v>
      </c>
      <c r="V117" s="645">
        <f t="shared" si="18"/>
        <v>0</v>
      </c>
      <c r="W117" s="630">
        <v>0</v>
      </c>
      <c r="X117" s="650">
        <v>0</v>
      </c>
      <c r="Y117" s="79"/>
      <c r="Z117" s="631">
        <f t="shared" si="19"/>
        <v>200.5798076923077</v>
      </c>
      <c r="AA117" s="651">
        <v>9.4201923076923073</v>
      </c>
      <c r="AB117" s="646">
        <f t="shared" si="14"/>
        <v>210</v>
      </c>
      <c r="AD117" s="653" t="str">
        <f t="shared" si="15"/>
        <v>Florida State College at Jacksonville</v>
      </c>
      <c r="AE117" s="652">
        <v>202</v>
      </c>
      <c r="AF117" s="652">
        <v>8</v>
      </c>
      <c r="AG117" s="628">
        <f t="shared" si="16"/>
        <v>210</v>
      </c>
      <c r="AO117" s="583">
        <f>AO114</f>
        <v>34906.441174206753</v>
      </c>
      <c r="AQ117" s="28"/>
      <c r="AR117" s="28"/>
      <c r="AS117" s="28"/>
    </row>
    <row r="118" spans="1:50" ht="25.35" customHeight="1">
      <c r="A118" s="653" t="str">
        <f t="shared" si="7"/>
        <v>College of the Florida Keys</v>
      </c>
      <c r="B118" s="621">
        <v>48</v>
      </c>
      <c r="C118" s="627"/>
      <c r="D118" s="965">
        <f t="shared" si="8"/>
        <v>48</v>
      </c>
      <c r="E118" s="1069">
        <v>293.38483796296299</v>
      </c>
      <c r="F118" s="629">
        <v>34.806423611111107</v>
      </c>
      <c r="G118" s="628">
        <f t="shared" si="9"/>
        <v>328.19126157407408</v>
      </c>
      <c r="H118" s="1136">
        <v>235.06822880771881</v>
      </c>
      <c r="I118" s="1137">
        <v>39.634734665747764</v>
      </c>
      <c r="J118" s="628">
        <f t="shared" si="17"/>
        <v>274.70296347346658</v>
      </c>
      <c r="K118" s="648">
        <v>5.7931034482758621</v>
      </c>
      <c r="L118" s="622">
        <v>1.2068965517241379</v>
      </c>
      <c r="M118" s="649">
        <f t="shared" si="10"/>
        <v>7</v>
      </c>
      <c r="N118" s="648">
        <v>0</v>
      </c>
      <c r="O118" s="622">
        <v>0</v>
      </c>
      <c r="P118" s="649">
        <f t="shared" si="11"/>
        <v>0</v>
      </c>
      <c r="Q118" s="648">
        <v>48</v>
      </c>
      <c r="R118" s="630">
        <v>0</v>
      </c>
      <c r="S118" s="628">
        <f t="shared" si="12"/>
        <v>48</v>
      </c>
      <c r="T118" s="649">
        <f t="shared" si="13"/>
        <v>705.89422504754066</v>
      </c>
      <c r="V118" s="645">
        <f t="shared" si="18"/>
        <v>0</v>
      </c>
      <c r="W118" s="630">
        <v>0</v>
      </c>
      <c r="X118" s="650">
        <v>0</v>
      </c>
      <c r="Y118" s="79"/>
      <c r="Z118" s="631">
        <f t="shared" si="19"/>
        <v>0</v>
      </c>
      <c r="AA118" s="651">
        <v>0</v>
      </c>
      <c r="AB118" s="646">
        <f t="shared" si="14"/>
        <v>0</v>
      </c>
      <c r="AD118" s="653" t="str">
        <f t="shared" si="15"/>
        <v>College of the Florida Keys</v>
      </c>
      <c r="AE118" s="652">
        <v>0</v>
      </c>
      <c r="AF118" s="652">
        <v>0</v>
      </c>
      <c r="AG118" s="628">
        <f t="shared" si="16"/>
        <v>0</v>
      </c>
      <c r="AI118" s="1062" t="s">
        <v>95</v>
      </c>
      <c r="AJ118" s="1062"/>
      <c r="AK118" s="1062"/>
      <c r="AL118" s="1062"/>
      <c r="AM118" s="1062"/>
      <c r="AN118" s="1062"/>
      <c r="AO118" s="387">
        <f>AO116-AO117</f>
        <v>235968.55882579324</v>
      </c>
    </row>
    <row r="119" spans="1:50" ht="25.35" customHeight="1">
      <c r="A119" s="653" t="str">
        <f t="shared" si="7"/>
        <v>Gulf Coast State College</v>
      </c>
      <c r="B119" s="621">
        <v>127</v>
      </c>
      <c r="C119" s="627"/>
      <c r="D119" s="965">
        <f t="shared" si="8"/>
        <v>127</v>
      </c>
      <c r="E119" s="1069">
        <v>1745.6002404290734</v>
      </c>
      <c r="F119" s="629">
        <v>111.88246717218421</v>
      </c>
      <c r="G119" s="628">
        <f t="shared" si="9"/>
        <v>1857.4827076012577</v>
      </c>
      <c r="H119" s="1136">
        <v>495.82181885534357</v>
      </c>
      <c r="I119" s="1137">
        <v>31.749212817188369</v>
      </c>
      <c r="J119" s="628">
        <f t="shared" si="17"/>
        <v>527.57103167253194</v>
      </c>
      <c r="K119" s="648">
        <v>33.902735562310028</v>
      </c>
      <c r="L119" s="622">
        <v>5.0972644376899696</v>
      </c>
      <c r="M119" s="649">
        <f t="shared" si="10"/>
        <v>39</v>
      </c>
      <c r="N119" s="648">
        <v>0</v>
      </c>
      <c r="O119" s="622">
        <v>0</v>
      </c>
      <c r="P119" s="649">
        <f t="shared" si="11"/>
        <v>0</v>
      </c>
      <c r="Q119" s="648">
        <v>150.41999999999999</v>
      </c>
      <c r="R119" s="630">
        <v>10.58</v>
      </c>
      <c r="S119" s="628">
        <f t="shared" si="12"/>
        <v>161</v>
      </c>
      <c r="T119" s="649">
        <f t="shared" si="13"/>
        <v>2712.0537392737897</v>
      </c>
      <c r="V119" s="645">
        <f t="shared" si="18"/>
        <v>0</v>
      </c>
      <c r="W119" s="630">
        <v>0</v>
      </c>
      <c r="X119" s="650">
        <v>0</v>
      </c>
      <c r="Y119" s="79"/>
      <c r="Z119" s="631">
        <f t="shared" si="19"/>
        <v>0</v>
      </c>
      <c r="AA119" s="651">
        <v>0</v>
      </c>
      <c r="AB119" s="646">
        <f t="shared" si="14"/>
        <v>0</v>
      </c>
      <c r="AD119" s="653" t="str">
        <f t="shared" si="15"/>
        <v>Gulf Coast State College</v>
      </c>
      <c r="AE119" s="652">
        <v>0</v>
      </c>
      <c r="AF119" s="652">
        <v>0</v>
      </c>
      <c r="AG119" s="628">
        <f t="shared" si="16"/>
        <v>0</v>
      </c>
    </row>
    <row r="120" spans="1:50" ht="25.35" customHeight="1">
      <c r="A120" s="653" t="str">
        <f t="shared" si="7"/>
        <v>Hillsborough Community College</v>
      </c>
      <c r="B120" s="621">
        <v>27</v>
      </c>
      <c r="C120" s="627"/>
      <c r="D120" s="965">
        <f t="shared" si="8"/>
        <v>27</v>
      </c>
      <c r="E120" s="1069">
        <v>8757.1743018345696</v>
      </c>
      <c r="F120" s="629">
        <v>471.96092225258161</v>
      </c>
      <c r="G120" s="628">
        <f t="shared" si="9"/>
        <v>9229.1352240871511</v>
      </c>
      <c r="H120" s="1136">
        <v>4447.9587874659401</v>
      </c>
      <c r="I120" s="1137">
        <v>247.48876021798367</v>
      </c>
      <c r="J120" s="628">
        <f t="shared" si="17"/>
        <v>4695.4475476839234</v>
      </c>
      <c r="K120" s="648">
        <v>686.06338339222611</v>
      </c>
      <c r="L120" s="622">
        <v>95.936616607773857</v>
      </c>
      <c r="M120" s="649">
        <f t="shared" si="10"/>
        <v>782</v>
      </c>
      <c r="N120" s="648">
        <v>19</v>
      </c>
      <c r="O120" s="622">
        <v>0</v>
      </c>
      <c r="P120" s="649">
        <f t="shared" si="11"/>
        <v>19</v>
      </c>
      <c r="Q120" s="648">
        <v>340.81407322654462</v>
      </c>
      <c r="R120" s="630">
        <v>8.1859267734553764</v>
      </c>
      <c r="S120" s="628">
        <f t="shared" si="12"/>
        <v>349</v>
      </c>
      <c r="T120" s="649">
        <f t="shared" si="13"/>
        <v>15101.582771771074</v>
      </c>
      <c r="V120" s="645">
        <f t="shared" si="18"/>
        <v>0</v>
      </c>
      <c r="W120" s="630">
        <v>0</v>
      </c>
      <c r="X120" s="650">
        <v>0</v>
      </c>
      <c r="Y120" s="79"/>
      <c r="Z120" s="631">
        <f t="shared" si="19"/>
        <v>0</v>
      </c>
      <c r="AA120" s="651">
        <v>0</v>
      </c>
      <c r="AB120" s="646">
        <f t="shared" si="14"/>
        <v>0</v>
      </c>
      <c r="AD120" s="653" t="str">
        <f t="shared" si="15"/>
        <v>Hillsborough Community College</v>
      </c>
      <c r="AE120" s="652">
        <v>0</v>
      </c>
      <c r="AF120" s="652">
        <v>0</v>
      </c>
      <c r="AG120" s="628">
        <f t="shared" si="16"/>
        <v>0</v>
      </c>
      <c r="AI120" s="1062" t="s">
        <v>758</v>
      </c>
      <c r="AJ120" s="1062"/>
      <c r="AK120" s="1062"/>
      <c r="AL120" s="1062"/>
      <c r="AM120" s="1062"/>
      <c r="AN120" s="1062"/>
      <c r="AO120" s="388">
        <f>AO114+AO118</f>
        <v>270875</v>
      </c>
    </row>
    <row r="121" spans="1:50" ht="25.35" customHeight="1">
      <c r="A121" s="653" t="str">
        <f t="shared" si="7"/>
        <v>Indian River State College</v>
      </c>
      <c r="B121" s="621">
        <v>1235</v>
      </c>
      <c r="C121" s="627"/>
      <c r="D121" s="965">
        <f t="shared" si="8"/>
        <v>1235</v>
      </c>
      <c r="E121" s="1069">
        <v>4028.0139814206623</v>
      </c>
      <c r="F121" s="629">
        <v>123.77273153795626</v>
      </c>
      <c r="G121" s="628">
        <f t="shared" si="9"/>
        <v>4151.7867129586184</v>
      </c>
      <c r="H121" s="1136">
        <v>2080.5948006613999</v>
      </c>
      <c r="I121" s="1137">
        <v>50.070044093330893</v>
      </c>
      <c r="J121" s="628">
        <f t="shared" si="17"/>
        <v>2130.6648447547309</v>
      </c>
      <c r="K121" s="648">
        <v>45.652173913043477</v>
      </c>
      <c r="L121" s="622">
        <v>4.3478260869565215</v>
      </c>
      <c r="M121" s="649">
        <f t="shared" si="10"/>
        <v>50</v>
      </c>
      <c r="N121" s="648">
        <v>0</v>
      </c>
      <c r="O121" s="622">
        <v>0</v>
      </c>
      <c r="P121" s="649">
        <f t="shared" si="11"/>
        <v>0</v>
      </c>
      <c r="Q121" s="648">
        <v>630.58333333333337</v>
      </c>
      <c r="R121" s="630">
        <v>10.813432835820896</v>
      </c>
      <c r="S121" s="628">
        <f t="shared" si="12"/>
        <v>641.39676616915426</v>
      </c>
      <c r="T121" s="649">
        <f t="shared" si="13"/>
        <v>8208.8483238825047</v>
      </c>
      <c r="V121" s="645">
        <f t="shared" si="18"/>
        <v>0</v>
      </c>
      <c r="W121" s="630">
        <v>0</v>
      </c>
      <c r="X121" s="650">
        <v>0</v>
      </c>
      <c r="Y121" s="79"/>
      <c r="Z121" s="631">
        <f t="shared" si="19"/>
        <v>339</v>
      </c>
      <c r="AA121" s="651">
        <v>0</v>
      </c>
      <c r="AB121" s="646">
        <f t="shared" si="14"/>
        <v>339</v>
      </c>
      <c r="AD121" s="653" t="str">
        <f t="shared" si="15"/>
        <v>Indian River State College</v>
      </c>
      <c r="AE121" s="652">
        <v>322</v>
      </c>
      <c r="AF121" s="652">
        <v>17</v>
      </c>
      <c r="AG121" s="628">
        <f t="shared" si="16"/>
        <v>339</v>
      </c>
    </row>
    <row r="122" spans="1:50" ht="25.35" customHeight="1">
      <c r="A122" s="653" t="str">
        <f t="shared" si="7"/>
        <v>Florida Gateway College</v>
      </c>
      <c r="B122" s="621">
        <v>110</v>
      </c>
      <c r="C122" s="627"/>
      <c r="D122" s="965">
        <f t="shared" si="8"/>
        <v>110</v>
      </c>
      <c r="E122" s="1069">
        <v>869.6032516379521</v>
      </c>
      <c r="F122" s="629">
        <v>11.258917738413007</v>
      </c>
      <c r="G122" s="628">
        <f t="shared" si="9"/>
        <v>880.86216937636516</v>
      </c>
      <c r="H122" s="1136">
        <v>341.11536358665938</v>
      </c>
      <c r="I122" s="1137">
        <v>8.7285401858939302</v>
      </c>
      <c r="J122" s="628">
        <f t="shared" si="17"/>
        <v>349.84390377255329</v>
      </c>
      <c r="K122" s="648">
        <v>49.926315789473684</v>
      </c>
      <c r="L122" s="622">
        <v>1.0736842105263158</v>
      </c>
      <c r="M122" s="649">
        <f t="shared" si="10"/>
        <v>51</v>
      </c>
      <c r="N122" s="648">
        <v>16</v>
      </c>
      <c r="O122" s="622">
        <v>0</v>
      </c>
      <c r="P122" s="649">
        <f t="shared" si="11"/>
        <v>16</v>
      </c>
      <c r="Q122" s="648">
        <v>255.27636676711151</v>
      </c>
      <c r="R122" s="630">
        <v>5.1721911321566933</v>
      </c>
      <c r="S122" s="628">
        <f t="shared" si="12"/>
        <v>260.44855789926822</v>
      </c>
      <c r="T122" s="649">
        <f t="shared" si="13"/>
        <v>1668.1546310481867</v>
      </c>
      <c r="V122" s="645">
        <f t="shared" si="18"/>
        <v>0</v>
      </c>
      <c r="W122" s="630">
        <v>0</v>
      </c>
      <c r="X122" s="650">
        <v>0</v>
      </c>
      <c r="Y122" s="79"/>
      <c r="Z122" s="631">
        <f t="shared" si="19"/>
        <v>0</v>
      </c>
      <c r="AA122" s="651">
        <v>0</v>
      </c>
      <c r="AB122" s="646">
        <f t="shared" si="14"/>
        <v>0</v>
      </c>
      <c r="AD122" s="653" t="str">
        <f t="shared" si="15"/>
        <v>Florida Gateway College</v>
      </c>
      <c r="AE122" s="652">
        <v>0</v>
      </c>
      <c r="AF122" s="652">
        <v>0</v>
      </c>
      <c r="AG122" s="628">
        <f t="shared" si="16"/>
        <v>0</v>
      </c>
    </row>
    <row r="123" spans="1:50" ht="25.35" customHeight="1">
      <c r="A123" s="653" t="str">
        <f t="shared" si="7"/>
        <v>Lake-Sumter State College</v>
      </c>
      <c r="B123" s="621">
        <v>120</v>
      </c>
      <c r="C123" s="627"/>
      <c r="D123" s="965">
        <f t="shared" si="8"/>
        <v>120</v>
      </c>
      <c r="E123" s="1069">
        <v>1702.4992125275617</v>
      </c>
      <c r="F123" s="629">
        <v>28.217612383566571</v>
      </c>
      <c r="G123" s="628">
        <f t="shared" si="9"/>
        <v>1730.7168249111282</v>
      </c>
      <c r="H123" s="1136">
        <v>416.33072677092918</v>
      </c>
      <c r="I123" s="1137">
        <v>4.3606255749770009</v>
      </c>
      <c r="J123" s="628">
        <f t="shared" si="17"/>
        <v>420.69135234590618</v>
      </c>
      <c r="K123" s="648">
        <v>45.463002114164908</v>
      </c>
      <c r="L123" s="622">
        <v>2.5369978858350954</v>
      </c>
      <c r="M123" s="649">
        <f t="shared" si="10"/>
        <v>48</v>
      </c>
      <c r="N123" s="648">
        <v>0</v>
      </c>
      <c r="O123" s="622">
        <v>0</v>
      </c>
      <c r="P123" s="649">
        <f t="shared" si="11"/>
        <v>0</v>
      </c>
      <c r="Q123" s="648">
        <v>0</v>
      </c>
      <c r="R123" s="630">
        <v>0</v>
      </c>
      <c r="S123" s="628">
        <f t="shared" si="12"/>
        <v>0</v>
      </c>
      <c r="T123" s="649">
        <f t="shared" si="13"/>
        <v>2319.4081772570344</v>
      </c>
      <c r="V123" s="645">
        <f t="shared" si="18"/>
        <v>0</v>
      </c>
      <c r="W123" s="630">
        <v>0</v>
      </c>
      <c r="X123" s="650">
        <v>0</v>
      </c>
      <c r="Y123" s="79"/>
      <c r="Z123" s="631">
        <f t="shared" si="19"/>
        <v>0</v>
      </c>
      <c r="AA123" s="651">
        <v>0</v>
      </c>
      <c r="AB123" s="646">
        <f t="shared" si="14"/>
        <v>0</v>
      </c>
      <c r="AD123" s="653" t="str">
        <f t="shared" si="15"/>
        <v>Lake-Sumter State College</v>
      </c>
      <c r="AE123" s="652">
        <v>0</v>
      </c>
      <c r="AF123" s="652">
        <v>0</v>
      </c>
      <c r="AG123" s="628">
        <f t="shared" si="16"/>
        <v>0</v>
      </c>
    </row>
    <row r="124" spans="1:50" ht="25.35" customHeight="1">
      <c r="A124" s="653" t="str">
        <f t="shared" si="7"/>
        <v>State College of Florida, Manatee-Sarasota</v>
      </c>
      <c r="B124" s="621">
        <v>438</v>
      </c>
      <c r="C124" s="627"/>
      <c r="D124" s="965">
        <f t="shared" si="8"/>
        <v>438</v>
      </c>
      <c r="E124" s="1069">
        <v>3989.8404151589352</v>
      </c>
      <c r="F124" s="629">
        <v>193.31379601742105</v>
      </c>
      <c r="G124" s="628">
        <f t="shared" si="9"/>
        <v>4183.1542111763565</v>
      </c>
      <c r="H124" s="1136">
        <v>591.90598713508166</v>
      </c>
      <c r="I124" s="1137">
        <v>24.972785749628898</v>
      </c>
      <c r="J124" s="628">
        <f t="shared" si="17"/>
        <v>616.87877288471054</v>
      </c>
      <c r="K124" s="648">
        <v>142.91363355953115</v>
      </c>
      <c r="L124" s="622">
        <v>16.086366440468851</v>
      </c>
      <c r="M124" s="649">
        <f t="shared" si="10"/>
        <v>159</v>
      </c>
      <c r="N124" s="648">
        <v>5</v>
      </c>
      <c r="O124" s="622">
        <v>0</v>
      </c>
      <c r="P124" s="649">
        <f t="shared" si="11"/>
        <v>5</v>
      </c>
      <c r="Q124" s="648">
        <v>0</v>
      </c>
      <c r="R124" s="630">
        <v>0</v>
      </c>
      <c r="S124" s="628">
        <f t="shared" si="12"/>
        <v>0</v>
      </c>
      <c r="T124" s="649">
        <f t="shared" si="13"/>
        <v>5402.0329840610666</v>
      </c>
      <c r="V124" s="645">
        <f t="shared" si="18"/>
        <v>0</v>
      </c>
      <c r="W124" s="630">
        <v>0</v>
      </c>
      <c r="X124" s="650">
        <v>0</v>
      </c>
      <c r="Y124" s="79"/>
      <c r="Z124" s="631">
        <f t="shared" si="19"/>
        <v>0</v>
      </c>
      <c r="AA124" s="651">
        <v>0</v>
      </c>
      <c r="AB124" s="646">
        <f t="shared" si="14"/>
        <v>0</v>
      </c>
      <c r="AD124" s="653" t="str">
        <f t="shared" si="15"/>
        <v>State College of Florida, Manatee-Sarasota</v>
      </c>
      <c r="AE124" s="652">
        <v>0</v>
      </c>
      <c r="AF124" s="652">
        <v>0</v>
      </c>
      <c r="AG124" s="628">
        <f t="shared" si="16"/>
        <v>0</v>
      </c>
    </row>
    <row r="125" spans="1:50" ht="25.35" customHeight="1">
      <c r="A125" s="653" t="str">
        <f t="shared" si="7"/>
        <v>Miami Dade College</v>
      </c>
      <c r="B125" s="621">
        <v>2550</v>
      </c>
      <c r="C125" s="627"/>
      <c r="D125" s="965">
        <f t="shared" si="8"/>
        <v>2550</v>
      </c>
      <c r="E125" s="1069">
        <v>26855.966376270149</v>
      </c>
      <c r="F125" s="629">
        <v>1540.737158408348</v>
      </c>
      <c r="G125" s="628">
        <f t="shared" si="9"/>
        <v>28396.703534678498</v>
      </c>
      <c r="H125" s="1136">
        <v>4037.4676471311577</v>
      </c>
      <c r="I125" s="1137">
        <v>205.87983571481271</v>
      </c>
      <c r="J125" s="628">
        <f t="shared" si="17"/>
        <v>4243.3474828459703</v>
      </c>
      <c r="K125" s="648">
        <v>1080.8538634788636</v>
      </c>
      <c r="L125" s="622">
        <v>96.146136521136526</v>
      </c>
      <c r="M125" s="649">
        <f t="shared" si="10"/>
        <v>1177</v>
      </c>
      <c r="N125" s="648">
        <v>18.72944297082228</v>
      </c>
      <c r="O125" s="622">
        <v>0.27055702917771884</v>
      </c>
      <c r="P125" s="649">
        <f t="shared" si="11"/>
        <v>19</v>
      </c>
      <c r="Q125" s="648">
        <v>574.55633980337791</v>
      </c>
      <c r="R125" s="630">
        <v>35.443660196622133</v>
      </c>
      <c r="S125" s="628">
        <f t="shared" si="12"/>
        <v>610</v>
      </c>
      <c r="T125" s="649">
        <f t="shared" si="13"/>
        <v>36996.051017524471</v>
      </c>
      <c r="V125" s="645">
        <f t="shared" si="18"/>
        <v>0</v>
      </c>
      <c r="W125" s="630">
        <v>4</v>
      </c>
      <c r="X125" s="650">
        <v>4</v>
      </c>
      <c r="Y125" s="79"/>
      <c r="Z125" s="631">
        <f t="shared" si="19"/>
        <v>7.0554512635377478</v>
      </c>
      <c r="AA125" s="651">
        <v>998.94454873646225</v>
      </c>
      <c r="AB125" s="646">
        <f t="shared" si="14"/>
        <v>1006</v>
      </c>
      <c r="AD125" s="653" t="str">
        <f t="shared" si="15"/>
        <v>Miami Dade College</v>
      </c>
      <c r="AE125" s="652">
        <v>1003</v>
      </c>
      <c r="AF125" s="652">
        <v>3</v>
      </c>
      <c r="AG125" s="628">
        <f t="shared" si="16"/>
        <v>1006</v>
      </c>
    </row>
    <row r="126" spans="1:50" ht="25.35" customHeight="1">
      <c r="A126" s="653" t="str">
        <f t="shared" si="7"/>
        <v>North Florida College</v>
      </c>
      <c r="B126" s="621">
        <v>31</v>
      </c>
      <c r="C126" s="627"/>
      <c r="D126" s="965">
        <f t="shared" si="8"/>
        <v>31</v>
      </c>
      <c r="E126" s="1069">
        <v>376.02913836253123</v>
      </c>
      <c r="F126" s="629">
        <v>10.557382910260992</v>
      </c>
      <c r="G126" s="628">
        <f t="shared" si="9"/>
        <v>386.5865212727922</v>
      </c>
      <c r="H126" s="1136">
        <v>93.426336375488916</v>
      </c>
      <c r="I126" s="1137">
        <v>9.7157757496740551</v>
      </c>
      <c r="J126" s="628">
        <f t="shared" si="17"/>
        <v>103.14211212516297</v>
      </c>
      <c r="K126" s="648">
        <v>8.8461538461538467</v>
      </c>
      <c r="L126" s="622">
        <v>1.153846153846154</v>
      </c>
      <c r="M126" s="649">
        <f t="shared" si="10"/>
        <v>10</v>
      </c>
      <c r="N126" s="648">
        <v>0</v>
      </c>
      <c r="O126" s="622">
        <v>0</v>
      </c>
      <c r="P126" s="649">
        <f t="shared" si="11"/>
        <v>0</v>
      </c>
      <c r="Q126" s="648">
        <v>40.156862745098039</v>
      </c>
      <c r="R126" s="630">
        <v>3.3725490196078431</v>
      </c>
      <c r="S126" s="628">
        <f t="shared" si="12"/>
        <v>43.529411764705884</v>
      </c>
      <c r="T126" s="649">
        <f t="shared" si="13"/>
        <v>574.25804516266101</v>
      </c>
      <c r="V126" s="645">
        <f t="shared" si="18"/>
        <v>0</v>
      </c>
      <c r="W126" s="630">
        <v>0</v>
      </c>
      <c r="X126" s="650">
        <v>0</v>
      </c>
      <c r="Y126" s="79"/>
      <c r="Z126" s="631">
        <f t="shared" si="19"/>
        <v>0</v>
      </c>
      <c r="AA126" s="651">
        <v>0</v>
      </c>
      <c r="AB126" s="646">
        <f t="shared" si="14"/>
        <v>0</v>
      </c>
      <c r="AD126" s="653" t="str">
        <f t="shared" si="15"/>
        <v>North Florida College</v>
      </c>
      <c r="AE126" s="652">
        <v>0</v>
      </c>
      <c r="AF126" s="652">
        <v>0</v>
      </c>
      <c r="AG126" s="628">
        <f t="shared" si="16"/>
        <v>0</v>
      </c>
    </row>
    <row r="127" spans="1:50" ht="25.35" customHeight="1">
      <c r="A127" s="653" t="str">
        <f t="shared" si="7"/>
        <v>Northwest Florida State College</v>
      </c>
      <c r="B127" s="621">
        <v>260</v>
      </c>
      <c r="C127" s="627"/>
      <c r="D127" s="965">
        <f t="shared" si="8"/>
        <v>260</v>
      </c>
      <c r="E127" s="1069">
        <v>1415.6479275376587</v>
      </c>
      <c r="F127" s="629">
        <v>129.07905877719799</v>
      </c>
      <c r="G127" s="628">
        <f t="shared" si="9"/>
        <v>1544.7269863148567</v>
      </c>
      <c r="H127" s="1136">
        <v>488.70819672131142</v>
      </c>
      <c r="I127" s="1137">
        <v>33.783606557377055</v>
      </c>
      <c r="J127" s="628">
        <f t="shared" si="17"/>
        <v>522.49180327868851</v>
      </c>
      <c r="K127" s="648">
        <v>47.006711409395976</v>
      </c>
      <c r="L127" s="622">
        <v>3.9932885906040263</v>
      </c>
      <c r="M127" s="649">
        <f t="shared" si="10"/>
        <v>51</v>
      </c>
      <c r="N127" s="648">
        <v>0</v>
      </c>
      <c r="O127" s="622">
        <v>0</v>
      </c>
      <c r="P127" s="649">
        <f t="shared" si="11"/>
        <v>0</v>
      </c>
      <c r="Q127" s="648">
        <v>198.21454993834772</v>
      </c>
      <c r="R127" s="630">
        <v>5.7854500616522815</v>
      </c>
      <c r="S127" s="628">
        <f t="shared" si="12"/>
        <v>204</v>
      </c>
      <c r="T127" s="649">
        <f t="shared" si="13"/>
        <v>2582.2187895935454</v>
      </c>
      <c r="V127" s="645">
        <f t="shared" si="18"/>
        <v>0</v>
      </c>
      <c r="W127" s="630">
        <v>0</v>
      </c>
      <c r="X127" s="650">
        <v>0</v>
      </c>
      <c r="Y127" s="79"/>
      <c r="Z127" s="631">
        <f t="shared" si="19"/>
        <v>0</v>
      </c>
      <c r="AA127" s="651">
        <v>0</v>
      </c>
      <c r="AB127" s="646">
        <f t="shared" si="14"/>
        <v>0</v>
      </c>
      <c r="AD127" s="653" t="str">
        <f t="shared" si="15"/>
        <v>Northwest Florida State College</v>
      </c>
      <c r="AE127" s="652">
        <v>0</v>
      </c>
      <c r="AF127" s="652">
        <v>0</v>
      </c>
      <c r="AG127" s="628">
        <f t="shared" si="16"/>
        <v>0</v>
      </c>
    </row>
    <row r="128" spans="1:50" ht="25.35" customHeight="1">
      <c r="A128" s="653" t="str">
        <f t="shared" si="7"/>
        <v>Palm Beach State College</v>
      </c>
      <c r="B128" s="621">
        <v>852</v>
      </c>
      <c r="C128" s="627"/>
      <c r="D128" s="965">
        <f t="shared" si="8"/>
        <v>852</v>
      </c>
      <c r="E128" s="1069">
        <v>11128.474256581856</v>
      </c>
      <c r="F128" s="629">
        <v>610.18313971841644</v>
      </c>
      <c r="G128" s="628">
        <f t="shared" si="9"/>
        <v>11738.657396300272</v>
      </c>
      <c r="H128" s="1136">
        <v>1319.1051714119699</v>
      </c>
      <c r="I128" s="1137">
        <v>37.338756536897151</v>
      </c>
      <c r="J128" s="628">
        <f t="shared" si="17"/>
        <v>1356.443927948867</v>
      </c>
      <c r="K128" s="648">
        <v>325.58352080989874</v>
      </c>
      <c r="L128" s="622">
        <v>33.416479190101235</v>
      </c>
      <c r="M128" s="649">
        <f t="shared" si="10"/>
        <v>359</v>
      </c>
      <c r="N128" s="648">
        <v>20</v>
      </c>
      <c r="O128" s="622">
        <v>0</v>
      </c>
      <c r="P128" s="649">
        <f t="shared" si="11"/>
        <v>20</v>
      </c>
      <c r="Q128" s="648">
        <v>569.93323795898903</v>
      </c>
      <c r="R128" s="630">
        <v>13.066762041010966</v>
      </c>
      <c r="S128" s="628">
        <f t="shared" si="12"/>
        <v>583</v>
      </c>
      <c r="T128" s="649">
        <f t="shared" si="13"/>
        <v>14909.101324249139</v>
      </c>
      <c r="V128" s="645">
        <f t="shared" si="18"/>
        <v>0</v>
      </c>
      <c r="W128" s="630">
        <v>0</v>
      </c>
      <c r="X128" s="650">
        <v>0</v>
      </c>
      <c r="Y128" s="79"/>
      <c r="Z128" s="631">
        <f t="shared" si="19"/>
        <v>0</v>
      </c>
      <c r="AA128" s="651">
        <v>0</v>
      </c>
      <c r="AB128" s="646">
        <f t="shared" si="14"/>
        <v>0</v>
      </c>
      <c r="AD128" s="653" t="str">
        <f t="shared" si="15"/>
        <v>Palm Beach State College</v>
      </c>
      <c r="AE128" s="652">
        <v>0</v>
      </c>
      <c r="AF128" s="652">
        <v>0</v>
      </c>
      <c r="AG128" s="628">
        <f t="shared" si="16"/>
        <v>0</v>
      </c>
    </row>
    <row r="129" spans="1:44" ht="25.35" customHeight="1">
      <c r="A129" s="653" t="str">
        <f t="shared" si="7"/>
        <v>Pasco-Hernando State College</v>
      </c>
      <c r="B129" s="621">
        <v>326</v>
      </c>
      <c r="C129" s="627"/>
      <c r="D129" s="965">
        <f t="shared" si="8"/>
        <v>326</v>
      </c>
      <c r="E129" s="1069">
        <v>2691.449841723394</v>
      </c>
      <c r="F129" s="629">
        <v>34.112810600330562</v>
      </c>
      <c r="G129" s="628">
        <f t="shared" si="9"/>
        <v>2725.5626523237247</v>
      </c>
      <c r="H129" s="1136">
        <v>1506.2325516314995</v>
      </c>
      <c r="I129" s="1137">
        <v>18.98897408630436</v>
      </c>
      <c r="J129" s="628">
        <f t="shared" si="17"/>
        <v>1525.2215257178038</v>
      </c>
      <c r="K129" s="648">
        <v>115.92407407407407</v>
      </c>
      <c r="L129" s="622">
        <v>2.0759259259259255</v>
      </c>
      <c r="M129" s="649">
        <f t="shared" si="10"/>
        <v>118</v>
      </c>
      <c r="N129" s="648">
        <v>10</v>
      </c>
      <c r="O129" s="622">
        <v>0</v>
      </c>
      <c r="P129" s="649">
        <f t="shared" si="11"/>
        <v>10</v>
      </c>
      <c r="Q129" s="648">
        <v>236.24497991967871</v>
      </c>
      <c r="R129" s="630">
        <v>5.6224899598393572</v>
      </c>
      <c r="S129" s="628">
        <f t="shared" si="12"/>
        <v>241.86746987951807</v>
      </c>
      <c r="T129" s="649">
        <f t="shared" si="13"/>
        <v>4946.6516479210468</v>
      </c>
      <c r="V129" s="645">
        <f t="shared" si="18"/>
        <v>0</v>
      </c>
      <c r="W129" s="630">
        <v>0</v>
      </c>
      <c r="X129" s="650">
        <v>0</v>
      </c>
      <c r="Y129" s="79"/>
      <c r="Z129" s="631">
        <f t="shared" si="19"/>
        <v>0</v>
      </c>
      <c r="AA129" s="651">
        <v>0</v>
      </c>
      <c r="AB129" s="646">
        <f t="shared" si="14"/>
        <v>0</v>
      </c>
      <c r="AD129" s="653" t="str">
        <f t="shared" si="15"/>
        <v>Pasco-Hernando State College</v>
      </c>
      <c r="AE129" s="652">
        <v>0</v>
      </c>
      <c r="AF129" s="652">
        <v>0</v>
      </c>
      <c r="AG129" s="628">
        <f t="shared" si="16"/>
        <v>0</v>
      </c>
    </row>
    <row r="130" spans="1:44" ht="25.35" customHeight="1">
      <c r="A130" s="653" t="str">
        <f t="shared" si="7"/>
        <v>Pensacola State College</v>
      </c>
      <c r="B130" s="621">
        <v>372</v>
      </c>
      <c r="C130" s="627"/>
      <c r="D130" s="965">
        <f t="shared" si="8"/>
        <v>372</v>
      </c>
      <c r="E130" s="1069">
        <v>2849.9901207464322</v>
      </c>
      <c r="F130" s="629">
        <v>69.04610318331504</v>
      </c>
      <c r="G130" s="628">
        <f t="shared" si="9"/>
        <v>2919.0362239297474</v>
      </c>
      <c r="H130" s="1136">
        <v>992.05412371134025</v>
      </c>
      <c r="I130" s="1137">
        <v>12.910518685567011</v>
      </c>
      <c r="J130" s="628">
        <f t="shared" si="17"/>
        <v>1004.9646423969073</v>
      </c>
      <c r="K130" s="648">
        <v>145.78642819568648</v>
      </c>
      <c r="L130" s="622">
        <v>9.2135718043135206</v>
      </c>
      <c r="M130" s="649">
        <f t="shared" si="10"/>
        <v>155</v>
      </c>
      <c r="N130" s="648">
        <v>0</v>
      </c>
      <c r="O130" s="622">
        <v>0</v>
      </c>
      <c r="P130" s="649">
        <f t="shared" si="11"/>
        <v>0</v>
      </c>
      <c r="Q130" s="648">
        <v>309.70135135135138</v>
      </c>
      <c r="R130" s="630">
        <v>6.2986486486486486</v>
      </c>
      <c r="S130" s="628">
        <f t="shared" si="12"/>
        <v>316</v>
      </c>
      <c r="T130" s="649">
        <f t="shared" si="13"/>
        <v>4767.0008663266544</v>
      </c>
      <c r="V130" s="645">
        <f t="shared" si="18"/>
        <v>0</v>
      </c>
      <c r="W130" s="630">
        <v>0</v>
      </c>
      <c r="X130" s="650">
        <v>0</v>
      </c>
      <c r="Y130" s="79"/>
      <c r="Z130" s="631">
        <f t="shared" si="19"/>
        <v>86.782511210762337</v>
      </c>
      <c r="AA130" s="651">
        <v>2.217488789237668</v>
      </c>
      <c r="AB130" s="646">
        <f t="shared" si="14"/>
        <v>89</v>
      </c>
      <c r="AD130" s="653" t="str">
        <f t="shared" si="15"/>
        <v>Pensacola State College</v>
      </c>
      <c r="AE130" s="652">
        <v>86</v>
      </c>
      <c r="AF130" s="652">
        <v>3</v>
      </c>
      <c r="AG130" s="628">
        <f t="shared" si="16"/>
        <v>89</v>
      </c>
    </row>
    <row r="131" spans="1:44" ht="25.35" customHeight="1">
      <c r="A131" s="653" t="str">
        <f t="shared" si="7"/>
        <v>Polk State College</v>
      </c>
      <c r="B131" s="621">
        <v>698</v>
      </c>
      <c r="C131" s="627"/>
      <c r="D131" s="965">
        <f t="shared" si="8"/>
        <v>698</v>
      </c>
      <c r="E131" s="1069">
        <v>2847.6763703933107</v>
      </c>
      <c r="F131" s="629">
        <v>109.0284917931248</v>
      </c>
      <c r="G131" s="628">
        <f t="shared" si="9"/>
        <v>2956.7048621864355</v>
      </c>
      <c r="H131" s="1136">
        <v>1152.4091344618334</v>
      </c>
      <c r="I131" s="1137">
        <v>29.508463749600761</v>
      </c>
      <c r="J131" s="628">
        <f t="shared" si="17"/>
        <v>1181.9175982114341</v>
      </c>
      <c r="K131" s="648">
        <v>78.113277623026931</v>
      </c>
      <c r="L131" s="622">
        <v>9.8867223769730721</v>
      </c>
      <c r="M131" s="649">
        <f t="shared" si="10"/>
        <v>88</v>
      </c>
      <c r="N131" s="648">
        <v>33</v>
      </c>
      <c r="O131" s="622">
        <v>0</v>
      </c>
      <c r="P131" s="649">
        <f t="shared" si="11"/>
        <v>33</v>
      </c>
      <c r="Q131" s="648">
        <v>115</v>
      </c>
      <c r="R131" s="630">
        <v>0</v>
      </c>
      <c r="S131" s="628">
        <f t="shared" si="12"/>
        <v>115</v>
      </c>
      <c r="T131" s="649">
        <f t="shared" si="13"/>
        <v>5072.6224603978699</v>
      </c>
      <c r="V131" s="645">
        <f t="shared" si="18"/>
        <v>0</v>
      </c>
      <c r="W131" s="630">
        <v>0</v>
      </c>
      <c r="X131" s="650">
        <v>0</v>
      </c>
      <c r="Y131" s="79"/>
      <c r="Z131" s="631">
        <f t="shared" si="19"/>
        <v>0</v>
      </c>
      <c r="AA131" s="651">
        <v>0</v>
      </c>
      <c r="AB131" s="646">
        <f t="shared" si="14"/>
        <v>0</v>
      </c>
      <c r="AD131" s="653" t="str">
        <f t="shared" si="15"/>
        <v>Polk State College</v>
      </c>
      <c r="AE131" s="652">
        <v>0</v>
      </c>
      <c r="AF131" s="652">
        <v>0</v>
      </c>
      <c r="AG131" s="628">
        <f t="shared" si="16"/>
        <v>0</v>
      </c>
    </row>
    <row r="132" spans="1:44" ht="25.35" customHeight="1">
      <c r="A132" s="653" t="str">
        <f t="shared" si="7"/>
        <v>St. Johns River State College</v>
      </c>
      <c r="B132" s="621">
        <v>217</v>
      </c>
      <c r="C132" s="627"/>
      <c r="D132" s="965">
        <f t="shared" si="8"/>
        <v>217</v>
      </c>
      <c r="E132" s="1069">
        <v>1770.5757854514582</v>
      </c>
      <c r="F132" s="629">
        <v>48.810359467874321</v>
      </c>
      <c r="G132" s="628">
        <f t="shared" si="9"/>
        <v>1819.3861449193325</v>
      </c>
      <c r="H132" s="1136">
        <v>605.7775961780236</v>
      </c>
      <c r="I132" s="1137">
        <v>11.022630123208449</v>
      </c>
      <c r="J132" s="628">
        <f t="shared" si="17"/>
        <v>616.8002263012321</v>
      </c>
      <c r="K132" s="648">
        <v>34.666666666666664</v>
      </c>
      <c r="L132" s="622">
        <v>1.3333333333333333</v>
      </c>
      <c r="M132" s="649">
        <f t="shared" si="10"/>
        <v>36</v>
      </c>
      <c r="N132" s="648">
        <v>21.98697068403909</v>
      </c>
      <c r="O132" s="622">
        <v>1.3029315960912053E-2</v>
      </c>
      <c r="P132" s="649">
        <f t="shared" si="11"/>
        <v>22</v>
      </c>
      <c r="Q132" s="648">
        <v>84.9</v>
      </c>
      <c r="R132" s="630">
        <v>1.8</v>
      </c>
      <c r="S132" s="628">
        <f t="shared" si="12"/>
        <v>86.7</v>
      </c>
      <c r="T132" s="649">
        <f t="shared" si="13"/>
        <v>2797.8863712205643</v>
      </c>
      <c r="V132" s="645">
        <f t="shared" si="18"/>
        <v>0</v>
      </c>
      <c r="W132" s="630">
        <v>0</v>
      </c>
      <c r="X132" s="650">
        <v>0</v>
      </c>
      <c r="Y132" s="79"/>
      <c r="Z132" s="631">
        <f t="shared" si="19"/>
        <v>18</v>
      </c>
      <c r="AA132" s="651">
        <v>0</v>
      </c>
      <c r="AB132" s="646">
        <f t="shared" si="14"/>
        <v>18</v>
      </c>
      <c r="AD132" s="653" t="str">
        <f t="shared" si="15"/>
        <v>St. Johns River State College</v>
      </c>
      <c r="AE132" s="652">
        <v>17</v>
      </c>
      <c r="AF132" s="652">
        <v>1</v>
      </c>
      <c r="AG132" s="628">
        <f t="shared" si="16"/>
        <v>18</v>
      </c>
    </row>
    <row r="133" spans="1:44" ht="25.35" customHeight="1">
      <c r="A133" s="653" t="str">
        <f t="shared" si="7"/>
        <v>St. Petersburg College</v>
      </c>
      <c r="B133" s="621">
        <v>2227</v>
      </c>
      <c r="C133" s="627"/>
      <c r="D133" s="965">
        <f t="shared" si="8"/>
        <v>2227</v>
      </c>
      <c r="E133" s="1069">
        <v>6213.5692149408414</v>
      </c>
      <c r="F133" s="629">
        <v>325.48750956700667</v>
      </c>
      <c r="G133" s="628">
        <f t="shared" si="9"/>
        <v>6539.0567245078482</v>
      </c>
      <c r="H133" s="1136">
        <v>3688.2180216031838</v>
      </c>
      <c r="I133" s="1137">
        <v>211.49474133030128</v>
      </c>
      <c r="J133" s="628">
        <f t="shared" si="17"/>
        <v>3899.712762933485</v>
      </c>
      <c r="K133" s="648">
        <v>298.59675161019322</v>
      </c>
      <c r="L133" s="622">
        <v>30.403248389806777</v>
      </c>
      <c r="M133" s="649">
        <f t="shared" si="10"/>
        <v>329</v>
      </c>
      <c r="N133" s="648">
        <v>0</v>
      </c>
      <c r="O133" s="622">
        <v>0</v>
      </c>
      <c r="P133" s="649">
        <f t="shared" si="11"/>
        <v>0</v>
      </c>
      <c r="Q133" s="648">
        <v>130.3158362989324</v>
      </c>
      <c r="R133" s="630">
        <v>94.684163701067604</v>
      </c>
      <c r="S133" s="628">
        <f t="shared" si="12"/>
        <v>225</v>
      </c>
      <c r="T133" s="649">
        <f t="shared" si="13"/>
        <v>13219.769487441334</v>
      </c>
      <c r="V133" s="645">
        <f t="shared" si="18"/>
        <v>0</v>
      </c>
      <c r="W133" s="630">
        <v>0</v>
      </c>
      <c r="X133" s="650">
        <v>0</v>
      </c>
      <c r="Y133" s="79"/>
      <c r="Z133" s="631">
        <f t="shared" si="19"/>
        <v>0</v>
      </c>
      <c r="AA133" s="651">
        <v>0</v>
      </c>
      <c r="AB133" s="646">
        <f t="shared" si="14"/>
        <v>0</v>
      </c>
      <c r="AD133" s="653" t="str">
        <f t="shared" si="15"/>
        <v>St. Petersburg College</v>
      </c>
      <c r="AE133" s="652">
        <v>0</v>
      </c>
      <c r="AF133" s="652">
        <v>0</v>
      </c>
      <c r="AG133" s="628">
        <f t="shared" si="16"/>
        <v>0</v>
      </c>
    </row>
    <row r="134" spans="1:44" ht="25.35" customHeight="1">
      <c r="A134" s="653" t="str">
        <f t="shared" si="7"/>
        <v>Santa Fe College</v>
      </c>
      <c r="B134" s="621">
        <v>408</v>
      </c>
      <c r="C134" s="627"/>
      <c r="D134" s="965">
        <f t="shared" si="8"/>
        <v>408</v>
      </c>
      <c r="E134" s="1069">
        <v>5223.5261437908503</v>
      </c>
      <c r="F134" s="629">
        <v>360.29971988795518</v>
      </c>
      <c r="G134" s="628">
        <f t="shared" si="9"/>
        <v>5583.825863678805</v>
      </c>
      <c r="H134" s="1136">
        <v>1933.6501919618993</v>
      </c>
      <c r="I134" s="1137">
        <v>97.896097584681939</v>
      </c>
      <c r="J134" s="628">
        <f t="shared" si="17"/>
        <v>2031.5462895465812</v>
      </c>
      <c r="K134" s="648">
        <v>203.05329153605015</v>
      </c>
      <c r="L134" s="622">
        <v>29.94670846394984</v>
      </c>
      <c r="M134" s="649">
        <f t="shared" si="10"/>
        <v>233</v>
      </c>
      <c r="N134" s="648">
        <v>0</v>
      </c>
      <c r="O134" s="622">
        <v>0</v>
      </c>
      <c r="P134" s="649">
        <f t="shared" si="11"/>
        <v>0</v>
      </c>
      <c r="Q134" s="648">
        <v>229.74797095258438</v>
      </c>
      <c r="R134" s="630">
        <v>9.0217855617257605</v>
      </c>
      <c r="S134" s="628">
        <f t="shared" si="12"/>
        <v>238.76975651431013</v>
      </c>
      <c r="T134" s="649">
        <f t="shared" si="13"/>
        <v>8495.1419097396956</v>
      </c>
      <c r="V134" s="645">
        <f t="shared" si="18"/>
        <v>0</v>
      </c>
      <c r="W134" s="630">
        <v>0</v>
      </c>
      <c r="X134" s="650">
        <v>0</v>
      </c>
      <c r="Y134" s="79"/>
      <c r="Z134" s="631">
        <f t="shared" si="19"/>
        <v>16.668863261943983</v>
      </c>
      <c r="AA134" s="651">
        <v>69.331136738056017</v>
      </c>
      <c r="AB134" s="646">
        <f t="shared" si="14"/>
        <v>86</v>
      </c>
      <c r="AD134" s="653" t="str">
        <f t="shared" si="15"/>
        <v>Santa Fe College</v>
      </c>
      <c r="AE134" s="652">
        <v>84</v>
      </c>
      <c r="AF134" s="652">
        <v>2</v>
      </c>
      <c r="AG134" s="628">
        <f t="shared" si="16"/>
        <v>86</v>
      </c>
    </row>
    <row r="135" spans="1:44" ht="25.35" customHeight="1">
      <c r="A135" s="653" t="str">
        <f t="shared" si="7"/>
        <v>Seminole State College of Florida</v>
      </c>
      <c r="B135" s="621">
        <v>828</v>
      </c>
      <c r="C135" s="627"/>
      <c r="D135" s="965">
        <f t="shared" si="8"/>
        <v>828</v>
      </c>
      <c r="E135" s="1069">
        <v>5013.3920539481114</v>
      </c>
      <c r="F135" s="629">
        <v>132.29706341560643</v>
      </c>
      <c r="G135" s="628">
        <f t="shared" si="9"/>
        <v>5145.6891173637177</v>
      </c>
      <c r="H135" s="1136">
        <v>2390.8582342651098</v>
      </c>
      <c r="I135" s="1137">
        <v>101.38117168255329</v>
      </c>
      <c r="J135" s="628">
        <f t="shared" si="17"/>
        <v>2492.2394059476633</v>
      </c>
      <c r="K135" s="648">
        <v>120.02316602316603</v>
      </c>
      <c r="L135" s="622">
        <v>11.976833976833978</v>
      </c>
      <c r="M135" s="649">
        <f t="shared" si="10"/>
        <v>132</v>
      </c>
      <c r="N135" s="648">
        <v>66</v>
      </c>
      <c r="O135" s="622">
        <v>0</v>
      </c>
      <c r="P135" s="649">
        <f t="shared" si="11"/>
        <v>66</v>
      </c>
      <c r="Q135" s="648">
        <v>166.50989010989011</v>
      </c>
      <c r="R135" s="630">
        <v>17.490109890109892</v>
      </c>
      <c r="S135" s="628">
        <f t="shared" si="12"/>
        <v>184</v>
      </c>
      <c r="T135" s="649">
        <f t="shared" si="13"/>
        <v>8847.9285233113806</v>
      </c>
      <c r="V135" s="645">
        <f t="shared" si="18"/>
        <v>10</v>
      </c>
      <c r="W135" s="630">
        <v>0</v>
      </c>
      <c r="X135" s="650">
        <v>10</v>
      </c>
      <c r="Y135" s="79"/>
      <c r="Z135" s="631">
        <f t="shared" si="19"/>
        <v>110.32534930139724</v>
      </c>
      <c r="AA135" s="651">
        <v>292.67465069860276</v>
      </c>
      <c r="AB135" s="646">
        <f t="shared" si="14"/>
        <v>403</v>
      </c>
      <c r="AD135" s="653" t="str">
        <f t="shared" si="15"/>
        <v>Seminole State College of Florida</v>
      </c>
      <c r="AE135" s="652">
        <v>310</v>
      </c>
      <c r="AF135" s="652">
        <v>93</v>
      </c>
      <c r="AG135" s="628">
        <f t="shared" si="16"/>
        <v>403</v>
      </c>
    </row>
    <row r="136" spans="1:44" ht="25.35" customHeight="1">
      <c r="A136" s="653" t="str">
        <f t="shared" si="7"/>
        <v>South Florida State College</v>
      </c>
      <c r="B136" s="621">
        <v>107</v>
      </c>
      <c r="C136" s="627"/>
      <c r="D136" s="965">
        <f t="shared" si="8"/>
        <v>107</v>
      </c>
      <c r="E136" s="1069">
        <v>1179.2592592592591</v>
      </c>
      <c r="F136" s="629">
        <v>13.544973544973546</v>
      </c>
      <c r="G136" s="628">
        <f t="shared" si="9"/>
        <v>1192.8042328042327</v>
      </c>
      <c r="H136" s="1136">
        <v>0.8125</v>
      </c>
      <c r="I136" s="1137">
        <v>0</v>
      </c>
      <c r="J136" s="628">
        <f t="shared" si="17"/>
        <v>0.8125</v>
      </c>
      <c r="K136" s="648">
        <v>13.570552147239264</v>
      </c>
      <c r="L136" s="622">
        <v>0.42944785276073622</v>
      </c>
      <c r="M136" s="649">
        <f t="shared" si="10"/>
        <v>14</v>
      </c>
      <c r="N136" s="648">
        <v>0</v>
      </c>
      <c r="O136" s="622">
        <v>0</v>
      </c>
      <c r="P136" s="649">
        <f t="shared" si="11"/>
        <v>0</v>
      </c>
      <c r="Q136" s="648">
        <v>233.82496360989811</v>
      </c>
      <c r="R136" s="630">
        <v>0.22343522561863174</v>
      </c>
      <c r="S136" s="628">
        <f t="shared" si="12"/>
        <v>234.04839883551674</v>
      </c>
      <c r="T136" s="649">
        <f t="shared" si="13"/>
        <v>1548.6651316397495</v>
      </c>
      <c r="V136" s="645">
        <f t="shared" si="18"/>
        <v>0</v>
      </c>
      <c r="W136" s="630">
        <v>0</v>
      </c>
      <c r="X136" s="650">
        <v>0</v>
      </c>
      <c r="Y136" s="79"/>
      <c r="Z136" s="631">
        <f t="shared" si="19"/>
        <v>52.27826086956523</v>
      </c>
      <c r="AA136" s="651">
        <v>223.72173913043477</v>
      </c>
      <c r="AB136" s="646">
        <f t="shared" si="14"/>
        <v>276</v>
      </c>
      <c r="AD136" s="653" t="str">
        <f t="shared" si="15"/>
        <v>South Florida State College</v>
      </c>
      <c r="AE136" s="652">
        <v>264</v>
      </c>
      <c r="AF136" s="652">
        <v>12</v>
      </c>
      <c r="AG136" s="628">
        <f t="shared" si="16"/>
        <v>276</v>
      </c>
    </row>
    <row r="137" spans="1:44" ht="25.35" customHeight="1">
      <c r="A137" s="653" t="str">
        <f t="shared" si="7"/>
        <v>Tallahassee Community College</v>
      </c>
      <c r="B137" s="621">
        <v>32</v>
      </c>
      <c r="C137" s="627"/>
      <c r="D137" s="965">
        <f t="shared" si="8"/>
        <v>32</v>
      </c>
      <c r="E137" s="1069">
        <v>6354.0720162617363</v>
      </c>
      <c r="F137" s="629">
        <v>309.3433632479223</v>
      </c>
      <c r="G137" s="628">
        <f t="shared" si="9"/>
        <v>6663.415379509659</v>
      </c>
      <c r="H137" s="1136">
        <v>1305.0127118644068</v>
      </c>
      <c r="I137" s="1137">
        <v>45.630571249215315</v>
      </c>
      <c r="J137" s="628">
        <f t="shared" si="17"/>
        <v>1350.6432831136221</v>
      </c>
      <c r="K137" s="648">
        <v>93.861111111111114</v>
      </c>
      <c r="L137" s="622">
        <v>15.138888888888889</v>
      </c>
      <c r="M137" s="649">
        <f t="shared" si="10"/>
        <v>109</v>
      </c>
      <c r="N137" s="648">
        <v>0</v>
      </c>
      <c r="O137" s="622">
        <v>0</v>
      </c>
      <c r="P137" s="649">
        <f t="shared" si="11"/>
        <v>0</v>
      </c>
      <c r="Q137" s="648">
        <v>300.75931232091693</v>
      </c>
      <c r="R137" s="630">
        <v>14.240687679083093</v>
      </c>
      <c r="S137" s="628">
        <f t="shared" si="12"/>
        <v>315</v>
      </c>
      <c r="T137" s="649">
        <f t="shared" si="13"/>
        <v>8470.0586626232816</v>
      </c>
      <c r="V137" s="645">
        <f t="shared" si="18"/>
        <v>0</v>
      </c>
      <c r="W137" s="630">
        <v>0</v>
      </c>
      <c r="X137" s="650">
        <v>0</v>
      </c>
      <c r="Y137" s="79"/>
      <c r="Z137" s="631">
        <f t="shared" si="19"/>
        <v>6.1300000000000026</v>
      </c>
      <c r="AA137" s="651">
        <v>51.87</v>
      </c>
      <c r="AB137" s="646">
        <f t="shared" si="14"/>
        <v>58</v>
      </c>
      <c r="AD137" s="653" t="str">
        <f t="shared" si="15"/>
        <v>Tallahassee Community College</v>
      </c>
      <c r="AE137" s="652">
        <v>57</v>
      </c>
      <c r="AF137" s="652">
        <v>1</v>
      </c>
      <c r="AG137" s="628">
        <f t="shared" si="16"/>
        <v>58</v>
      </c>
    </row>
    <row r="138" spans="1:44" ht="25.35" customHeight="1" thickBot="1">
      <c r="A138" s="654" t="str">
        <f t="shared" si="7"/>
        <v>Valencia College</v>
      </c>
      <c r="B138" s="571">
        <v>1158</v>
      </c>
      <c r="C138" s="602"/>
      <c r="D138" s="966">
        <f t="shared" si="8"/>
        <v>1158</v>
      </c>
      <c r="E138" s="1070">
        <v>16383.00091191689</v>
      </c>
      <c r="F138" s="603">
        <v>1334.1537360882294</v>
      </c>
      <c r="G138" s="572">
        <f t="shared" si="9"/>
        <v>17717.154648005118</v>
      </c>
      <c r="H138" s="1138">
        <v>7151.3431840866961</v>
      </c>
      <c r="I138" s="1139">
        <v>487.82237748942441</v>
      </c>
      <c r="J138" s="655">
        <f t="shared" si="17"/>
        <v>7639.1655615761201</v>
      </c>
      <c r="K138" s="656">
        <v>769.28189837246862</v>
      </c>
      <c r="L138" s="657">
        <v>155.71810162753135</v>
      </c>
      <c r="M138" s="658">
        <f t="shared" si="10"/>
        <v>925</v>
      </c>
      <c r="N138" s="656">
        <v>4</v>
      </c>
      <c r="O138" s="657">
        <v>0</v>
      </c>
      <c r="P138" s="658">
        <f t="shared" si="11"/>
        <v>4</v>
      </c>
      <c r="Q138" s="656">
        <v>163.65328650275967</v>
      </c>
      <c r="R138" s="659">
        <v>35.346713497240337</v>
      </c>
      <c r="S138" s="572">
        <f t="shared" si="12"/>
        <v>199</v>
      </c>
      <c r="T138" s="658">
        <f t="shared" si="13"/>
        <v>27642.320209581238</v>
      </c>
      <c r="V138" s="645">
        <f t="shared" si="18"/>
        <v>0</v>
      </c>
      <c r="W138" s="471">
        <v>0</v>
      </c>
      <c r="X138" s="472">
        <v>0</v>
      </c>
      <c r="Y138" s="79"/>
      <c r="Z138" s="660">
        <f t="shared" si="19"/>
        <v>0</v>
      </c>
      <c r="AA138" s="661">
        <v>0</v>
      </c>
      <c r="AB138" s="646">
        <f t="shared" si="14"/>
        <v>0</v>
      </c>
      <c r="AD138" s="654" t="str">
        <f t="shared" si="15"/>
        <v>Valencia College</v>
      </c>
      <c r="AE138" s="604">
        <v>0</v>
      </c>
      <c r="AF138" s="604">
        <v>0</v>
      </c>
      <c r="AG138" s="572">
        <f t="shared" si="16"/>
        <v>0</v>
      </c>
    </row>
    <row r="139" spans="1:44" ht="25.35" customHeight="1" thickBot="1">
      <c r="A139" s="381" t="s">
        <v>50</v>
      </c>
      <c r="B139" s="382">
        <f>SUM(B111:B138)</f>
        <v>17466</v>
      </c>
      <c r="C139" s="67"/>
      <c r="D139" s="397">
        <f t="shared" ref="D139:T139" si="20">SUM(D111:D138)</f>
        <v>17466</v>
      </c>
      <c r="E139" s="967">
        <f t="shared" si="20"/>
        <v>145854.54067593458</v>
      </c>
      <c r="F139" s="383">
        <f t="shared" si="20"/>
        <v>7471.0476676674252</v>
      </c>
      <c r="G139" s="397">
        <f t="shared" si="20"/>
        <v>153325.58834360202</v>
      </c>
      <c r="H139" s="407">
        <f t="shared" si="20"/>
        <v>49048.417450345376</v>
      </c>
      <c r="I139" s="383">
        <f t="shared" si="20"/>
        <v>2235.7713857577769</v>
      </c>
      <c r="J139" s="397">
        <f t="shared" si="20"/>
        <v>51284.18883610316</v>
      </c>
      <c r="K139" s="407">
        <f t="shared" si="20"/>
        <v>5737.7109940851451</v>
      </c>
      <c r="L139" s="409">
        <f t="shared" si="20"/>
        <v>671.28900591485512</v>
      </c>
      <c r="M139" s="398">
        <f t="shared" si="20"/>
        <v>6409</v>
      </c>
      <c r="N139" s="407">
        <f t="shared" si="20"/>
        <v>233.34647145832957</v>
      </c>
      <c r="O139" s="409">
        <f t="shared" si="20"/>
        <v>0.65352854167042285</v>
      </c>
      <c r="P139" s="398">
        <f t="shared" si="20"/>
        <v>234</v>
      </c>
      <c r="Q139" s="406">
        <f t="shared" si="20"/>
        <v>6886.8616761772992</v>
      </c>
      <c r="R139" s="408">
        <f t="shared" si="20"/>
        <v>362.91996991077752</v>
      </c>
      <c r="S139" s="399">
        <f t="shared" si="20"/>
        <v>7249.7816460880777</v>
      </c>
      <c r="T139" s="68">
        <f t="shared" si="20"/>
        <v>235968.55882579327</v>
      </c>
      <c r="U139" s="69"/>
      <c r="V139" s="400">
        <f t="shared" ref="V139:AB139" si="21">SUM(V111:V138)</f>
        <v>10</v>
      </c>
      <c r="W139" s="407">
        <f t="shared" si="21"/>
        <v>4</v>
      </c>
      <c r="X139" s="405">
        <f t="shared" si="21"/>
        <v>14</v>
      </c>
      <c r="Y139" s="70"/>
      <c r="Z139" s="400">
        <f t="shared" si="21"/>
        <v>1002.6745482352759</v>
      </c>
      <c r="AA139" s="406">
        <f t="shared" si="21"/>
        <v>1656.3254517647242</v>
      </c>
      <c r="AB139" s="402">
        <f t="shared" si="21"/>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695</v>
      </c>
      <c r="V141" s="53"/>
      <c r="W141" s="53"/>
      <c r="X141" s="53"/>
      <c r="Y141" s="53"/>
      <c r="Z141" s="53"/>
      <c r="AA141" s="53"/>
      <c r="AB141" s="53"/>
    </row>
    <row r="142" spans="1:44">
      <c r="A142" s="17" t="s">
        <v>760</v>
      </c>
      <c r="V142" s="53"/>
      <c r="W142" s="53"/>
      <c r="X142" s="53"/>
      <c r="Y142" s="53"/>
      <c r="Z142" s="60"/>
      <c r="AA142" s="53"/>
      <c r="AB142" s="53"/>
    </row>
    <row r="143" spans="1:44">
      <c r="A143" s="834" t="s">
        <v>96</v>
      </c>
      <c r="B143" s="834"/>
      <c r="C143" s="834"/>
      <c r="D143" s="834"/>
      <c r="E143" s="28"/>
    </row>
    <row r="144" spans="1:44">
      <c r="A144" s="834" t="s">
        <v>97</v>
      </c>
      <c r="B144" s="834"/>
      <c r="C144" s="834"/>
      <c r="D144" s="834"/>
    </row>
    <row r="145" spans="1:4">
      <c r="A145" s="17" t="s">
        <v>98</v>
      </c>
    </row>
    <row r="147" spans="1:4" ht="54.6" customHeight="1" thickBot="1">
      <c r="A147" s="1131" t="s">
        <v>753</v>
      </c>
      <c r="B147" s="1048"/>
      <c r="C147" s="1130"/>
      <c r="D147" s="1130"/>
    </row>
    <row r="148" spans="1:4" ht="21.75" thickBot="1">
      <c r="A148" s="62"/>
      <c r="B148" s="63" t="s">
        <v>766</v>
      </c>
    </row>
    <row r="149" spans="1:4" ht="21.75" thickBot="1">
      <c r="A149" s="62">
        <v>1</v>
      </c>
      <c r="B149" s="52">
        <v>2</v>
      </c>
    </row>
    <row r="150" spans="1:4" ht="57" customHeight="1" thickBot="1">
      <c r="A150" s="38" t="s">
        <v>156</v>
      </c>
      <c r="B150" s="1126" t="s">
        <v>765</v>
      </c>
    </row>
    <row r="151" spans="1:4" ht="63.75" thickBot="1">
      <c r="A151" s="292" t="s">
        <v>17</v>
      </c>
      <c r="B151" s="23" t="s">
        <v>156</v>
      </c>
    </row>
    <row r="152" spans="1:4">
      <c r="A152" s="410" t="s">
        <v>21</v>
      </c>
      <c r="B152" s="1127">
        <v>1004407</v>
      </c>
    </row>
    <row r="153" spans="1:4">
      <c r="A153" s="390" t="s">
        <v>22</v>
      </c>
      <c r="B153" s="1128">
        <v>2716373</v>
      </c>
    </row>
    <row r="154" spans="1:4">
      <c r="A154" s="390" t="s">
        <v>23</v>
      </c>
      <c r="B154" s="1128">
        <v>609302</v>
      </c>
    </row>
    <row r="155" spans="1:4">
      <c r="A155" s="390" t="s">
        <v>24</v>
      </c>
      <c r="B155" s="1128">
        <v>206774</v>
      </c>
    </row>
    <row r="156" spans="1:4">
      <c r="A156" s="390" t="s">
        <v>25</v>
      </c>
      <c r="B156" s="1128">
        <v>757867</v>
      </c>
    </row>
    <row r="157" spans="1:4">
      <c r="A157" s="390" t="s">
        <v>26</v>
      </c>
      <c r="B157" s="1128">
        <v>858371</v>
      </c>
    </row>
    <row r="158" spans="1:4">
      <c r="A158" s="390" t="s">
        <v>27</v>
      </c>
      <c r="B158" s="1128">
        <v>1828775</v>
      </c>
    </row>
    <row r="159" spans="1:4">
      <c r="A159" s="390" t="s">
        <v>28</v>
      </c>
      <c r="B159" s="1128">
        <v>62550</v>
      </c>
    </row>
    <row r="160" spans="1:4">
      <c r="A160" s="390" t="s">
        <v>29</v>
      </c>
      <c r="B160" s="1128">
        <v>302379</v>
      </c>
    </row>
    <row r="161" spans="1:2">
      <c r="A161" s="390" t="s">
        <v>30</v>
      </c>
      <c r="B161" s="1128">
        <v>1281953</v>
      </c>
    </row>
    <row r="162" spans="1:2">
      <c r="A162" s="390" t="s">
        <v>31</v>
      </c>
      <c r="B162" s="1128">
        <v>859530</v>
      </c>
    </row>
    <row r="163" spans="1:2">
      <c r="A163" s="390" t="s">
        <v>32</v>
      </c>
      <c r="B163" s="1128">
        <v>239130</v>
      </c>
    </row>
    <row r="164" spans="1:2">
      <c r="A164" s="390" t="s">
        <v>33</v>
      </c>
      <c r="B164" s="1128">
        <v>338782</v>
      </c>
    </row>
    <row r="165" spans="1:2">
      <c r="A165" s="390" t="s">
        <v>34</v>
      </c>
      <c r="B165" s="1128">
        <v>590443</v>
      </c>
    </row>
    <row r="166" spans="1:2">
      <c r="A166" s="390" t="s">
        <v>35</v>
      </c>
      <c r="B166" s="1128">
        <v>4236132</v>
      </c>
    </row>
    <row r="167" spans="1:2">
      <c r="A167" s="390" t="s">
        <v>36</v>
      </c>
      <c r="B167" s="1128">
        <v>101236</v>
      </c>
    </row>
    <row r="168" spans="1:2">
      <c r="A168" s="390" t="s">
        <v>37</v>
      </c>
      <c r="B168" s="1128">
        <v>255008</v>
      </c>
    </row>
    <row r="169" spans="1:2">
      <c r="A169" s="390" t="s">
        <v>38</v>
      </c>
      <c r="B169" s="1128">
        <v>1524062</v>
      </c>
    </row>
    <row r="170" spans="1:2">
      <c r="A170" s="390" t="s">
        <v>39</v>
      </c>
      <c r="B170" s="1128">
        <v>685955</v>
      </c>
    </row>
    <row r="171" spans="1:2">
      <c r="A171" s="390" t="s">
        <v>40</v>
      </c>
      <c r="B171" s="1128">
        <v>469614</v>
      </c>
    </row>
    <row r="172" spans="1:2">
      <c r="A172" s="390" t="s">
        <v>41</v>
      </c>
      <c r="B172" s="1128">
        <v>524793</v>
      </c>
    </row>
    <row r="173" spans="1:2">
      <c r="A173" s="390" t="s">
        <v>42</v>
      </c>
      <c r="B173" s="1128">
        <v>320730</v>
      </c>
    </row>
    <row r="174" spans="1:2">
      <c r="A174" s="390" t="s">
        <v>43</v>
      </c>
      <c r="B174" s="1128">
        <v>1764500</v>
      </c>
    </row>
    <row r="175" spans="1:2">
      <c r="A175" s="390" t="s">
        <v>44</v>
      </c>
      <c r="B175" s="1128">
        <v>1130815</v>
      </c>
    </row>
    <row r="176" spans="1:2">
      <c r="A176" s="390" t="s">
        <v>45</v>
      </c>
      <c r="B176" s="1128">
        <v>1743287</v>
      </c>
    </row>
    <row r="177" spans="1:2">
      <c r="A177" s="390" t="s">
        <v>46</v>
      </c>
      <c r="B177" s="1128">
        <v>204592</v>
      </c>
    </row>
    <row r="178" spans="1:2">
      <c r="A178" s="390" t="s">
        <v>48</v>
      </c>
      <c r="B178" s="1128">
        <v>657964</v>
      </c>
    </row>
    <row r="179" spans="1:2" ht="21.75" thickBot="1">
      <c r="A179" s="391" t="s">
        <v>49</v>
      </c>
      <c r="B179" s="1129">
        <v>4724676</v>
      </c>
    </row>
    <row r="180" spans="1:2" ht="24" thickBot="1">
      <c r="A180" s="392" t="s">
        <v>50</v>
      </c>
      <c r="B180" s="433">
        <f>SUM(B152:B179)</f>
        <v>30000000</v>
      </c>
    </row>
    <row r="182" spans="1:2" ht="36.75" thickBot="1">
      <c r="A182" s="1131" t="s">
        <v>753</v>
      </c>
      <c r="B182" s="1048"/>
    </row>
    <row r="183" spans="1:2" ht="21.75" thickBot="1">
      <c r="A183" s="62"/>
      <c r="B183" s="63" t="s">
        <v>766</v>
      </c>
    </row>
    <row r="184" spans="1:2" ht="21.75" thickBot="1">
      <c r="A184" s="62">
        <v>1</v>
      </c>
      <c r="B184" s="52">
        <v>2</v>
      </c>
    </row>
    <row r="185" spans="1:2" ht="54" thickBot="1">
      <c r="A185" s="1132" t="s">
        <v>708</v>
      </c>
      <c r="B185" s="1126" t="s">
        <v>765</v>
      </c>
    </row>
    <row r="186" spans="1:2" ht="42.75" thickBot="1">
      <c r="A186" s="292" t="s">
        <v>17</v>
      </c>
      <c r="B186" s="23" t="s">
        <v>708</v>
      </c>
    </row>
    <row r="187" spans="1:2">
      <c r="A187" s="410" t="s">
        <v>21</v>
      </c>
      <c r="B187" s="1133">
        <v>1361076</v>
      </c>
    </row>
    <row r="188" spans="1:2">
      <c r="A188" s="390" t="s">
        <v>22</v>
      </c>
      <c r="B188" s="1128">
        <v>1664598</v>
      </c>
    </row>
    <row r="189" spans="1:2">
      <c r="A189" s="390" t="s">
        <v>23</v>
      </c>
      <c r="B189" s="1128">
        <v>814514</v>
      </c>
    </row>
    <row r="190" spans="1:2">
      <c r="A190" s="390" t="s">
        <v>24</v>
      </c>
      <c r="B190" s="1128">
        <v>494178</v>
      </c>
    </row>
    <row r="191" spans="1:2">
      <c r="A191" s="390" t="s">
        <v>25</v>
      </c>
      <c r="B191" s="1128">
        <v>2454251</v>
      </c>
    </row>
    <row r="192" spans="1:2">
      <c r="A192" s="390" t="s">
        <v>26</v>
      </c>
      <c r="B192" s="1128">
        <v>1601835</v>
      </c>
    </row>
    <row r="193" spans="1:2">
      <c r="A193" s="390" t="s">
        <v>27</v>
      </c>
      <c r="B193" s="1128">
        <v>2154031</v>
      </c>
    </row>
    <row r="194" spans="1:2">
      <c r="A194" s="390" t="s">
        <v>28</v>
      </c>
      <c r="B194" s="1128">
        <v>748137</v>
      </c>
    </row>
    <row r="195" spans="1:2">
      <c r="A195" s="390" t="s">
        <v>29</v>
      </c>
      <c r="B195" s="1128">
        <v>1777524</v>
      </c>
    </row>
    <row r="196" spans="1:2">
      <c r="A196" s="390" t="s">
        <v>30</v>
      </c>
      <c r="B196" s="1128">
        <v>714831</v>
      </c>
    </row>
    <row r="197" spans="1:2">
      <c r="A197" s="390" t="s">
        <v>31</v>
      </c>
      <c r="B197" s="1128">
        <v>1713555</v>
      </c>
    </row>
    <row r="198" spans="1:2">
      <c r="A198" s="390" t="s">
        <v>32</v>
      </c>
      <c r="B198" s="1128">
        <v>1501485</v>
      </c>
    </row>
    <row r="199" spans="1:2">
      <c r="A199" s="390" t="s">
        <v>33</v>
      </c>
      <c r="B199" s="1128">
        <v>764607</v>
      </c>
    </row>
    <row r="200" spans="1:2">
      <c r="A200" s="390" t="s">
        <v>34</v>
      </c>
      <c r="B200" s="1128">
        <v>1862607</v>
      </c>
    </row>
    <row r="201" spans="1:2">
      <c r="A201" s="390" t="s">
        <v>35</v>
      </c>
      <c r="B201" s="1128">
        <v>2299040</v>
      </c>
    </row>
    <row r="202" spans="1:2">
      <c r="A202" s="390" t="s">
        <v>36</v>
      </c>
      <c r="B202" s="1128">
        <v>1610425</v>
      </c>
    </row>
    <row r="203" spans="1:2">
      <c r="A203" s="390" t="s">
        <v>37</v>
      </c>
      <c r="B203" s="1128">
        <v>666964</v>
      </c>
    </row>
    <row r="204" spans="1:2">
      <c r="A204" s="390" t="s">
        <v>38</v>
      </c>
      <c r="B204" s="1128">
        <v>1576533</v>
      </c>
    </row>
    <row r="205" spans="1:2">
      <c r="A205" s="390" t="s">
        <v>39</v>
      </c>
      <c r="B205" s="1128">
        <v>1722262</v>
      </c>
    </row>
    <row r="206" spans="1:2">
      <c r="A206" s="390" t="s">
        <v>40</v>
      </c>
      <c r="B206" s="1128">
        <v>1053760</v>
      </c>
    </row>
    <row r="207" spans="1:2">
      <c r="A207" s="390" t="s">
        <v>41</v>
      </c>
      <c r="B207" s="1128">
        <v>1348353</v>
      </c>
    </row>
    <row r="208" spans="1:2">
      <c r="A208" s="390" t="s">
        <v>42</v>
      </c>
      <c r="B208" s="1128">
        <v>959639</v>
      </c>
    </row>
    <row r="209" spans="1:2">
      <c r="A209" s="390" t="s">
        <v>43</v>
      </c>
      <c r="B209" s="1128">
        <v>2073253</v>
      </c>
    </row>
    <row r="210" spans="1:2">
      <c r="A210" s="390" t="s">
        <v>44</v>
      </c>
      <c r="B210" s="1128">
        <v>1446897</v>
      </c>
    </row>
    <row r="211" spans="1:2">
      <c r="A211" s="390" t="s">
        <v>45</v>
      </c>
      <c r="B211" s="1128">
        <v>1538643</v>
      </c>
    </row>
    <row r="212" spans="1:2">
      <c r="A212" s="390" t="s">
        <v>46</v>
      </c>
      <c r="B212" s="1128">
        <v>1471106</v>
      </c>
    </row>
    <row r="213" spans="1:2">
      <c r="A213" s="390" t="s">
        <v>48</v>
      </c>
      <c r="B213" s="1128">
        <v>924068</v>
      </c>
    </row>
    <row r="214" spans="1:2" ht="21.75" thickBot="1">
      <c r="A214" s="391" t="s">
        <v>49</v>
      </c>
      <c r="B214" s="1129">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6" t="s">
        <v>11</v>
      </c>
      <c r="B1" s="916"/>
      <c r="C1" s="916"/>
      <c r="D1" s="916"/>
      <c r="E1" s="916"/>
      <c r="F1" s="916"/>
      <c r="G1" s="916"/>
      <c r="H1" s="28"/>
      <c r="I1" s="28"/>
    </row>
    <row r="2" spans="1:9" ht="20.100000000000001" customHeight="1">
      <c r="A2" s="916" t="s">
        <v>719</v>
      </c>
      <c r="B2" s="916"/>
      <c r="C2" s="916"/>
      <c r="D2" s="916"/>
      <c r="E2" s="916"/>
      <c r="F2" s="916"/>
      <c r="G2" s="916"/>
    </row>
    <row r="3" spans="1:9" ht="20.100000000000001" customHeight="1">
      <c r="A3" s="916"/>
      <c r="B3" s="916"/>
      <c r="C3" s="916"/>
      <c r="D3" s="916"/>
      <c r="E3" s="916"/>
      <c r="F3" s="916"/>
      <c r="G3" s="916"/>
      <c r="H3" s="88"/>
    </row>
    <row r="4" spans="1:9" ht="28.35" customHeight="1">
      <c r="A4" s="1151" t="s">
        <v>748</v>
      </c>
      <c r="B4" s="917"/>
      <c r="C4" s="917"/>
      <c r="D4" s="917"/>
      <c r="E4" s="917"/>
      <c r="F4" s="917"/>
      <c r="G4" s="917"/>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7" t="s">
        <v>35</v>
      </c>
      <c r="E7" s="955"/>
      <c r="F7" s="955"/>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18" t="s">
        <v>720</v>
      </c>
      <c r="D10" s="918"/>
      <c r="E10" s="918"/>
      <c r="F10" s="918"/>
      <c r="G10" s="918"/>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39" t="s">
        <v>104</v>
      </c>
      <c r="D15" s="839"/>
      <c r="E15" s="839"/>
    </row>
    <row r="16" spans="1:9" ht="20.100000000000001" customHeight="1">
      <c r="A16" s="839"/>
      <c r="B16" s="839"/>
      <c r="D16" s="88"/>
      <c r="E16" s="88"/>
      <c r="H16" s="88"/>
    </row>
    <row r="17" spans="1:8" ht="27" customHeight="1">
      <c r="C17" s="846">
        <f>IF(+'EXHIBIT A'!E44&gt;=0.0499,+'EXHIBIT A'!E44,"PERCENTAGE DOES NOT MEET STATUTORY GUIDELINES")</f>
        <v>0.15023486261605101</v>
      </c>
      <c r="D17" s="846"/>
      <c r="E17" s="846"/>
      <c r="F17" s="846"/>
      <c r="G17" s="846"/>
      <c r="H17" s="88"/>
    </row>
    <row r="18" spans="1:8" ht="20.100000000000001" customHeight="1">
      <c r="A18" s="839"/>
      <c r="B18" s="839"/>
      <c r="C18" s="919" t="s">
        <v>105</v>
      </c>
      <c r="D18" s="919"/>
      <c r="E18" s="919"/>
      <c r="F18" s="919"/>
      <c r="G18" s="919"/>
      <c r="H18" s="88"/>
    </row>
    <row r="19" spans="1:8" ht="20.100000000000001" customHeight="1">
      <c r="A19" s="839"/>
      <c r="B19" s="839"/>
      <c r="C19" s="28"/>
      <c r="D19" s="28"/>
      <c r="E19" s="28"/>
      <c r="F19" s="88"/>
      <c r="G19" s="88"/>
      <c r="H19" s="88"/>
    </row>
    <row r="20" spans="1:8" ht="20.100000000000001" customHeight="1"/>
    <row r="21" spans="1:8" ht="20.100000000000001" customHeight="1">
      <c r="A21" s="91" t="s">
        <v>106</v>
      </c>
      <c r="B21" s="91"/>
      <c r="C21" s="839" t="s">
        <v>107</v>
      </c>
      <c r="D21" s="839"/>
      <c r="E21" s="839"/>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2"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718</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76500</v>
      </c>
      <c r="E44" s="114">
        <f>+'EXHIBIT C'!F10</f>
        <v>73700</v>
      </c>
      <c r="F44" s="115">
        <f t="shared" ref="F44:F50" si="0">IF(D44=0,"0",(E44/D44-1))</f>
        <v>-3.6601307189542465E-2</v>
      </c>
      <c r="G44" s="116" t="str">
        <f t="shared" ref="G44:G50" si="1">IF(OR(F44&gt;3%, F44&lt;-3%),"YES","NO")</f>
        <v>YES</v>
      </c>
      <c r="H44" s="88"/>
    </row>
    <row r="45" spans="1:8" ht="20.100000000000001" customHeight="1">
      <c r="C45" s="117" t="s">
        <v>132</v>
      </c>
      <c r="D45" s="663">
        <f>VLOOKUP($D$7,VLOOKUP!$A$111:$S$139,5)*30+D60</f>
        <v>851901.10604035493</v>
      </c>
      <c r="E45" s="118">
        <f>+'EXHIBIT C'!F11</f>
        <v>896017.07</v>
      </c>
      <c r="F45" s="664">
        <f t="shared" si="0"/>
        <v>5.1785311284189284E-2</v>
      </c>
      <c r="G45" s="665" t="str">
        <f t="shared" si="1"/>
        <v>YES</v>
      </c>
      <c r="H45" s="88"/>
    </row>
    <row r="46" spans="1:8" ht="20.100000000000001" customHeight="1">
      <c r="C46" s="666" t="s">
        <v>133</v>
      </c>
      <c r="D46" s="667">
        <f>VLOOKUP($D$7,VLOOKUP!$A$111:$S$139,8)*30</f>
        <v>121124.02941393474</v>
      </c>
      <c r="E46" s="668">
        <f>+'EXHIBIT C'!F12</f>
        <v>107616</v>
      </c>
      <c r="F46" s="664">
        <f t="shared" si="0"/>
        <v>-0.11152229230891741</v>
      </c>
      <c r="G46" s="665" t="str">
        <f t="shared" si="1"/>
        <v>YES</v>
      </c>
      <c r="H46" s="88"/>
    </row>
    <row r="47" spans="1:8" ht="20.100000000000001" customHeight="1">
      <c r="C47" s="666" t="s">
        <v>82</v>
      </c>
      <c r="D47" s="667">
        <f>VLOOKUP($D$7,VLOOKUP!$A$111:$S$139,17)*30</f>
        <v>17236.690194101338</v>
      </c>
      <c r="E47" s="668">
        <f>+'EXHIBIT C'!F13</f>
        <v>19764</v>
      </c>
      <c r="F47" s="664">
        <f t="shared" si="0"/>
        <v>0.14662384584504196</v>
      </c>
      <c r="G47" s="665" t="str">
        <f t="shared" si="1"/>
        <v>YES</v>
      </c>
      <c r="H47" s="88"/>
    </row>
    <row r="48" spans="1:8" ht="20.100000000000001" customHeight="1">
      <c r="C48" s="666" t="s">
        <v>134</v>
      </c>
      <c r="D48" s="667">
        <f>VLOOKUP($D$7,VLOOKUP!$A$111:$S$139,11)*30</f>
        <v>32425.615904365906</v>
      </c>
      <c r="E48" s="668">
        <f>+'EXHIBIT C'!F14</f>
        <v>23851</v>
      </c>
      <c r="F48" s="664">
        <f t="shared" si="0"/>
        <v>-0.26443956931012025</v>
      </c>
      <c r="G48" s="665" t="str">
        <f t="shared" si="1"/>
        <v>YES</v>
      </c>
      <c r="H48" s="88"/>
    </row>
    <row r="49" spans="3:8" ht="20.100000000000001" customHeight="1" thickBot="1">
      <c r="C49" s="669" t="s">
        <v>135</v>
      </c>
      <c r="D49" s="670">
        <f>VLOOKUP($D$7,VLOOKUP!$A$111:$S$139,14)*30</f>
        <v>561.88328912466841</v>
      </c>
      <c r="E49" s="671">
        <f>+'EXHIBIT C'!F15</f>
        <v>1073</v>
      </c>
      <c r="F49" s="672">
        <f t="shared" si="0"/>
        <v>0.9096492470377191</v>
      </c>
      <c r="G49" s="673" t="str">
        <f t="shared" si="1"/>
        <v>YES</v>
      </c>
      <c r="H49" s="88"/>
    </row>
    <row r="50" spans="3:8" ht="20.100000000000001" customHeight="1" thickBot="1">
      <c r="C50" s="119" t="s">
        <v>50</v>
      </c>
      <c r="D50" s="120">
        <f>SUM(D44:D49)</f>
        <v>1099749.3248418814</v>
      </c>
      <c r="E50" s="121">
        <f>+'EXHIBIT C'!F17</f>
        <v>1122021.0699999998</v>
      </c>
      <c r="F50" s="122">
        <f t="shared" si="0"/>
        <v>2.0251656132019624E-2</v>
      </c>
      <c r="G50" s="123" t="str">
        <f t="shared" si="1"/>
        <v>NO</v>
      </c>
      <c r="H50" s="88"/>
    </row>
    <row r="51" spans="3:8" ht="46.5" customHeight="1" thickBot="1">
      <c r="C51" s="920" t="s">
        <v>136</v>
      </c>
      <c r="D51" s="921"/>
      <c r="E51" s="921"/>
      <c r="F51" s="921"/>
      <c r="G51" s="922"/>
      <c r="H51" s="88"/>
    </row>
    <row r="52" spans="3:8" ht="24.6" customHeight="1" thickBot="1">
      <c r="C52" s="843" t="s">
        <v>749</v>
      </c>
      <c r="D52" s="844"/>
      <c r="E52" s="844"/>
      <c r="F52" s="844"/>
      <c r="G52" s="845"/>
      <c r="H52" s="124"/>
    </row>
    <row r="53" spans="3:8" ht="205.5" customHeight="1" thickBot="1">
      <c r="C53" s="1106" t="s">
        <v>781</v>
      </c>
      <c r="D53" s="1107"/>
      <c r="E53" s="1107"/>
      <c r="F53" s="1107"/>
      <c r="G53" s="1108"/>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4">
        <f>VLOOKUP($D$7,VLOOKUP!$A$111:$S$139,3)*30</f>
        <v>0</v>
      </c>
      <c r="E59" s="130">
        <f>+'EXHIBIT C'!D19</f>
        <v>2010</v>
      </c>
      <c r="F59" s="675" t="str">
        <f t="shared" ref="F59:F65" si="2">IF(D59=0,"0",(E59/D59-1))</f>
        <v>0</v>
      </c>
      <c r="G59" s="676" t="str">
        <f>IF(OR(F59&gt;5%, F59&lt;-5%),"YES","NO")</f>
        <v>NO</v>
      </c>
    </row>
    <row r="60" spans="3:8" ht="20.100000000000001" customHeight="1">
      <c r="C60" s="117" t="s">
        <v>132</v>
      </c>
      <c r="D60" s="674">
        <f>VLOOKUP($D$7,VLOOKUP!$A$111:$S$139,6)*30</f>
        <v>46222.11475225044</v>
      </c>
      <c r="E60" s="131">
        <f>+'EXHIBIT C'!D20</f>
        <v>51990</v>
      </c>
      <c r="F60" s="675">
        <f t="shared" si="2"/>
        <v>0.12478626905465706</v>
      </c>
      <c r="G60" s="676" t="str">
        <f t="shared" ref="G60:G65" si="3">IF(OR(F60&gt;5%, F60&lt;-5%),"YES","NO")</f>
        <v>YES</v>
      </c>
      <c r="H60" s="88"/>
    </row>
    <row r="61" spans="3:8" ht="20.100000000000001" customHeight="1">
      <c r="C61" s="666" t="s">
        <v>133</v>
      </c>
      <c r="D61" s="677">
        <f>VLOOKUP($D$7,VLOOKUP!$A$111:$S$139,9)*30</f>
        <v>6176.3950714443818</v>
      </c>
      <c r="E61" s="678">
        <f>+'EXHIBIT C'!D21</f>
        <v>8256</v>
      </c>
      <c r="F61" s="675">
        <f t="shared" si="2"/>
        <v>0.33670205751091831</v>
      </c>
      <c r="G61" s="676" t="str">
        <f t="shared" si="3"/>
        <v>YES</v>
      </c>
      <c r="H61" s="88"/>
    </row>
    <row r="62" spans="3:8" ht="20.100000000000001" customHeight="1">
      <c r="C62" s="666" t="s">
        <v>82</v>
      </c>
      <c r="D62" s="677">
        <f>VLOOKUP($D$7,VLOOKUP!$A$111:$S$139,18)*30</f>
        <v>1063.3098058986641</v>
      </c>
      <c r="E62" s="678">
        <f>+'EXHIBIT C'!D22</f>
        <v>856</v>
      </c>
      <c r="F62" s="675">
        <f t="shared" si="2"/>
        <v>-0.19496651375603058</v>
      </c>
      <c r="G62" s="676" t="str">
        <f t="shared" si="3"/>
        <v>YES</v>
      </c>
      <c r="H62" s="88"/>
    </row>
    <row r="63" spans="3:8" ht="20.100000000000001" customHeight="1">
      <c r="C63" s="666" t="s">
        <v>134</v>
      </c>
      <c r="D63" s="677">
        <f>VLOOKUP($D$7,VLOOKUP!$A$111:$S$139,12)*30</f>
        <v>2884.384095634096</v>
      </c>
      <c r="E63" s="678">
        <f>+'EXHIBIT C'!D23</f>
        <v>2185</v>
      </c>
      <c r="F63" s="675">
        <f t="shared" si="2"/>
        <v>-0.24247259464948101</v>
      </c>
      <c r="G63" s="676" t="str">
        <f t="shared" si="3"/>
        <v>YES</v>
      </c>
      <c r="H63" s="88"/>
    </row>
    <row r="64" spans="3:8" ht="20.100000000000001" customHeight="1" thickBot="1">
      <c r="C64" s="669" t="s">
        <v>135</v>
      </c>
      <c r="D64" s="679">
        <f>VLOOKUP($D$7,VLOOKUP!$A$111:$S$139,15)*30</f>
        <v>8.1167108753315649</v>
      </c>
      <c r="E64" s="680">
        <f>+'EXHIBIT C'!D24</f>
        <v>0</v>
      </c>
      <c r="F64" s="681">
        <f t="shared" si="2"/>
        <v>-1</v>
      </c>
      <c r="G64" s="682" t="str">
        <f t="shared" si="3"/>
        <v>YES</v>
      </c>
      <c r="H64" s="88"/>
    </row>
    <row r="65" spans="1:8" ht="20.100000000000001" customHeight="1" thickBot="1">
      <c r="C65" s="119" t="s">
        <v>50</v>
      </c>
      <c r="D65" s="132">
        <f>SUM(D59:D64)</f>
        <v>56354.320436102913</v>
      </c>
      <c r="E65" s="133">
        <f>SUM(E59:E64)</f>
        <v>65297</v>
      </c>
      <c r="F65" s="134">
        <f t="shared" si="2"/>
        <v>0.15868667201899278</v>
      </c>
      <c r="G65" s="135" t="str">
        <f t="shared" si="3"/>
        <v>YES</v>
      </c>
      <c r="H65" s="88"/>
    </row>
    <row r="66" spans="1:8" ht="42" customHeight="1" thickBot="1">
      <c r="C66" s="920" t="s">
        <v>141</v>
      </c>
      <c r="D66" s="921"/>
      <c r="E66" s="921"/>
      <c r="F66" s="921"/>
      <c r="G66" s="922"/>
      <c r="H66" s="88"/>
    </row>
    <row r="67" spans="1:8" ht="24.6" customHeight="1" thickBot="1">
      <c r="A67" s="98"/>
      <c r="B67" s="98"/>
      <c r="C67" s="840" t="s">
        <v>749</v>
      </c>
      <c r="D67" s="841"/>
      <c r="E67" s="841"/>
      <c r="F67" s="841"/>
      <c r="G67" s="842"/>
      <c r="H67" s="88"/>
    </row>
    <row r="68" spans="1:8" ht="227.25" customHeight="1" thickBot="1">
      <c r="A68" s="98"/>
      <c r="B68" s="98"/>
      <c r="C68" s="1109" t="s">
        <v>782</v>
      </c>
      <c r="D68" s="1110"/>
      <c r="E68" s="1110"/>
      <c r="F68" s="1110"/>
      <c r="G68" s="1111"/>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3" t="str">
        <f>IF(+'EXHIBIT A'!E19='EXHIBIT C'!B69,"Equal","Not Equal")</f>
        <v>Equal</v>
      </c>
      <c r="D74" s="88" t="s">
        <v>145</v>
      </c>
      <c r="E74" s="88"/>
      <c r="F74" s="88"/>
      <c r="G74" s="88"/>
      <c r="H74" s="88"/>
    </row>
    <row r="75" spans="1:8" ht="20.100000000000001" customHeight="1">
      <c r="A75" s="98"/>
      <c r="B75" s="98"/>
      <c r="C75" s="684"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3" t="str">
        <f>IF((+'EXHIBIT A'!E26)='EXHIBIT C'!B60,"Equal","Not Equal")</f>
        <v>Equal</v>
      </c>
      <c r="D77" s="88" t="s">
        <v>148</v>
      </c>
      <c r="E77" s="88"/>
      <c r="F77" s="88"/>
      <c r="G77" s="88"/>
      <c r="H77" s="88"/>
    </row>
    <row r="78" spans="1:8" ht="20.100000000000001" customHeight="1">
      <c r="A78" s="98"/>
      <c r="B78" s="98"/>
      <c r="C78" s="684"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3" t="s">
        <v>151</v>
      </c>
      <c r="D81" s="923"/>
      <c r="E81" s="923"/>
      <c r="F81" s="923"/>
      <c r="G81" s="923"/>
      <c r="H81" s="838"/>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5" t="s">
        <v>155</v>
      </c>
      <c r="D84" s="686">
        <f>VLOOKUP($D$7,VLOOKUP!$A$7:$E$35,2)</f>
        <v>160382392</v>
      </c>
      <c r="E84" s="1149">
        <f>+'EXHIBIT D'!G75</f>
        <v>160382392</v>
      </c>
      <c r="F84" s="1149">
        <f>D84-E84</f>
        <v>0</v>
      </c>
      <c r="G84" s="88"/>
      <c r="H84" s="88"/>
    </row>
    <row r="85" spans="1:8" ht="20.100000000000001" customHeight="1">
      <c r="A85" s="98"/>
      <c r="B85" s="98"/>
      <c r="C85" s="687" t="s">
        <v>156</v>
      </c>
      <c r="D85" s="686">
        <f>VLOOKUP($D$7,VLOOKUP!$A$152:$B$180,2)</f>
        <v>4236132</v>
      </c>
      <c r="E85" s="1149">
        <f>'EXHIBIT D'!G77</f>
        <v>4236132</v>
      </c>
      <c r="F85" s="1149">
        <f>D85-E85</f>
        <v>0</v>
      </c>
      <c r="G85" s="88"/>
      <c r="H85" s="88"/>
    </row>
    <row r="86" spans="1:8" ht="20.100000000000001" customHeight="1">
      <c r="A86" s="98"/>
      <c r="B86" s="98"/>
      <c r="C86" s="687" t="s">
        <v>157</v>
      </c>
      <c r="D86" s="686">
        <f>VLOOKUP($D$7,VLOOKUP!$A$7:$E$35,3)</f>
        <v>41626509</v>
      </c>
      <c r="E86" s="1149">
        <f>'EXHIBIT D'!G81</f>
        <v>41626509</v>
      </c>
      <c r="F86" s="1149">
        <f>D86-E86</f>
        <v>0</v>
      </c>
      <c r="G86" s="88"/>
      <c r="H86" s="88"/>
    </row>
    <row r="87" spans="1:8" ht="20.100000000000001" customHeight="1" thickBot="1">
      <c r="A87" s="97"/>
      <c r="B87" s="97"/>
      <c r="C87" s="143" t="s">
        <v>708</v>
      </c>
      <c r="D87" s="686">
        <f>VLOOKUP($D$7,VLOOKUP!$A$187:$B$215,2)</f>
        <v>2299040</v>
      </c>
      <c r="E87" s="1150">
        <f>'EXHIBIT D'!G76</f>
        <v>2299040</v>
      </c>
      <c r="F87" s="1149">
        <f>D87-E87</f>
        <v>0</v>
      </c>
      <c r="G87" s="88"/>
      <c r="H87" s="88"/>
    </row>
    <row r="88" spans="1:8" ht="20.100000000000001" customHeight="1" thickBot="1">
      <c r="A88" s="97"/>
      <c r="B88" s="97"/>
      <c r="C88" s="144" t="s">
        <v>158</v>
      </c>
      <c r="D88" s="145">
        <f>SUM(D84:D87)</f>
        <v>208544073</v>
      </c>
      <c r="E88" s="145">
        <f>SUM(E84:E87)</f>
        <v>208544073</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8" t="str">
        <f>IF(+'EXHIBIT E'!B21=+'EXHIBIT D'!G194,"Equal","Not Equal")</f>
        <v>Equal</v>
      </c>
      <c r="D93" s="88" t="s">
        <v>161</v>
      </c>
      <c r="E93" s="88"/>
      <c r="F93" s="88"/>
      <c r="G93" s="93"/>
      <c r="H93" s="88"/>
    </row>
    <row r="94" spans="1:8" ht="20.100000000000001" customHeight="1">
      <c r="A94" s="98"/>
      <c r="B94" s="98"/>
      <c r="C94" s="688" t="str">
        <f>IF(+'EXHIBIT E'!C21=+'EXHIBIT D'!G228,"Equal","Not Equal")</f>
        <v>Equal</v>
      </c>
      <c r="D94" s="88" t="s">
        <v>162</v>
      </c>
      <c r="E94" s="147"/>
      <c r="F94" s="88"/>
      <c r="G94" s="93"/>
      <c r="H94" s="88"/>
    </row>
    <row r="95" spans="1:8" ht="20.100000000000001" customHeight="1">
      <c r="C95" s="688" t="str">
        <f>IF(+'EXHIBIT E'!D21=+'EXHIBIT D'!G246,"Equal","Not Equal")</f>
        <v>Equal</v>
      </c>
      <c r="D95" s="88" t="s">
        <v>163</v>
      </c>
      <c r="E95" s="147"/>
      <c r="F95" s="88"/>
      <c r="G95" s="88"/>
      <c r="H95" s="88"/>
    </row>
    <row r="96" spans="1:8" ht="20.100000000000001" customHeight="1">
      <c r="A96" s="97"/>
      <c r="B96" s="97"/>
      <c r="C96" s="689"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4" t="s">
        <v>726</v>
      </c>
      <c r="D99" s="924"/>
      <c r="E99" s="924"/>
      <c r="F99" s="924"/>
      <c r="G99" s="847"/>
      <c r="H99" s="847"/>
    </row>
    <row r="100" spans="1:8" ht="20.100000000000001" customHeight="1">
      <c r="A100" s="149"/>
      <c r="B100" s="150"/>
      <c r="C100" s="847"/>
      <c r="D100" s="847"/>
      <c r="E100" s="847"/>
      <c r="F100" s="847"/>
      <c r="G100" s="88"/>
      <c r="H100" s="88"/>
    </row>
    <row r="101" spans="1:8" ht="20.100000000000001" customHeight="1">
      <c r="C101" s="690">
        <f>+'EXHIBIT A'!E40</f>
        <v>70508275</v>
      </c>
      <c r="D101" s="834" t="s">
        <v>721</v>
      </c>
      <c r="E101" s="834"/>
      <c r="F101" s="834"/>
      <c r="G101" s="88"/>
      <c r="H101" s="88"/>
    </row>
    <row r="102" spans="1:8" ht="20.100000000000001" customHeight="1">
      <c r="A102" s="95"/>
      <c r="B102" s="95"/>
      <c r="C102" s="690">
        <f>'EXHIBIT D'!G266-'EXHIBIT D'!G252-'EXHIBIT D'!G264</f>
        <v>70508275</v>
      </c>
      <c r="D102" s="836" t="s">
        <v>722</v>
      </c>
      <c r="E102" s="836"/>
      <c r="F102" s="836"/>
      <c r="G102" s="88"/>
      <c r="H102" s="88"/>
    </row>
    <row r="103" spans="1:8" ht="66.599999999999994" customHeight="1">
      <c r="A103" s="151"/>
      <c r="B103" s="151"/>
      <c r="C103" s="691">
        <f>C101-C102</f>
        <v>0</v>
      </c>
      <c r="D103" s="925" t="s">
        <v>725</v>
      </c>
      <c r="E103" s="925"/>
      <c r="F103" s="925"/>
      <c r="G103" s="925"/>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18" t="s">
        <v>731</v>
      </c>
      <c r="D106" s="918"/>
      <c r="E106" s="918"/>
      <c r="F106" s="918"/>
      <c r="G106" s="918"/>
      <c r="H106" s="835"/>
    </row>
    <row r="107" spans="1:8" ht="20.100000000000001" customHeight="1">
      <c r="A107" s="151"/>
      <c r="B107" s="151"/>
    </row>
    <row r="108" spans="1:8" ht="24.75" customHeight="1">
      <c r="A108" s="151"/>
      <c r="B108" s="151"/>
      <c r="C108" s="154">
        <f>'EXHIBIT A'!E14</f>
        <v>188056435</v>
      </c>
      <c r="D108" s="17" t="s">
        <v>723</v>
      </c>
    </row>
    <row r="109" spans="1:8" ht="26.25" customHeight="1">
      <c r="A109" s="151"/>
      <c r="B109" s="151"/>
      <c r="C109" s="692">
        <f>'EXHIBIT A'!E36</f>
        <v>188056435</v>
      </c>
      <c r="D109" s="17" t="s">
        <v>724</v>
      </c>
    </row>
    <row r="110" spans="1:8" ht="26.1" customHeight="1">
      <c r="A110" s="151"/>
      <c r="B110" s="151"/>
      <c r="C110" s="693">
        <f>C108-C109</f>
        <v>0</v>
      </c>
      <c r="D110" s="89" t="s">
        <v>166</v>
      </c>
      <c r="E110" s="89"/>
      <c r="F110" s="89"/>
      <c r="G110" s="89"/>
    </row>
    <row r="111" spans="1:8" ht="20.100000000000001" customHeight="1">
      <c r="A111" s="151"/>
      <c r="B111" s="151"/>
      <c r="C111" s="154"/>
    </row>
    <row r="112" spans="1:8" ht="26.1" customHeight="1">
      <c r="A112" s="151"/>
      <c r="B112" s="151"/>
      <c r="C112" s="691">
        <f>'EXHIBIT D'!G186</f>
        <v>0</v>
      </c>
      <c r="D112" s="148" t="s">
        <v>167</v>
      </c>
      <c r="E112" s="92"/>
      <c r="F112" s="92"/>
    </row>
    <row r="113" spans="1:8" ht="20.100000000000001" customHeight="1"/>
    <row r="114" spans="1:8" ht="38.450000000000003" customHeight="1">
      <c r="C114" s="155">
        <f>C110+C112</f>
        <v>0</v>
      </c>
      <c r="D114" s="925" t="s">
        <v>727</v>
      </c>
      <c r="E114" s="925"/>
      <c r="F114" s="925"/>
      <c r="G114" s="925"/>
    </row>
    <row r="115" spans="1:8" ht="20.100000000000001" customHeight="1">
      <c r="C115" s="154"/>
      <c r="D115" s="16"/>
    </row>
    <row r="116" spans="1:8" ht="20.100000000000001" customHeight="1">
      <c r="A116" s="28"/>
      <c r="B116" s="28"/>
      <c r="C116" s="28"/>
    </row>
    <row r="117" spans="1:8" ht="39" customHeight="1">
      <c r="A117" s="156" t="s">
        <v>168</v>
      </c>
      <c r="B117" s="28"/>
      <c r="C117" s="918" t="s">
        <v>169</v>
      </c>
      <c r="D117" s="918"/>
      <c r="E117" s="918"/>
      <c r="F117" s="918"/>
      <c r="G117" s="918"/>
      <c r="H117" s="835"/>
    </row>
    <row r="118" spans="1:8" ht="20.100000000000001" customHeight="1"/>
    <row r="119" spans="1:8" ht="20.100000000000001" customHeight="1">
      <c r="C119" s="157">
        <f>IF('EXHIBIT G'!D118=0,"No Credit Hours or Not Applicable",('EXHIBIT G'!D118/'EXHIBIT C'!F10))</f>
        <v>91.79</v>
      </c>
      <c r="D119" s="17" t="s">
        <v>87</v>
      </c>
    </row>
    <row r="120" spans="1:8" ht="20.100000000000001" customHeight="1">
      <c r="C120" s="158"/>
    </row>
    <row r="121" spans="1:8" ht="20.100000000000001" customHeight="1">
      <c r="C121" s="159">
        <f>IF('EXHIBIT G'!D119=0,"No Credit Hours or Not Applicable",('EXHIBIT G'!D119/'EXHIBIT C'!D19))</f>
        <v>357</v>
      </c>
      <c r="D121" s="17" t="s">
        <v>170</v>
      </c>
      <c r="F121" s="28"/>
      <c r="G121" s="28"/>
      <c r="H121" s="28"/>
    </row>
    <row r="122" spans="1:8" ht="20.100000000000001" customHeight="1">
      <c r="C122" s="160"/>
      <c r="F122" s="28"/>
      <c r="G122" s="28"/>
      <c r="H122" s="28"/>
    </row>
    <row r="123" spans="1:8" ht="20.100000000000001" customHeight="1">
      <c r="C123" s="849"/>
      <c r="D123" s="850"/>
      <c r="E123" s="850"/>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6" t="s">
        <v>728</v>
      </c>
      <c r="E126" s="926"/>
      <c r="F126" s="926"/>
      <c r="G126" s="926"/>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6" t="s">
        <v>729</v>
      </c>
      <c r="E129" s="926"/>
      <c r="F129" s="926"/>
      <c r="G129" s="926"/>
    </row>
    <row r="130" spans="1:8" ht="20.100000000000001" customHeight="1">
      <c r="C130" s="158"/>
      <c r="D130" s="90"/>
      <c r="E130" s="90"/>
      <c r="F130" s="90"/>
      <c r="G130" s="90"/>
    </row>
    <row r="131" spans="1:8" ht="20.100000000000001" customHeight="1">
      <c r="C131" s="158"/>
      <c r="D131" s="848"/>
      <c r="E131" s="848"/>
      <c r="F131" s="848"/>
      <c r="G131" s="848"/>
    </row>
    <row r="132" spans="1:8" ht="20.100000000000001" customHeight="1">
      <c r="C132" s="16"/>
      <c r="D132" s="848"/>
      <c r="E132" s="848"/>
      <c r="F132" s="848"/>
      <c r="G132" s="848"/>
    </row>
    <row r="133" spans="1:8" ht="62.1" customHeight="1">
      <c r="A133" s="156" t="s">
        <v>173</v>
      </c>
      <c r="B133" s="28"/>
      <c r="C133" s="918" t="s">
        <v>730</v>
      </c>
      <c r="D133" s="918"/>
      <c r="E133" s="918"/>
      <c r="F133" s="918"/>
      <c r="G133" s="918"/>
      <c r="H133" s="835"/>
    </row>
    <row r="134" spans="1:8" ht="20.100000000000001" customHeight="1"/>
    <row r="135" spans="1:8" ht="20.100000000000001" customHeight="1">
      <c r="C135" s="161" t="str">
        <f>IF(+'EXHIBIT G'!F113='EXHIBIT G'!F129,"Equal","Not Equal")</f>
        <v>Equal</v>
      </c>
      <c r="D135" s="834" t="s">
        <v>174</v>
      </c>
      <c r="E135" s="834"/>
      <c r="F135" s="834"/>
    </row>
    <row r="136" spans="1:8" ht="20.100000000000001" customHeight="1" thickBot="1">
      <c r="C136" s="16"/>
    </row>
    <row r="137" spans="1:8" ht="24.6" customHeight="1" thickBot="1">
      <c r="C137" s="843" t="s">
        <v>750</v>
      </c>
      <c r="D137" s="844"/>
      <c r="E137" s="844"/>
      <c r="F137" s="844"/>
      <c r="G137" s="845"/>
      <c r="H137" s="28"/>
    </row>
    <row r="138" spans="1:8" ht="199.5" customHeight="1" thickBot="1">
      <c r="C138" s="1112"/>
      <c r="D138" s="1113"/>
      <c r="E138" s="1113"/>
      <c r="F138" s="1113"/>
      <c r="G138" s="1114"/>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iRmMFPx/4R/ahyxTwdS1hyhDx8Mw8IOxtXACna0ihWUwuhNnfja80PUHQ8lhgTgaTe+QRhKbWtrOzqLAKpcZlg==" saltValue="Ng2AeawqrUNhX1TGE63Ah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7" t="s">
        <v>175</v>
      </c>
      <c r="C1" s="927"/>
      <c r="D1" s="927"/>
      <c r="E1" s="927"/>
      <c r="F1" s="286"/>
      <c r="G1" s="286"/>
    </row>
    <row r="2" spans="2:7" ht="26.25">
      <c r="B2" s="927" t="s">
        <v>11</v>
      </c>
      <c r="C2" s="927"/>
      <c r="D2" s="927"/>
      <c r="E2" s="927"/>
      <c r="F2" s="497"/>
      <c r="G2" s="497"/>
    </row>
    <row r="3" spans="2:7" ht="26.25">
      <c r="B3" s="927" t="s">
        <v>176</v>
      </c>
      <c r="C3" s="927"/>
      <c r="D3" s="927"/>
      <c r="E3" s="927"/>
      <c r="F3" s="497"/>
      <c r="G3" s="497"/>
    </row>
    <row r="4" spans="2:7" ht="26.25">
      <c r="B4" s="927" t="s">
        <v>177</v>
      </c>
      <c r="C4" s="927"/>
      <c r="D4" s="927"/>
      <c r="E4" s="927"/>
      <c r="F4" s="497"/>
      <c r="G4" s="497"/>
    </row>
    <row r="5" spans="2:7" ht="26.25">
      <c r="B5" s="927" t="s">
        <v>732</v>
      </c>
      <c r="C5" s="927"/>
      <c r="D5" s="927"/>
      <c r="E5" s="927"/>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1" t="str">
        <f>'CHECK SHEET'!D7</f>
        <v>Miami Dade College</v>
      </c>
      <c r="D8" s="851"/>
      <c r="E8" s="851"/>
      <c r="F8" s="285"/>
      <c r="G8" s="285"/>
    </row>
    <row r="9" spans="2:7" ht="25.35" customHeight="1"/>
    <row r="10" spans="2:7" ht="41.45" customHeight="1">
      <c r="E10" s="584" t="s">
        <v>179</v>
      </c>
    </row>
    <row r="11" spans="2:7" ht="25.35" customHeight="1">
      <c r="B11" s="28" t="s">
        <v>733</v>
      </c>
      <c r="D11" s="28"/>
      <c r="E11" s="163"/>
    </row>
    <row r="12" spans="2:7" ht="25.35" customHeight="1">
      <c r="B12" s="28"/>
      <c r="C12" s="28"/>
      <c r="D12" s="28"/>
    </row>
    <row r="13" spans="2:7" ht="25.35" customHeight="1">
      <c r="B13" s="17" t="s">
        <v>734</v>
      </c>
      <c r="C13" s="28"/>
      <c r="D13" s="28"/>
      <c r="E13" s="460">
        <v>-89977492</v>
      </c>
    </row>
    <row r="14" spans="2:7" ht="25.35" customHeight="1">
      <c r="B14" s="17" t="s">
        <v>180</v>
      </c>
      <c r="D14" s="28"/>
      <c r="E14" s="585">
        <v>188056435</v>
      </c>
    </row>
    <row r="15" spans="2:7" ht="25.35" customHeight="1">
      <c r="B15" s="28"/>
      <c r="D15" s="28"/>
      <c r="E15" s="164"/>
    </row>
    <row r="16" spans="2:7" ht="25.35" customHeight="1">
      <c r="B16" s="17" t="s">
        <v>735</v>
      </c>
      <c r="C16" s="28"/>
      <c r="D16" s="28"/>
      <c r="E16" s="586">
        <f>+E14+E13</f>
        <v>98078943</v>
      </c>
    </row>
    <row r="17" spans="2:7" ht="25.35" customHeight="1">
      <c r="B17" s="28"/>
      <c r="C17" s="28"/>
      <c r="D17" s="28"/>
      <c r="E17" s="165"/>
    </row>
    <row r="18" spans="2:7" ht="25.35" customHeight="1">
      <c r="B18" s="17" t="s">
        <v>181</v>
      </c>
      <c r="C18" s="28"/>
      <c r="D18" s="28"/>
      <c r="E18" s="175">
        <f>+'EXHIBIT D'!G142-SUM(+'EXHIBIT D'!G132+'EXHIBIT D'!G133)</f>
        <v>371241385</v>
      </c>
      <c r="G18" s="138"/>
    </row>
    <row r="19" spans="2:7" ht="25.35" customHeight="1">
      <c r="B19" s="17" t="s">
        <v>182</v>
      </c>
      <c r="D19" s="28"/>
      <c r="E19" s="586">
        <f>+'EXHIBIT D'!G132+'EXHIBIT D'!G133</f>
        <v>0</v>
      </c>
    </row>
    <row r="20" spans="2:7" ht="25.35" customHeight="1">
      <c r="B20" s="28"/>
      <c r="D20" s="28"/>
      <c r="E20" s="170"/>
    </row>
    <row r="21" spans="2:7" ht="25.35" customHeight="1">
      <c r="B21" s="17" t="s">
        <v>183</v>
      </c>
      <c r="C21" s="28"/>
      <c r="D21" s="28"/>
      <c r="E21" s="587">
        <f>+E19+E18</f>
        <v>371241385</v>
      </c>
    </row>
    <row r="22" spans="2:7" ht="25.35" customHeight="1">
      <c r="B22" s="28"/>
      <c r="C22" s="28"/>
      <c r="D22" s="28"/>
      <c r="E22" s="170"/>
    </row>
    <row r="23" spans="2:7" ht="25.35" customHeight="1">
      <c r="B23" s="28" t="s">
        <v>184</v>
      </c>
      <c r="C23" s="28"/>
      <c r="D23" s="28"/>
      <c r="E23" s="587">
        <f>+E21+E16</f>
        <v>469320328</v>
      </c>
    </row>
    <row r="24" spans="2:7" ht="25.35" customHeight="1">
      <c r="B24" s="28"/>
      <c r="C24" s="28"/>
      <c r="D24" s="28"/>
      <c r="E24" s="170"/>
    </row>
    <row r="25" spans="2:7" ht="25.35" customHeight="1">
      <c r="B25" s="17" t="s">
        <v>185</v>
      </c>
      <c r="C25" s="28"/>
      <c r="D25" s="28"/>
      <c r="E25" s="176">
        <f>'EXHIBIT D'!G248-SUM(+'EXHIBIT D'!G222+'EXHIBIT D'!G223)</f>
        <v>370812053</v>
      </c>
    </row>
    <row r="26" spans="2:7" ht="25.35" customHeight="1">
      <c r="B26" s="17" t="s">
        <v>186</v>
      </c>
      <c r="D26" s="28"/>
      <c r="E26" s="586">
        <f>'EXHIBIT D'!G222+'EXHIBIT D'!G223</f>
        <v>0</v>
      </c>
    </row>
    <row r="27" spans="2:7" ht="25.35" customHeight="1">
      <c r="B27" s="28"/>
      <c r="D27" s="28"/>
      <c r="E27" s="170"/>
    </row>
    <row r="28" spans="2:7" ht="25.35" customHeight="1">
      <c r="B28" s="28" t="s">
        <v>187</v>
      </c>
      <c r="C28" s="28"/>
      <c r="D28" s="28"/>
      <c r="E28" s="588">
        <f>+E26+E25</f>
        <v>370812053</v>
      </c>
    </row>
    <row r="29" spans="2:7" ht="25.35" customHeight="1">
      <c r="B29" s="28"/>
      <c r="C29" s="28"/>
      <c r="D29" s="28"/>
      <c r="E29" s="166"/>
    </row>
    <row r="30" spans="2:7" ht="25.35" customHeight="1">
      <c r="B30" s="28" t="s">
        <v>699</v>
      </c>
      <c r="C30" s="28"/>
      <c r="D30" s="28"/>
      <c r="E30" s="166"/>
    </row>
    <row r="31" spans="2:7" ht="25.35" customHeight="1">
      <c r="B31" s="28"/>
      <c r="C31" s="28"/>
      <c r="D31" s="28"/>
      <c r="E31" s="166"/>
    </row>
    <row r="32" spans="2:7" ht="25.35" customHeight="1">
      <c r="B32" s="17" t="s">
        <v>188</v>
      </c>
      <c r="C32" s="28"/>
      <c r="D32" s="167">
        <f>+E23-E28</f>
        <v>98508275</v>
      </c>
      <c r="E32" s="166"/>
    </row>
    <row r="33" spans="2:10" ht="25.35" customHeight="1">
      <c r="B33" s="17" t="s">
        <v>189</v>
      </c>
      <c r="C33" s="28"/>
      <c r="D33" s="589">
        <f>+'EXHIBIT D'!G186</f>
        <v>0</v>
      </c>
      <c r="E33" s="166"/>
    </row>
    <row r="34" spans="2:10" ht="25.35" customHeight="1">
      <c r="B34" s="28"/>
      <c r="D34" s="28"/>
      <c r="E34" s="166"/>
      <c r="J34" s="168"/>
    </row>
    <row r="35" spans="2:10" ht="25.35" customHeight="1">
      <c r="B35" s="17" t="s">
        <v>736</v>
      </c>
      <c r="C35" s="28"/>
      <c r="D35" s="28"/>
      <c r="E35" s="169">
        <f>+D32+D33</f>
        <v>98508275</v>
      </c>
    </row>
    <row r="36" spans="2:10" ht="25.35" customHeight="1">
      <c r="B36" s="17" t="s">
        <v>737</v>
      </c>
      <c r="C36" s="28"/>
      <c r="D36" s="28"/>
      <c r="E36" s="587">
        <f>-'EXHIBIT D'!G264</f>
        <v>188056435</v>
      </c>
      <c r="J36" s="48"/>
    </row>
    <row r="37" spans="2:10" ht="25.35" customHeight="1">
      <c r="D37" s="28"/>
      <c r="E37" s="169"/>
    </row>
    <row r="38" spans="2:10" ht="25.35" customHeight="1">
      <c r="B38" s="28" t="s">
        <v>738</v>
      </c>
      <c r="D38" s="28"/>
      <c r="E38" s="586">
        <f>+E35-E36</f>
        <v>-89548160</v>
      </c>
    </row>
    <row r="39" spans="2:10" ht="25.35" customHeight="1">
      <c r="B39" s="28"/>
      <c r="C39" s="28"/>
      <c r="D39" s="28"/>
      <c r="E39" s="170"/>
    </row>
    <row r="40" spans="2:10" ht="25.35" customHeight="1">
      <c r="B40" s="17" t="s">
        <v>739</v>
      </c>
      <c r="C40" s="28"/>
      <c r="D40" s="28"/>
      <c r="E40" s="588">
        <f>'EXHIBIT D'!G253+'EXHIBIT D'!G254+'EXHIBIT D'!G255+'EXHIBIT D'!G256+'EXHIBIT D'!G257+'EXHIBIT D'!G258+'EXHIBIT D'!G259+'EXHIBIT D'!G260</f>
        <v>70508275</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740</v>
      </c>
      <c r="C44" s="28"/>
      <c r="D44" s="28"/>
      <c r="E44" s="590">
        <f>+E40/E23</f>
        <v>0.15023486261605101</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7" t="s">
        <v>11</v>
      </c>
      <c r="B3" s="927"/>
      <c r="C3" s="927"/>
      <c r="D3" s="927"/>
      <c r="E3" s="927"/>
      <c r="F3" s="927"/>
      <c r="G3" s="927"/>
      <c r="H3" s="927"/>
      <c r="I3" s="497"/>
      <c r="J3" s="285"/>
      <c r="K3" s="285"/>
    </row>
    <row r="4" spans="1:18" s="286" customFormat="1" ht="20.100000000000001" customHeight="1">
      <c r="A4" s="927" t="s">
        <v>176</v>
      </c>
      <c r="B4" s="927"/>
      <c r="C4" s="927"/>
      <c r="D4" s="927"/>
      <c r="E4" s="927"/>
      <c r="F4" s="927"/>
      <c r="G4" s="927"/>
      <c r="H4" s="927"/>
      <c r="I4" s="497"/>
    </row>
    <row r="5" spans="1:18" s="286" customFormat="1" ht="24" customHeight="1">
      <c r="A5" s="927" t="s">
        <v>741</v>
      </c>
      <c r="B5" s="927"/>
      <c r="C5" s="927"/>
      <c r="D5" s="927"/>
      <c r="E5" s="927"/>
      <c r="F5" s="927"/>
      <c r="G5" s="927"/>
      <c r="H5" s="927"/>
      <c r="I5" s="497"/>
    </row>
    <row r="6" spans="1:18" s="286" customFormat="1" ht="24" customHeight="1">
      <c r="A6" s="927" t="s">
        <v>196</v>
      </c>
      <c r="B6" s="927"/>
      <c r="C6" s="927"/>
      <c r="D6" s="927"/>
      <c r="E6" s="927"/>
      <c r="F6" s="927"/>
      <c r="G6" s="927"/>
      <c r="H6" s="927"/>
      <c r="I6" s="497"/>
    </row>
    <row r="7" spans="1:18" s="286" customFormat="1" ht="20.100000000000001" customHeight="1">
      <c r="A7" s="927"/>
      <c r="B7" s="927"/>
      <c r="C7" s="927"/>
      <c r="D7" s="927"/>
      <c r="E7" s="927"/>
      <c r="F7" s="927"/>
      <c r="G7" s="927"/>
      <c r="H7" s="927"/>
      <c r="I7" s="497"/>
    </row>
    <row r="8" spans="1:18" s="286" customFormat="1" ht="25.35" customHeight="1" thickBot="1">
      <c r="A8" s="927"/>
      <c r="B8" s="929"/>
      <c r="C8" s="927" t="s">
        <v>178</v>
      </c>
      <c r="D8" s="930" t="str">
        <f>'CHECK SHEET'!D7</f>
        <v>Miami Dade College</v>
      </c>
      <c r="E8" s="930"/>
      <c r="F8" s="930"/>
      <c r="G8" s="930"/>
      <c r="H8" s="930"/>
    </row>
    <row r="9" spans="1:18" s="17" customFormat="1" ht="20.100000000000001" customHeight="1"/>
    <row r="10" spans="1:18" s="17" customFormat="1" ht="20.100000000000001" customHeight="1">
      <c r="B10" s="28"/>
      <c r="C10" s="28"/>
      <c r="D10" s="28"/>
      <c r="E10" s="928"/>
      <c r="F10" s="31"/>
      <c r="G10" s="31"/>
    </row>
    <row r="11" spans="1:18" s="17" customFormat="1" ht="20.100000000000001" customHeight="1">
      <c r="B11" s="852" t="s">
        <v>197</v>
      </c>
      <c r="C11" s="852"/>
      <c r="D11" s="28"/>
      <c r="E11" s="28"/>
    </row>
    <row r="12" spans="1:18" s="17" customFormat="1" ht="20.100000000000001" customHeight="1" thickBot="1">
      <c r="B12" s="853" t="s">
        <v>198</v>
      </c>
      <c r="C12" s="853"/>
      <c r="D12" s="853"/>
      <c r="E12" s="853"/>
      <c r="J12" s="28"/>
    </row>
    <row r="13" spans="1:18" s="17" customFormat="1" ht="105.75" customHeight="1" thickBot="1">
      <c r="A13" s="339" t="s">
        <v>199</v>
      </c>
      <c r="B13" s="307" t="s">
        <v>200</v>
      </c>
      <c r="C13" s="857" t="s">
        <v>201</v>
      </c>
      <c r="D13" s="307" t="s">
        <v>202</v>
      </c>
      <c r="E13" s="307" t="s">
        <v>203</v>
      </c>
      <c r="F13" s="856" t="s">
        <v>204</v>
      </c>
      <c r="G13" s="307" t="s">
        <v>50</v>
      </c>
      <c r="H13" s="857" t="s">
        <v>205</v>
      </c>
      <c r="J13" s="28"/>
    </row>
    <row r="14" spans="1:18" s="17" customFormat="1" ht="20.100000000000001" customHeight="1">
      <c r="A14" s="28" t="s">
        <v>206</v>
      </c>
      <c r="B14" s="1146">
        <v>91.79</v>
      </c>
      <c r="C14" s="1146">
        <v>4.59</v>
      </c>
      <c r="D14" s="1146">
        <v>9.18</v>
      </c>
      <c r="E14" s="1146">
        <v>16.739999999999998</v>
      </c>
      <c r="F14" s="1146">
        <v>4.59</v>
      </c>
      <c r="G14" s="694">
        <f>SUM(B14:F14)</f>
        <v>126.89</v>
      </c>
      <c r="H14" s="367">
        <f>G14*30</f>
        <v>3806.7</v>
      </c>
    </row>
    <row r="15" spans="1:18" s="17" customFormat="1" ht="20.100000000000001" customHeight="1">
      <c r="A15" s="28" t="s">
        <v>207</v>
      </c>
      <c r="B15" s="981">
        <v>82.78</v>
      </c>
      <c r="C15" s="981">
        <v>4.1399999999999997</v>
      </c>
      <c r="D15" s="981">
        <v>8.2799999999999994</v>
      </c>
      <c r="E15" s="981">
        <v>15.88</v>
      </c>
      <c r="F15" s="981">
        <v>4.1399999999999997</v>
      </c>
      <c r="G15" s="694">
        <f>SUM(B15:F15)</f>
        <v>115.22</v>
      </c>
      <c r="H15" s="340">
        <f>G15*30</f>
        <v>3456.6</v>
      </c>
    </row>
    <row r="16" spans="1:18" s="17" customFormat="1" ht="20.100000000000001" customHeight="1" thickBot="1">
      <c r="A16" s="28" t="s">
        <v>82</v>
      </c>
      <c r="B16" s="982">
        <v>73.400000000000006</v>
      </c>
      <c r="C16" s="982">
        <v>7.34</v>
      </c>
      <c r="D16" s="983"/>
      <c r="E16" s="982">
        <v>3.67</v>
      </c>
      <c r="F16" s="982">
        <v>3.67</v>
      </c>
      <c r="G16" s="341">
        <f>SUM(B16:F16)</f>
        <v>88.080000000000013</v>
      </c>
      <c r="H16" s="695">
        <f>G16*30</f>
        <v>2642.4000000000005</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7" t="s">
        <v>209</v>
      </c>
    </row>
    <row r="19" spans="1:11" s="17" customFormat="1" ht="20.100000000000001" customHeight="1">
      <c r="A19" s="28" t="s">
        <v>210</v>
      </c>
      <c r="B19" s="1147">
        <v>31.5</v>
      </c>
      <c r="C19" s="368"/>
      <c r="D19" s="368"/>
      <c r="E19" s="368"/>
      <c r="F19" s="368"/>
      <c r="G19" s="694">
        <f>B19</f>
        <v>31.5</v>
      </c>
      <c r="H19" s="619">
        <f>G19*3</f>
        <v>94.5</v>
      </c>
    </row>
    <row r="20" spans="1:11" s="17" customFormat="1" ht="20.100000000000001" customHeight="1" thickBot="1">
      <c r="A20" s="28" t="s">
        <v>211</v>
      </c>
      <c r="B20" s="1148">
        <v>31.5</v>
      </c>
      <c r="C20" s="322"/>
      <c r="D20" s="322"/>
      <c r="E20" s="322"/>
      <c r="F20" s="322"/>
      <c r="G20" s="343">
        <f>B20</f>
        <v>31.5</v>
      </c>
      <c r="H20" s="573">
        <f>G20*3</f>
        <v>94.5</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6">
        <v>0</v>
      </c>
      <c r="C23" s="322"/>
      <c r="D23" s="322"/>
      <c r="E23" s="322"/>
      <c r="F23" s="322"/>
      <c r="G23" s="697">
        <f>B23</f>
        <v>0</v>
      </c>
      <c r="H23" s="695">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6" t="s">
        <v>204</v>
      </c>
      <c r="H28" s="307" t="s">
        <v>50</v>
      </c>
      <c r="I28" s="857" t="s">
        <v>205</v>
      </c>
      <c r="J28" s="28"/>
      <c r="K28" s="28"/>
    </row>
    <row r="29" spans="1:11" s="17" customFormat="1" ht="20.100000000000001" customHeight="1">
      <c r="A29" s="28" t="str">
        <f t="shared" ref="A29:B31" si="0">A14</f>
        <v>UPPER LEVEL - BACCALAUREATE</v>
      </c>
      <c r="B29" s="347">
        <f t="shared" si="0"/>
        <v>91.79</v>
      </c>
      <c r="C29" s="1146">
        <v>357</v>
      </c>
      <c r="D29" s="1146">
        <v>22.44</v>
      </c>
      <c r="E29" s="543">
        <f>D14</f>
        <v>9.18</v>
      </c>
      <c r="F29" s="1146">
        <v>30.12</v>
      </c>
      <c r="G29" s="1146">
        <v>22.44</v>
      </c>
      <c r="H29" s="348">
        <f>SUM(B29:G29)</f>
        <v>532.97</v>
      </c>
      <c r="I29" s="361">
        <f>H29*30</f>
        <v>15989.1</v>
      </c>
    </row>
    <row r="30" spans="1:11" s="17" customFormat="1" ht="20.100000000000001" customHeight="1">
      <c r="A30" s="28" t="str">
        <f t="shared" si="0"/>
        <v>LOWER LEVEL - CREDIT (A &amp; P, PSV, DEVELOPMENTAL EDUCATION AND EPI)</v>
      </c>
      <c r="B30" s="698">
        <f t="shared" si="0"/>
        <v>82.78</v>
      </c>
      <c r="C30" s="984">
        <v>248.33</v>
      </c>
      <c r="D30" s="984">
        <v>16.559999999999999</v>
      </c>
      <c r="E30" s="699">
        <f>D15</f>
        <v>8.2799999999999994</v>
      </c>
      <c r="F30" s="984">
        <v>27</v>
      </c>
      <c r="G30" s="984">
        <v>16.559999999999999</v>
      </c>
      <c r="H30" s="694">
        <f>SUM(B30:G30)</f>
        <v>399.51</v>
      </c>
      <c r="I30" s="340">
        <f>H30*30</f>
        <v>11985.3</v>
      </c>
    </row>
    <row r="31" spans="1:11" s="17" customFormat="1" ht="20.100000000000001" customHeight="1" thickBot="1">
      <c r="A31" s="28" t="str">
        <f t="shared" si="0"/>
        <v>CAREER CERTIFICATE AND APPLIED TECHNOLOGY DIPLOMA</v>
      </c>
      <c r="B31" s="411">
        <f t="shared" si="0"/>
        <v>73.400000000000006</v>
      </c>
      <c r="C31" s="981">
        <v>220.19</v>
      </c>
      <c r="D31" s="981">
        <v>29.36</v>
      </c>
      <c r="E31" s="322"/>
      <c r="F31" s="981">
        <v>14.68</v>
      </c>
      <c r="G31" s="981">
        <v>14.68</v>
      </c>
      <c r="H31" s="341">
        <f>SUM(B31:G31)</f>
        <v>352.31000000000006</v>
      </c>
      <c r="I31" s="695">
        <f>H31*30</f>
        <v>10569.300000000001</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7" t="s">
        <v>209</v>
      </c>
    </row>
    <row r="34" spans="1:11" s="17" customFormat="1" ht="20.100000000000001" customHeight="1">
      <c r="A34" s="28" t="str">
        <f>A19</f>
        <v>VOCATIONAL PREPARATORY (PER TERM)</v>
      </c>
      <c r="B34" s="351">
        <f>B19</f>
        <v>31.5</v>
      </c>
      <c r="C34" s="368"/>
      <c r="D34" s="368"/>
      <c r="E34" s="368"/>
      <c r="F34" s="368"/>
      <c r="G34" s="368"/>
      <c r="H34" s="700">
        <f>B34</f>
        <v>31.5</v>
      </c>
      <c r="I34" s="362">
        <f>H34*3</f>
        <v>94.5</v>
      </c>
      <c r="J34" s="346"/>
      <c r="K34" s="346"/>
    </row>
    <row r="35" spans="1:11" s="17" customFormat="1" ht="20.100000000000001" customHeight="1" thickBot="1">
      <c r="A35" s="28" t="str">
        <f>A20</f>
        <v>ADULT GENERAL EDUCATION AND SECONDARY (PER TERM)</v>
      </c>
      <c r="B35" s="701">
        <f>B20</f>
        <v>31.5</v>
      </c>
      <c r="C35" s="322"/>
      <c r="D35" s="322"/>
      <c r="E35" s="322"/>
      <c r="F35" s="322"/>
      <c r="G35" s="322"/>
      <c r="H35" s="352">
        <f>B35</f>
        <v>31.5</v>
      </c>
      <c r="I35" s="702">
        <f>H35*3</f>
        <v>94.5</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1">
        <f>B23</f>
        <v>0</v>
      </c>
      <c r="C38" s="322"/>
      <c r="D38" s="322"/>
      <c r="E38" s="322"/>
      <c r="F38" s="322"/>
      <c r="G38" s="322"/>
      <c r="H38" s="703">
        <f>B38</f>
        <v>0</v>
      </c>
      <c r="I38" s="363">
        <f>H38*2</f>
        <v>0</v>
      </c>
    </row>
    <row r="39" spans="1:11" s="17" customFormat="1" ht="20.100000000000001" customHeight="1">
      <c r="A39" s="28"/>
      <c r="B39" s="353" t="s">
        <v>216</v>
      </c>
    </row>
    <row r="40" spans="1:11" ht="35.450000000000003" customHeight="1">
      <c r="A40" s="181"/>
      <c r="B40" s="931" t="s">
        <v>742</v>
      </c>
      <c r="C40" s="931"/>
      <c r="D40" s="931"/>
      <c r="E40" s="931"/>
      <c r="F40" s="931"/>
      <c r="G40" s="931"/>
      <c r="H40" s="931"/>
      <c r="I40" s="931"/>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3" t="s">
        <v>11</v>
      </c>
      <c r="B2" s="933"/>
      <c r="C2" s="933"/>
      <c r="D2" s="933"/>
      <c r="E2" s="933"/>
      <c r="F2" s="933"/>
      <c r="G2" s="933"/>
      <c r="H2" s="855"/>
      <c r="I2" s="28"/>
    </row>
    <row r="3" spans="1:9" ht="20.100000000000001" customHeight="1">
      <c r="A3" s="933" t="s">
        <v>743</v>
      </c>
      <c r="B3" s="933"/>
      <c r="C3" s="933"/>
      <c r="D3" s="933"/>
      <c r="E3" s="933"/>
      <c r="F3" s="933"/>
      <c r="G3" s="933"/>
      <c r="H3" s="855"/>
    </row>
    <row r="4" spans="1:9" ht="20.100000000000001" customHeight="1">
      <c r="A4" s="332"/>
      <c r="B4" s="332"/>
      <c r="C4" s="332"/>
      <c r="D4" s="332"/>
      <c r="E4" s="332"/>
      <c r="F4" s="332"/>
      <c r="G4" s="332"/>
      <c r="H4" s="287"/>
    </row>
    <row r="5" spans="1:9" ht="27.6" customHeight="1" thickBot="1">
      <c r="A5" s="933" t="s">
        <v>218</v>
      </c>
      <c r="B5" s="934" t="str">
        <f>'CHECK SHEET'!D7</f>
        <v>Miami Dade College</v>
      </c>
      <c r="C5" s="934"/>
      <c r="D5" s="934"/>
      <c r="E5" s="934"/>
      <c r="F5" s="934"/>
      <c r="G5" s="332"/>
      <c r="H5" s="932"/>
    </row>
    <row r="6" spans="1:9" ht="20.100000000000001" customHeight="1">
      <c r="A6" s="332"/>
      <c r="B6" s="332"/>
      <c r="C6" s="332"/>
      <c r="D6" s="332"/>
      <c r="E6" s="332"/>
      <c r="F6" s="332"/>
      <c r="G6" s="332"/>
      <c r="H6" s="932"/>
    </row>
    <row r="7" spans="1:9" ht="20.100000000000001" customHeight="1">
      <c r="A7" s="852" t="s">
        <v>219</v>
      </c>
      <c r="B7" s="852"/>
      <c r="C7" s="852"/>
      <c r="D7" s="852"/>
      <c r="E7" s="852"/>
      <c r="F7" s="852"/>
      <c r="G7" s="852"/>
      <c r="H7" s="852"/>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4">
        <v>73700</v>
      </c>
      <c r="E10" s="546">
        <v>0</v>
      </c>
      <c r="F10" s="547">
        <f t="shared" ref="F10:F15" si="0">+D10-E10</f>
        <v>73700</v>
      </c>
      <c r="G10" s="547">
        <f>'EXHIBIT B'!B14</f>
        <v>91.79</v>
      </c>
      <c r="H10" s="548">
        <f t="shared" ref="H10:H15" si="1">ROUND(+F10*G10,0)</f>
        <v>6764923</v>
      </c>
    </row>
    <row r="11" spans="1:9" ht="20.100000000000001" customHeight="1">
      <c r="A11" s="705" t="s">
        <v>200</v>
      </c>
      <c r="B11" s="705" t="s">
        <v>132</v>
      </c>
      <c r="C11" s="706" t="s">
        <v>228</v>
      </c>
      <c r="D11" s="704">
        <v>896017.07</v>
      </c>
      <c r="E11" s="704">
        <v>0</v>
      </c>
      <c r="F11" s="707">
        <f t="shared" si="0"/>
        <v>896017.07</v>
      </c>
      <c r="G11" s="707">
        <f>+'EXHIBIT B'!B15</f>
        <v>82.78</v>
      </c>
      <c r="H11" s="708">
        <f t="shared" si="1"/>
        <v>74172293</v>
      </c>
    </row>
    <row r="12" spans="1:9" ht="20.100000000000001" customHeight="1">
      <c r="A12" s="705" t="s">
        <v>200</v>
      </c>
      <c r="B12" s="705" t="s">
        <v>133</v>
      </c>
      <c r="C12" s="706" t="s">
        <v>229</v>
      </c>
      <c r="D12" s="704">
        <v>107616</v>
      </c>
      <c r="E12" s="704">
        <v>0</v>
      </c>
      <c r="F12" s="707">
        <f t="shared" si="0"/>
        <v>107616</v>
      </c>
      <c r="G12" s="707">
        <f>+'EXHIBIT B'!B15</f>
        <v>82.78</v>
      </c>
      <c r="H12" s="708">
        <f t="shared" si="1"/>
        <v>8908452</v>
      </c>
    </row>
    <row r="13" spans="1:9" ht="20.100000000000001" customHeight="1">
      <c r="A13" s="705" t="s">
        <v>200</v>
      </c>
      <c r="B13" s="705" t="s">
        <v>82</v>
      </c>
      <c r="C13" s="706" t="s">
        <v>230</v>
      </c>
      <c r="D13" s="709">
        <v>19764</v>
      </c>
      <c r="E13" s="709">
        <v>0</v>
      </c>
      <c r="F13" s="707">
        <f t="shared" si="0"/>
        <v>19764</v>
      </c>
      <c r="G13" s="707">
        <f>+'EXHIBIT B'!B16</f>
        <v>73.400000000000006</v>
      </c>
      <c r="H13" s="708">
        <f t="shared" si="1"/>
        <v>1450678</v>
      </c>
    </row>
    <row r="14" spans="1:9" ht="20.100000000000001" customHeight="1">
      <c r="A14" s="705" t="s">
        <v>200</v>
      </c>
      <c r="B14" s="705" t="s">
        <v>134</v>
      </c>
      <c r="C14" s="706" t="s">
        <v>231</v>
      </c>
      <c r="D14" s="704">
        <v>23851</v>
      </c>
      <c r="E14" s="704">
        <v>0</v>
      </c>
      <c r="F14" s="707">
        <f t="shared" si="0"/>
        <v>23851</v>
      </c>
      <c r="G14" s="707">
        <f>+'EXHIBIT B'!B15</f>
        <v>82.78</v>
      </c>
      <c r="H14" s="708">
        <f t="shared" si="1"/>
        <v>1974386</v>
      </c>
    </row>
    <row r="15" spans="1:9" ht="20.100000000000001" customHeight="1" thickBot="1">
      <c r="A15" s="710" t="s">
        <v>200</v>
      </c>
      <c r="B15" s="710" t="s">
        <v>135</v>
      </c>
      <c r="C15" s="711">
        <v>40160</v>
      </c>
      <c r="D15" s="712">
        <v>1073</v>
      </c>
      <c r="E15" s="712">
        <v>0</v>
      </c>
      <c r="F15" s="713">
        <f t="shared" si="0"/>
        <v>1073</v>
      </c>
      <c r="G15" s="713">
        <f>+'EXHIBIT B'!B15</f>
        <v>82.78</v>
      </c>
      <c r="H15" s="714">
        <f t="shared" si="1"/>
        <v>88823</v>
      </c>
    </row>
    <row r="16" spans="1:9" ht="24.95" customHeight="1" thickBot="1">
      <c r="A16" s="298"/>
      <c r="B16" s="298"/>
      <c r="C16" s="298"/>
      <c r="D16" s="299"/>
      <c r="E16" s="299"/>
      <c r="F16" s="300"/>
      <c r="G16" s="300"/>
      <c r="H16" s="301"/>
    </row>
    <row r="17" spans="1:9" ht="24.95" customHeight="1" thickBot="1">
      <c r="A17" s="302"/>
      <c r="B17" s="303" t="s">
        <v>232</v>
      </c>
      <c r="C17" s="303"/>
      <c r="D17" s="304">
        <f>SUM(D10:D15)</f>
        <v>1122021.0699999998</v>
      </c>
      <c r="E17" s="304">
        <f>SUM(E10:E15)</f>
        <v>0</v>
      </c>
      <c r="F17" s="305">
        <f>SUM(F10:F15)</f>
        <v>1122021.0699999998</v>
      </c>
      <c r="G17" s="305"/>
      <c r="H17" s="306">
        <f>SUM(H10:H15)</f>
        <v>93359555</v>
      </c>
    </row>
    <row r="18" spans="1:9" ht="88.35" customHeight="1" thickBot="1">
      <c r="A18" s="307" t="s">
        <v>233</v>
      </c>
      <c r="B18" s="288" t="s">
        <v>221</v>
      </c>
      <c r="C18" s="296" t="s">
        <v>222</v>
      </c>
      <c r="D18" s="307" t="s">
        <v>234</v>
      </c>
      <c r="E18" s="296" t="s">
        <v>225</v>
      </c>
      <c r="F18" s="297" t="s">
        <v>226</v>
      </c>
    </row>
    <row r="19" spans="1:9" ht="24.95" customHeight="1">
      <c r="A19" s="647" t="s">
        <v>215</v>
      </c>
      <c r="B19" s="647" t="s">
        <v>227</v>
      </c>
      <c r="C19" s="715">
        <v>40301</v>
      </c>
      <c r="D19" s="985">
        <v>2010</v>
      </c>
      <c r="E19" s="716">
        <f>'EXHIBIT B'!C29</f>
        <v>357</v>
      </c>
      <c r="F19" s="717">
        <f t="shared" ref="F19:F24" si="2">ROUND(+D19*E19,0)</f>
        <v>717570</v>
      </c>
      <c r="G19" s="308"/>
      <c r="H19" s="308"/>
    </row>
    <row r="20" spans="1:9" ht="20.100000000000001" customHeight="1">
      <c r="A20" s="653" t="s">
        <v>215</v>
      </c>
      <c r="B20" s="653" t="s">
        <v>132</v>
      </c>
      <c r="C20" s="718" t="s">
        <v>235</v>
      </c>
      <c r="D20" s="725">
        <v>51990</v>
      </c>
      <c r="E20" s="719">
        <f>+'EXHIBIT B'!C30</f>
        <v>248.33</v>
      </c>
      <c r="F20" s="720">
        <f t="shared" si="2"/>
        <v>12910677</v>
      </c>
      <c r="G20" s="48"/>
      <c r="H20" s="48"/>
    </row>
    <row r="21" spans="1:9" ht="20.100000000000001" customHeight="1">
      <c r="A21" s="653" t="s">
        <v>215</v>
      </c>
      <c r="B21" s="653" t="s">
        <v>133</v>
      </c>
      <c r="C21" s="718" t="s">
        <v>236</v>
      </c>
      <c r="D21" s="725">
        <v>8256</v>
      </c>
      <c r="E21" s="719">
        <f>+'EXHIBIT B'!C30</f>
        <v>248.33</v>
      </c>
      <c r="F21" s="720">
        <f t="shared" si="2"/>
        <v>2050212</v>
      </c>
      <c r="G21" s="48"/>
      <c r="H21" s="48"/>
    </row>
    <row r="22" spans="1:9" ht="20.100000000000001" customHeight="1">
      <c r="A22" s="653" t="s">
        <v>215</v>
      </c>
      <c r="B22" s="653" t="s">
        <v>82</v>
      </c>
      <c r="C22" s="718" t="s">
        <v>237</v>
      </c>
      <c r="D22" s="725">
        <v>856</v>
      </c>
      <c r="E22" s="719">
        <f>+'EXHIBIT B'!C31</f>
        <v>220.19</v>
      </c>
      <c r="F22" s="720">
        <f t="shared" si="2"/>
        <v>188483</v>
      </c>
      <c r="G22" s="48"/>
      <c r="H22" s="48"/>
    </row>
    <row r="23" spans="1:9" ht="20.100000000000001" customHeight="1">
      <c r="A23" s="653" t="s">
        <v>215</v>
      </c>
      <c r="B23" s="653" t="s">
        <v>134</v>
      </c>
      <c r="C23" s="718" t="s">
        <v>238</v>
      </c>
      <c r="D23" s="725">
        <v>2185</v>
      </c>
      <c r="E23" s="719">
        <f>+'EXHIBIT B'!C30</f>
        <v>248.33</v>
      </c>
      <c r="F23" s="720">
        <f t="shared" si="2"/>
        <v>542601</v>
      </c>
      <c r="G23" s="48"/>
      <c r="H23" s="48"/>
    </row>
    <row r="24" spans="1:9" ht="20.100000000000001" customHeight="1" thickBot="1">
      <c r="A24" s="605" t="s">
        <v>215</v>
      </c>
      <c r="B24" s="605" t="s">
        <v>135</v>
      </c>
      <c r="C24" s="606">
        <v>40360</v>
      </c>
      <c r="D24" s="986">
        <v>0</v>
      </c>
      <c r="E24" s="607">
        <f>+'EXHIBIT B'!C30</f>
        <v>248.33</v>
      </c>
      <c r="F24" s="608">
        <f t="shared" si="2"/>
        <v>0</v>
      </c>
      <c r="G24" s="48"/>
      <c r="H24" s="48"/>
    </row>
    <row r="25" spans="1:9" ht="20.100000000000001" customHeight="1" thickBot="1">
      <c r="A25" s="309"/>
      <c r="B25" s="309"/>
      <c r="C25" s="309"/>
      <c r="D25" s="309"/>
      <c r="E25" s="310"/>
      <c r="F25" s="311"/>
      <c r="G25" s="48"/>
      <c r="H25" s="48"/>
    </row>
    <row r="26" spans="1:9" ht="20.100000000000001" customHeight="1" thickBot="1">
      <c r="A26" s="721"/>
      <c r="B26" s="721" t="s">
        <v>232</v>
      </c>
      <c r="C26" s="721"/>
      <c r="D26" s="722">
        <f>SUM(D19:D24)</f>
        <v>65297</v>
      </c>
      <c r="E26" s="723"/>
      <c r="F26" s="724">
        <f>SUM(F19:F24)</f>
        <v>16409543</v>
      </c>
      <c r="G26" s="312"/>
      <c r="H26" s="312"/>
    </row>
    <row r="27" spans="1:9" ht="20.100000000000001" customHeight="1" thickBot="1">
      <c r="A27" s="313" t="s">
        <v>239</v>
      </c>
      <c r="B27" s="313"/>
      <c r="C27" s="313"/>
      <c r="D27" s="313"/>
      <c r="E27" s="313"/>
      <c r="F27" s="314"/>
      <c r="G27" s="549"/>
      <c r="H27" s="315">
        <f>H17+F26</f>
        <v>109769098</v>
      </c>
    </row>
    <row r="28" spans="1:9" ht="24.95" customHeight="1">
      <c r="I28" s="172"/>
    </row>
    <row r="29" spans="1:9" ht="24.95" customHeight="1">
      <c r="A29" s="852" t="s">
        <v>240</v>
      </c>
      <c r="B29" s="852"/>
      <c r="C29" s="852"/>
      <c r="D29" s="852"/>
      <c r="E29" s="852"/>
      <c r="F29" s="852"/>
      <c r="G29" s="852"/>
      <c r="H29" s="852"/>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7" t="s">
        <v>226</v>
      </c>
      <c r="I31" s="172"/>
    </row>
    <row r="32" spans="1:9" ht="20.100000000000001" customHeight="1">
      <c r="A32" s="550" t="s">
        <v>245</v>
      </c>
      <c r="B32" s="550" t="s">
        <v>246</v>
      </c>
      <c r="C32" s="551" t="s">
        <v>247</v>
      </c>
      <c r="D32" s="552">
        <v>0</v>
      </c>
      <c r="E32" s="552">
        <v>0</v>
      </c>
      <c r="F32" s="553">
        <f>D32-E32</f>
        <v>0</v>
      </c>
      <c r="G32" s="553">
        <f>'EXHIBIT B'!B19</f>
        <v>31.5</v>
      </c>
      <c r="H32" s="554">
        <f>ROUND(+F32*G32,0)</f>
        <v>0</v>
      </c>
    </row>
    <row r="33" spans="1:8" ht="20.100000000000001" customHeight="1">
      <c r="A33" s="653" t="s">
        <v>245</v>
      </c>
      <c r="B33" s="653" t="s">
        <v>248</v>
      </c>
      <c r="C33" s="718" t="s">
        <v>249</v>
      </c>
      <c r="D33" s="725">
        <v>11978</v>
      </c>
      <c r="E33" s="725">
        <v>0</v>
      </c>
      <c r="F33" s="719">
        <f>D33-E33</f>
        <v>11978</v>
      </c>
      <c r="G33" s="719">
        <f>'EXHIBIT B'!B20</f>
        <v>31.5</v>
      </c>
      <c r="H33" s="720">
        <f>ROUND(+F33*G33,0)</f>
        <v>377307</v>
      </c>
    </row>
    <row r="34" spans="1:8" ht="20.100000000000001" customHeight="1">
      <c r="A34" s="653" t="s">
        <v>250</v>
      </c>
      <c r="B34" s="653" t="s">
        <v>246</v>
      </c>
      <c r="C34" s="718">
        <v>40180</v>
      </c>
      <c r="D34" s="725">
        <v>0</v>
      </c>
      <c r="E34" s="725">
        <v>0</v>
      </c>
      <c r="F34" s="719">
        <f>D34-E34</f>
        <v>0</v>
      </c>
      <c r="G34" s="719">
        <f>'EXHIBIT B'!B22</f>
        <v>0</v>
      </c>
      <c r="H34" s="720">
        <f>ROUND(+F34*G34,0)</f>
        <v>0</v>
      </c>
    </row>
    <row r="35" spans="1:8" ht="20.100000000000001" customHeight="1" thickBot="1">
      <c r="A35" s="654" t="s">
        <v>250</v>
      </c>
      <c r="B35" s="654" t="s">
        <v>248</v>
      </c>
      <c r="C35" s="726">
        <v>40190</v>
      </c>
      <c r="D35" s="727">
        <v>0</v>
      </c>
      <c r="E35" s="727">
        <v>0</v>
      </c>
      <c r="F35" s="728">
        <f>D35-E35</f>
        <v>0</v>
      </c>
      <c r="G35" s="728">
        <f>'EXHIBIT B'!B23</f>
        <v>0</v>
      </c>
      <c r="H35" s="729">
        <f>ROUND(+F35*G35,0)</f>
        <v>0</v>
      </c>
    </row>
    <row r="36" spans="1:8" ht="20.100000000000001" customHeight="1" thickBot="1">
      <c r="A36" s="317"/>
      <c r="B36" s="292" t="s">
        <v>251</v>
      </c>
      <c r="C36" s="292"/>
      <c r="D36" s="318">
        <f>SUM(D32:D35)</f>
        <v>11978</v>
      </c>
      <c r="E36" s="318">
        <f>SUM(E32:E35)</f>
        <v>0</v>
      </c>
      <c r="F36" s="319">
        <f>D36-E36</f>
        <v>11978</v>
      </c>
      <c r="G36" s="319"/>
      <c r="H36" s="320">
        <f>SUM(H32:H35)</f>
        <v>377307</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31.5</v>
      </c>
      <c r="F39" s="554">
        <f>D39*E39</f>
        <v>0</v>
      </c>
    </row>
    <row r="40" spans="1:8" ht="20.100000000000001" customHeight="1">
      <c r="A40" s="653" t="s">
        <v>245</v>
      </c>
      <c r="B40" s="653" t="s">
        <v>248</v>
      </c>
      <c r="C40" s="718">
        <v>40390</v>
      </c>
      <c r="D40" s="725">
        <v>0</v>
      </c>
      <c r="E40" s="719">
        <f>'EXHIBIT B'!B35</f>
        <v>31.5</v>
      </c>
      <c r="F40" s="720">
        <f>D40*E40</f>
        <v>0</v>
      </c>
    </row>
    <row r="41" spans="1:8" ht="20.100000000000001" customHeight="1">
      <c r="A41" s="653" t="s">
        <v>250</v>
      </c>
      <c r="B41" s="653" t="s">
        <v>246</v>
      </c>
      <c r="C41" s="718" t="s">
        <v>253</v>
      </c>
      <c r="D41" s="725">
        <v>0</v>
      </c>
      <c r="E41" s="719">
        <f>'EXHIBIT B'!B37</f>
        <v>0</v>
      </c>
      <c r="F41" s="720">
        <f>D41*E41</f>
        <v>0</v>
      </c>
    </row>
    <row r="42" spans="1:8" ht="20.100000000000001" customHeight="1" thickBot="1">
      <c r="A42" s="654" t="s">
        <v>250</v>
      </c>
      <c r="B42" s="654" t="s">
        <v>248</v>
      </c>
      <c r="C42" s="726" t="s">
        <v>254</v>
      </c>
      <c r="D42" s="727">
        <v>0</v>
      </c>
      <c r="E42" s="728">
        <f>'EXHIBIT B'!B38</f>
        <v>0</v>
      </c>
      <c r="F42" s="729">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377307</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110146405</v>
      </c>
    </row>
    <row r="47" spans="1:8" ht="24.75" customHeight="1">
      <c r="A47" s="858"/>
      <c r="B47" s="858"/>
      <c r="C47" s="858"/>
      <c r="D47" s="858"/>
      <c r="E47" s="858"/>
      <c r="F47" s="858"/>
      <c r="G47" s="331"/>
      <c r="H47" s="331"/>
    </row>
    <row r="48" spans="1:8" ht="24.95" customHeight="1">
      <c r="A48" s="28" t="s">
        <v>257</v>
      </c>
      <c r="H48" s="19"/>
    </row>
    <row r="49" spans="1:10" ht="24.95" customHeight="1">
      <c r="A49" s="28"/>
    </row>
    <row r="50" spans="1:10" ht="43.35" customHeight="1" thickBot="1">
      <c r="A50" s="1124" t="s">
        <v>752</v>
      </c>
      <c r="B50" s="1124"/>
      <c r="C50" s="1125"/>
      <c r="D50" s="1125"/>
      <c r="E50" s="1125"/>
      <c r="F50" s="1125"/>
    </row>
    <row r="51" spans="1:10" ht="44.45" customHeight="1" thickBot="1">
      <c r="A51" s="288" t="s">
        <v>258</v>
      </c>
      <c r="B51" s="288" t="s">
        <v>259</v>
      </c>
      <c r="C51" s="935" t="s">
        <v>260</v>
      </c>
      <c r="D51" s="936"/>
      <c r="E51" s="935" t="s">
        <v>261</v>
      </c>
      <c r="F51" s="936"/>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0" t="s">
        <v>691</v>
      </c>
      <c r="B54" s="987">
        <v>0</v>
      </c>
      <c r="C54" s="989"/>
      <c r="D54" s="990"/>
      <c r="E54" s="989"/>
      <c r="F54" s="990"/>
    </row>
    <row r="55" spans="1:10" ht="24.95" customHeight="1">
      <c r="A55" s="731"/>
      <c r="B55" s="725">
        <v>0</v>
      </c>
      <c r="C55" s="991"/>
      <c r="D55" s="992"/>
      <c r="E55" s="991"/>
      <c r="F55" s="992"/>
      <c r="J55" s="92"/>
    </row>
    <row r="56" spans="1:10" ht="24.95" customHeight="1">
      <c r="A56" s="731"/>
      <c r="B56" s="725">
        <v>0</v>
      </c>
      <c r="C56" s="991"/>
      <c r="D56" s="992"/>
      <c r="E56" s="991"/>
      <c r="F56" s="992"/>
    </row>
    <row r="57" spans="1:10" ht="24.95" customHeight="1">
      <c r="A57" s="731"/>
      <c r="B57" s="725">
        <v>0</v>
      </c>
      <c r="C57" s="991"/>
      <c r="D57" s="992"/>
      <c r="E57" s="991"/>
      <c r="F57" s="992"/>
    </row>
    <row r="58" spans="1:10" ht="24.95" customHeight="1">
      <c r="A58" s="731"/>
      <c r="B58" s="725">
        <v>0</v>
      </c>
      <c r="C58" s="991"/>
      <c r="D58" s="992"/>
      <c r="E58" s="991"/>
      <c r="F58" s="992"/>
    </row>
    <row r="59" spans="1:10" ht="24.95" customHeight="1" thickBot="1">
      <c r="A59" s="609"/>
      <c r="B59" s="610">
        <v>0</v>
      </c>
      <c r="C59" s="993"/>
      <c r="D59" s="994"/>
      <c r="E59" s="995"/>
      <c r="F59" s="996"/>
    </row>
    <row r="60" spans="1:10" ht="24.95" customHeight="1" thickBot="1">
      <c r="A60" s="292" t="s">
        <v>262</v>
      </c>
      <c r="B60" s="293">
        <f>SUM(B54:B59)</f>
        <v>0</v>
      </c>
      <c r="C60" s="997"/>
      <c r="D60" s="998"/>
      <c r="E60" s="997"/>
      <c r="F60" s="998"/>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0" t="s">
        <v>692</v>
      </c>
      <c r="B63" s="988">
        <v>0</v>
      </c>
      <c r="C63" s="989"/>
      <c r="D63" s="990"/>
      <c r="E63" s="989"/>
      <c r="F63" s="990"/>
    </row>
    <row r="64" spans="1:10" ht="24.95" customHeight="1">
      <c r="A64" s="731"/>
      <c r="B64" s="725">
        <v>0</v>
      </c>
      <c r="C64" s="991"/>
      <c r="D64" s="992"/>
      <c r="E64" s="991"/>
      <c r="F64" s="992"/>
    </row>
    <row r="65" spans="1:6" ht="24.95" customHeight="1">
      <c r="A65" s="731"/>
      <c r="B65" s="725">
        <v>0</v>
      </c>
      <c r="C65" s="991"/>
      <c r="D65" s="992"/>
      <c r="E65" s="991"/>
      <c r="F65" s="992"/>
    </row>
    <row r="66" spans="1:6" ht="24.95" customHeight="1">
      <c r="A66" s="731"/>
      <c r="B66" s="725">
        <v>0</v>
      </c>
      <c r="C66" s="991"/>
      <c r="D66" s="992"/>
      <c r="E66" s="991"/>
      <c r="F66" s="992"/>
    </row>
    <row r="67" spans="1:6" ht="24.95" customHeight="1">
      <c r="A67" s="731"/>
      <c r="B67" s="725">
        <v>0</v>
      </c>
      <c r="C67" s="991"/>
      <c r="D67" s="992"/>
      <c r="E67" s="991"/>
      <c r="F67" s="992"/>
    </row>
    <row r="68" spans="1:6" ht="24.95" customHeight="1" thickBot="1">
      <c r="A68" s="609"/>
      <c r="B68" s="610">
        <v>0</v>
      </c>
      <c r="C68" s="995"/>
      <c r="D68" s="996"/>
      <c r="E68" s="995"/>
      <c r="F68" s="996"/>
    </row>
    <row r="69" spans="1:6" ht="24.95" customHeight="1" thickBot="1">
      <c r="A69" s="292" t="s">
        <v>263</v>
      </c>
      <c r="B69" s="293">
        <f>SUM(B63:B68)</f>
        <v>0</v>
      </c>
      <c r="C69" s="999"/>
      <c r="D69" s="1000"/>
      <c r="E69" s="999"/>
      <c r="F69" s="1000"/>
    </row>
    <row r="70" spans="1:6" ht="24.95" customHeight="1" thickBot="1">
      <c r="A70" s="292" t="s">
        <v>264</v>
      </c>
      <c r="B70" s="293">
        <f>+B69+B60</f>
        <v>0</v>
      </c>
      <c r="C70" s="999"/>
      <c r="D70" s="1000"/>
      <c r="E70" s="1001"/>
      <c r="F70" s="1002"/>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7" t="s">
        <v>11</v>
      </c>
      <c r="B3" s="927"/>
      <c r="C3" s="927"/>
      <c r="D3" s="927"/>
      <c r="E3" s="927"/>
      <c r="F3" s="286"/>
    </row>
    <row r="4" spans="1:47" s="17" customFormat="1" ht="23.45" customHeight="1">
      <c r="A4" s="927" t="s">
        <v>266</v>
      </c>
      <c r="B4" s="927"/>
      <c r="C4" s="927"/>
      <c r="D4" s="927"/>
      <c r="E4" s="927"/>
      <c r="F4" s="286"/>
    </row>
    <row r="5" spans="1:47" s="17" customFormat="1" ht="23.1" customHeight="1">
      <c r="A5" s="927"/>
      <c r="B5" s="927"/>
      <c r="C5" s="927"/>
      <c r="D5" s="927"/>
      <c r="E5" s="927"/>
      <c r="F5" s="286"/>
    </row>
    <row r="6" spans="1:47" s="17" customFormat="1" ht="24.95" customHeight="1">
      <c r="A6" s="929"/>
      <c r="B6" s="929"/>
      <c r="C6" s="929"/>
      <c r="D6" s="929"/>
      <c r="E6" s="929"/>
      <c r="F6" s="286"/>
    </row>
    <row r="7" spans="1:47" s="17" customFormat="1" ht="24.95" customHeight="1" thickBot="1">
      <c r="A7" s="927" t="s">
        <v>218</v>
      </c>
      <c r="B7" s="930" t="str">
        <f>'CHECK SHEET'!D7</f>
        <v>Miami Dade College</v>
      </c>
      <c r="C7" s="930"/>
      <c r="D7" s="930"/>
      <c r="E7" s="930"/>
      <c r="F7" s="854"/>
    </row>
    <row r="8" spans="1:47" s="17" customFormat="1" ht="24.95" customHeight="1">
      <c r="A8" s="937"/>
      <c r="B8" s="937"/>
      <c r="C8" s="937"/>
      <c r="D8" s="937"/>
      <c r="E8" s="937"/>
    </row>
    <row r="9" spans="1:47" s="17" customFormat="1" ht="24.95" customHeight="1">
      <c r="A9" s="938"/>
      <c r="B9" s="938"/>
      <c r="C9" s="938"/>
      <c r="D9" s="938"/>
      <c r="E9" s="938"/>
    </row>
    <row r="10" spans="1:47" s="17" customFormat="1" ht="42.6" customHeight="1">
      <c r="A10" s="939" t="s">
        <v>267</v>
      </c>
      <c r="B10" s="939"/>
      <c r="C10" s="939"/>
      <c r="D10" s="939"/>
      <c r="E10" s="939"/>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2" t="s">
        <v>200</v>
      </c>
      <c r="B14" s="732" t="s">
        <v>132</v>
      </c>
      <c r="C14" s="733" t="s">
        <v>228</v>
      </c>
      <c r="D14" s="444">
        <v>0</v>
      </c>
      <c r="E14" s="444">
        <v>0</v>
      </c>
    </row>
    <row r="15" spans="1:47" ht="24.95" customHeight="1">
      <c r="A15" s="732" t="s">
        <v>200</v>
      </c>
      <c r="B15" s="732" t="s">
        <v>133</v>
      </c>
      <c r="C15" s="733" t="s">
        <v>229</v>
      </c>
      <c r="D15" s="444">
        <v>0</v>
      </c>
      <c r="E15" s="444">
        <v>0</v>
      </c>
    </row>
    <row r="16" spans="1:47" ht="24.95" customHeight="1">
      <c r="A16" s="732" t="s">
        <v>200</v>
      </c>
      <c r="B16" s="732" t="s">
        <v>82</v>
      </c>
      <c r="C16" s="733" t="s">
        <v>230</v>
      </c>
      <c r="D16" s="444">
        <v>0</v>
      </c>
      <c r="E16" s="444">
        <v>0</v>
      </c>
    </row>
    <row r="17" spans="1:5" ht="24.95" customHeight="1">
      <c r="A17" s="732" t="s">
        <v>200</v>
      </c>
      <c r="B17" s="732" t="s">
        <v>134</v>
      </c>
      <c r="C17" s="733" t="s">
        <v>231</v>
      </c>
      <c r="D17" s="445">
        <v>0</v>
      </c>
      <c r="E17" s="445">
        <v>0</v>
      </c>
    </row>
    <row r="18" spans="1:5" ht="24.95" customHeight="1" thickBot="1">
      <c r="A18" s="732" t="s">
        <v>200</v>
      </c>
      <c r="B18" s="732" t="s">
        <v>135</v>
      </c>
      <c r="C18" s="733">
        <v>40160</v>
      </c>
      <c r="D18" s="446">
        <v>0</v>
      </c>
      <c r="E18" s="446">
        <v>0</v>
      </c>
    </row>
    <row r="19" spans="1:5" ht="24.95" customHeight="1" thickBot="1">
      <c r="A19" s="423"/>
      <c r="B19" s="488"/>
      <c r="C19" s="489"/>
      <c r="D19" s="1003"/>
      <c r="E19" s="1004"/>
    </row>
    <row r="20" spans="1:5" ht="24.95" customHeight="1" thickBot="1">
      <c r="A20" s="734"/>
      <c r="B20" s="734" t="s">
        <v>232</v>
      </c>
      <c r="C20" s="734"/>
      <c r="D20" s="734"/>
      <c r="E20" s="735">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2" t="s">
        <v>215</v>
      </c>
      <c r="B23" s="611" t="s">
        <v>132</v>
      </c>
      <c r="C23" s="632" t="s">
        <v>235</v>
      </c>
      <c r="D23" s="736">
        <v>0</v>
      </c>
      <c r="E23" s="736">
        <v>0</v>
      </c>
    </row>
    <row r="24" spans="1:5" s="177" customFormat="1" ht="24.95" customHeight="1">
      <c r="A24" s="732" t="s">
        <v>215</v>
      </c>
      <c r="B24" s="611" t="s">
        <v>133</v>
      </c>
      <c r="C24" s="632" t="s">
        <v>236</v>
      </c>
      <c r="D24" s="736">
        <v>0</v>
      </c>
      <c r="E24" s="736">
        <v>0</v>
      </c>
    </row>
    <row r="25" spans="1:5" s="177" customFormat="1" ht="24.95" customHeight="1">
      <c r="A25" s="732" t="s">
        <v>215</v>
      </c>
      <c r="B25" s="611" t="s">
        <v>82</v>
      </c>
      <c r="C25" s="632" t="s">
        <v>237</v>
      </c>
      <c r="D25" s="736">
        <v>0</v>
      </c>
      <c r="E25" s="736">
        <v>0</v>
      </c>
    </row>
    <row r="26" spans="1:5" s="177" customFormat="1" ht="24.95" customHeight="1">
      <c r="A26" s="732" t="s">
        <v>215</v>
      </c>
      <c r="B26" s="611" t="s">
        <v>134</v>
      </c>
      <c r="C26" s="632" t="s">
        <v>238</v>
      </c>
      <c r="D26" s="736">
        <v>0</v>
      </c>
      <c r="E26" s="736">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59"/>
      <c r="B33" s="860"/>
      <c r="C33" s="860"/>
      <c r="D33" s="860"/>
      <c r="E33" s="861"/>
    </row>
    <row r="34" spans="1:5" ht="24.95" customHeight="1">
      <c r="A34" s="862"/>
      <c r="B34" s="863"/>
      <c r="C34" s="863"/>
      <c r="D34" s="863"/>
      <c r="E34" s="864"/>
    </row>
    <row r="35" spans="1:5" ht="24.95" customHeight="1">
      <c r="A35" s="862"/>
      <c r="B35" s="863"/>
      <c r="C35" s="863"/>
      <c r="D35" s="863"/>
      <c r="E35" s="864"/>
    </row>
    <row r="36" spans="1:5" ht="24.95" customHeight="1">
      <c r="A36" s="862"/>
      <c r="B36" s="863"/>
      <c r="C36" s="863"/>
      <c r="D36" s="863"/>
      <c r="E36" s="864"/>
    </row>
    <row r="37" spans="1:5" ht="24.95" customHeight="1" thickBot="1">
      <c r="A37" s="865"/>
      <c r="B37" s="866"/>
      <c r="C37" s="866"/>
      <c r="D37" s="866"/>
      <c r="E37" s="867"/>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0"/>
      <c r="B1" s="940"/>
      <c r="C1" s="940"/>
      <c r="D1" s="940"/>
      <c r="E1" s="940"/>
      <c r="F1" s="940"/>
      <c r="G1" s="941"/>
    </row>
    <row r="2" spans="1:8" ht="30" customHeight="1" thickBot="1">
      <c r="A2" s="941" t="s">
        <v>178</v>
      </c>
      <c r="B2" s="930" t="str">
        <f>'CHECK SHEET'!D7</f>
        <v>Miami Dade College</v>
      </c>
      <c r="C2" s="930"/>
      <c r="D2" s="930"/>
      <c r="E2" s="930"/>
      <c r="F2" s="930"/>
      <c r="G2" s="942"/>
    </row>
    <row r="3" spans="1:8" ht="23.1" customHeight="1">
      <c r="A3" s="927" t="s">
        <v>275</v>
      </c>
      <c r="B3" s="927"/>
      <c r="C3" s="927"/>
      <c r="D3" s="927"/>
      <c r="E3" s="927"/>
      <c r="F3" s="927"/>
      <c r="G3" s="927"/>
    </row>
    <row r="4" spans="1:8" ht="23.45" customHeight="1">
      <c r="A4" s="927" t="s">
        <v>276</v>
      </c>
      <c r="B4" s="927"/>
      <c r="C4" s="927"/>
      <c r="D4" s="927"/>
      <c r="E4" s="927"/>
      <c r="F4" s="927"/>
      <c r="G4" s="927"/>
    </row>
    <row r="5" spans="1:8" ht="23.45" customHeight="1">
      <c r="A5" s="927" t="s">
        <v>744</v>
      </c>
      <c r="B5" s="927"/>
      <c r="C5" s="927"/>
      <c r="D5" s="927"/>
      <c r="E5" s="927"/>
      <c r="F5" s="927"/>
      <c r="G5" s="927"/>
    </row>
    <row r="6" spans="1:8" ht="20.100000000000001" customHeight="1">
      <c r="A6" s="943"/>
      <c r="B6" s="943"/>
      <c r="C6" s="943"/>
      <c r="D6" s="943"/>
      <c r="E6" s="943"/>
      <c r="F6" s="943"/>
      <c r="G6" s="943"/>
    </row>
    <row r="7" spans="1:8" ht="38.450000000000003" customHeight="1">
      <c r="A7" s="944" t="s">
        <v>277</v>
      </c>
      <c r="B7" s="944"/>
      <c r="C7" s="944"/>
      <c r="D7" s="944"/>
      <c r="E7" s="944"/>
      <c r="F7" s="944"/>
      <c r="G7" s="944"/>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6764923</v>
      </c>
    </row>
    <row r="13" spans="1:8" ht="20.100000000000001" customHeight="1">
      <c r="A13" s="499" t="s">
        <v>200</v>
      </c>
      <c r="B13" s="184"/>
      <c r="C13" s="177" t="s">
        <v>132</v>
      </c>
      <c r="D13" s="184"/>
      <c r="E13" s="184"/>
      <c r="F13" s="189" t="s">
        <v>228</v>
      </c>
      <c r="G13" s="188">
        <f>+'EXHIBIT C'!H11+'EXHIBIT C(2)'!E14</f>
        <v>74172293</v>
      </c>
    </row>
    <row r="14" spans="1:8" ht="20.100000000000001" customHeight="1">
      <c r="A14" s="499" t="s">
        <v>200</v>
      </c>
      <c r="B14" s="184"/>
      <c r="C14" s="184" t="s">
        <v>133</v>
      </c>
      <c r="D14" s="184"/>
      <c r="E14" s="184"/>
      <c r="F14" s="189" t="s">
        <v>229</v>
      </c>
      <c r="G14" s="520">
        <f>+'EXHIBIT C'!H12+'EXHIBIT C(2)'!E15</f>
        <v>8908452</v>
      </c>
    </row>
    <row r="15" spans="1:8" ht="20.100000000000001" customHeight="1">
      <c r="A15" s="499" t="s">
        <v>200</v>
      </c>
      <c r="B15" s="184"/>
      <c r="C15" s="190" t="s">
        <v>281</v>
      </c>
      <c r="D15" s="184"/>
      <c r="E15" s="184"/>
      <c r="F15" s="189" t="s">
        <v>230</v>
      </c>
      <c r="G15" s="520">
        <f>+'EXHIBIT C'!H13+'EXHIBIT C(2)'!E16</f>
        <v>1450678</v>
      </c>
    </row>
    <row r="16" spans="1:8" ht="20.100000000000001" customHeight="1">
      <c r="A16" s="499" t="s">
        <v>200</v>
      </c>
      <c r="B16" s="184"/>
      <c r="C16" s="190" t="s">
        <v>282</v>
      </c>
      <c r="D16" s="184"/>
      <c r="E16" s="184"/>
      <c r="F16" s="189" t="s">
        <v>231</v>
      </c>
      <c r="G16" s="521">
        <f>+'EXHIBIT C'!H14+'EXHIBIT C(2)'!E17</f>
        <v>1974386</v>
      </c>
    </row>
    <row r="17" spans="1:7" ht="20.100000000000001" customHeight="1">
      <c r="A17" s="499" t="s">
        <v>200</v>
      </c>
      <c r="B17" s="184"/>
      <c r="C17" s="177" t="s">
        <v>135</v>
      </c>
      <c r="D17" s="184"/>
      <c r="E17" s="184"/>
      <c r="F17" s="187">
        <v>40160</v>
      </c>
      <c r="G17" s="521">
        <f>+'EXHIBIT C'!H15+'EXHIBIT C(2)'!E18</f>
        <v>88823</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7">
        <f>SUM(G12:G17)</f>
        <v>93359555</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717570</v>
      </c>
    </row>
    <row r="22" spans="1:7" ht="20.100000000000001" customHeight="1">
      <c r="A22" s="499" t="s">
        <v>215</v>
      </c>
      <c r="B22" s="184"/>
      <c r="C22" s="177" t="s">
        <v>132</v>
      </c>
      <c r="D22" s="184"/>
      <c r="E22" s="184"/>
      <c r="F22" s="189" t="s">
        <v>235</v>
      </c>
      <c r="G22" s="193">
        <f>+'EXHIBIT C'!F20+'EXHIBIT C(2)'!E23</f>
        <v>12910677</v>
      </c>
    </row>
    <row r="23" spans="1:7" ht="20.100000000000001" customHeight="1">
      <c r="A23" s="499" t="s">
        <v>215</v>
      </c>
      <c r="B23" s="184"/>
      <c r="C23" s="184" t="s">
        <v>133</v>
      </c>
      <c r="D23" s="184"/>
      <c r="E23" s="184"/>
      <c r="F23" s="189" t="s">
        <v>236</v>
      </c>
      <c r="G23" s="198">
        <f>+'EXHIBIT C'!F21+'EXHIBIT C(2)'!E24</f>
        <v>2050212</v>
      </c>
    </row>
    <row r="24" spans="1:7" ht="20.100000000000001" customHeight="1">
      <c r="A24" s="499" t="s">
        <v>215</v>
      </c>
      <c r="B24" s="184"/>
      <c r="C24" s="190" t="s">
        <v>281</v>
      </c>
      <c r="D24" s="184"/>
      <c r="E24" s="184"/>
      <c r="F24" s="189" t="s">
        <v>237</v>
      </c>
      <c r="G24" s="198">
        <f>+'EXHIBIT C'!F22+'EXHIBIT C(2)'!E25</f>
        <v>188483</v>
      </c>
    </row>
    <row r="25" spans="1:7" ht="20.100000000000001" customHeight="1">
      <c r="A25" s="499" t="s">
        <v>215</v>
      </c>
      <c r="B25" s="184"/>
      <c r="C25" s="190" t="s">
        <v>282</v>
      </c>
      <c r="D25" s="184"/>
      <c r="E25" s="184"/>
      <c r="F25" s="189" t="s">
        <v>238</v>
      </c>
      <c r="G25" s="198">
        <f>+'EXHIBIT C'!F23+'EXHIBIT C(2)'!E26</f>
        <v>542601</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38">
        <f>SUM(G21:G26)</f>
        <v>16409543</v>
      </c>
    </row>
    <row r="29" spans="1:7" ht="20.100000000000001" customHeight="1">
      <c r="A29" s="499"/>
      <c r="B29" s="184"/>
      <c r="C29" s="184"/>
      <c r="D29" s="184"/>
      <c r="E29" s="184"/>
      <c r="F29" s="189"/>
      <c r="G29" s="195"/>
    </row>
    <row r="30" spans="1:7" ht="20.100000000000001" customHeight="1">
      <c r="A30" s="499" t="s">
        <v>285</v>
      </c>
      <c r="B30" s="184"/>
      <c r="C30" s="868" t="s">
        <v>246</v>
      </c>
      <c r="D30" s="868"/>
      <c r="E30" s="868"/>
      <c r="F30" s="189" t="s">
        <v>247</v>
      </c>
      <c r="G30" s="196">
        <f>'EXHIBIT C'!H32</f>
        <v>0</v>
      </c>
    </row>
    <row r="31" spans="1:7" ht="20.100000000000001" customHeight="1">
      <c r="A31" s="499" t="s">
        <v>285</v>
      </c>
      <c r="B31" s="184"/>
      <c r="C31" s="177" t="s">
        <v>248</v>
      </c>
      <c r="D31" s="184"/>
      <c r="E31" s="184"/>
      <c r="F31" s="189" t="s">
        <v>249</v>
      </c>
      <c r="G31" s="196">
        <f>'EXHIBIT C'!H33</f>
        <v>377307</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38">
        <f>SUM(G30:G33)</f>
        <v>377307</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69" t="s">
        <v>248</v>
      </c>
      <c r="D38" s="869"/>
      <c r="E38" s="869"/>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69" t="s">
        <v>248</v>
      </c>
      <c r="D40" s="869"/>
      <c r="E40" s="869"/>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38">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39">
        <f>G19+G28+G35+G42</f>
        <v>110146405</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6197155</v>
      </c>
    </row>
    <row r="48" spans="1:7" ht="20.100000000000001" customHeight="1">
      <c r="A48" s="499" t="s">
        <v>296</v>
      </c>
      <c r="C48" s="199"/>
      <c r="D48" s="199"/>
      <c r="E48" s="199"/>
      <c r="F48" s="200" t="s">
        <v>297</v>
      </c>
      <c r="G48" s="448">
        <v>1211451</v>
      </c>
    </row>
    <row r="49" spans="1:7" ht="20.100000000000001" customHeight="1">
      <c r="A49" s="499" t="s">
        <v>298</v>
      </c>
      <c r="B49" s="184"/>
      <c r="C49" s="184"/>
      <c r="D49" s="184"/>
      <c r="E49" s="184"/>
      <c r="F49" s="189" t="s">
        <v>299</v>
      </c>
      <c r="G49" s="448">
        <v>1315430</v>
      </c>
    </row>
    <row r="50" spans="1:7" ht="20.100000000000001" customHeight="1">
      <c r="A50" s="499" t="s">
        <v>300</v>
      </c>
      <c r="B50" s="184"/>
      <c r="C50" s="184"/>
      <c r="D50" s="184"/>
      <c r="E50" s="184"/>
      <c r="F50" s="189" t="s">
        <v>301</v>
      </c>
      <c r="G50" s="448">
        <v>13349932</v>
      </c>
    </row>
    <row r="51" spans="1:7" ht="20.100000000000001" customHeight="1">
      <c r="A51" s="499" t="s">
        <v>302</v>
      </c>
      <c r="B51" s="184"/>
      <c r="C51" s="184"/>
      <c r="D51" s="184"/>
      <c r="E51" s="184"/>
      <c r="F51" s="187">
        <v>40450</v>
      </c>
      <c r="G51" s="448">
        <v>0</v>
      </c>
    </row>
    <row r="52" spans="1:7" ht="20.100000000000001" customHeight="1">
      <c r="A52" s="499" t="s">
        <v>303</v>
      </c>
      <c r="B52" s="184"/>
      <c r="C52" s="184"/>
      <c r="D52" s="184"/>
      <c r="E52" s="184"/>
      <c r="F52" s="189" t="s">
        <v>304</v>
      </c>
      <c r="G52" s="448">
        <v>1016185</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0</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v>246701</v>
      </c>
    </row>
    <row r="57" spans="1:7" ht="20.100000000000001" customHeight="1">
      <c r="A57" s="499" t="s">
        <v>313</v>
      </c>
      <c r="B57" s="184"/>
      <c r="C57" s="184"/>
      <c r="D57" s="184"/>
      <c r="E57" s="184"/>
      <c r="F57" s="189" t="s">
        <v>314</v>
      </c>
      <c r="G57" s="448">
        <v>5345893</v>
      </c>
    </row>
    <row r="58" spans="1:7" ht="20.100000000000001" customHeight="1">
      <c r="A58" s="499" t="s">
        <v>315</v>
      </c>
      <c r="B58" s="184"/>
      <c r="C58" s="184"/>
      <c r="D58" s="184"/>
      <c r="E58" s="184"/>
      <c r="F58" s="201" t="s">
        <v>316</v>
      </c>
      <c r="G58" s="448">
        <v>0</v>
      </c>
    </row>
    <row r="59" spans="1:7" ht="20.100000000000001" customHeight="1">
      <c r="A59" s="499" t="s">
        <v>317</v>
      </c>
      <c r="B59" s="184"/>
      <c r="C59" s="184"/>
      <c r="D59" s="184"/>
      <c r="E59" s="184"/>
      <c r="F59" s="189" t="s">
        <v>318</v>
      </c>
      <c r="G59" s="448">
        <v>0</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0"/>
    </row>
    <row r="63" spans="1:7" ht="20.100000000000001" customHeight="1">
      <c r="A63" s="500" t="s">
        <v>323</v>
      </c>
      <c r="B63" s="184"/>
      <c r="C63" s="184"/>
      <c r="D63" s="184"/>
      <c r="E63" s="184"/>
      <c r="F63" s="189"/>
      <c r="G63" s="741">
        <f>SUM(G44:G61)</f>
        <v>138829152</v>
      </c>
    </row>
    <row r="64" spans="1:7" ht="20.100000000000001" customHeight="1">
      <c r="A64" s="499"/>
      <c r="B64" s="184"/>
      <c r="C64" s="184"/>
      <c r="D64" s="184"/>
      <c r="E64" s="184"/>
      <c r="F64" s="189"/>
      <c r="G64" s="194"/>
    </row>
    <row r="65" spans="1:7" ht="20.100000000000001" customHeight="1">
      <c r="A65" s="870" t="s">
        <v>324</v>
      </c>
      <c r="B65" s="871"/>
      <c r="C65" s="871"/>
      <c r="D65" s="871"/>
      <c r="E65" s="871"/>
      <c r="F65" s="872"/>
      <c r="G65" s="742"/>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844299</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0"/>
    </row>
    <row r="71" spans="1:7" ht="20.100000000000001" customHeight="1">
      <c r="A71" s="500" t="s">
        <v>331</v>
      </c>
      <c r="B71" s="184"/>
      <c r="C71" s="184"/>
      <c r="D71" s="184"/>
      <c r="E71" s="184"/>
      <c r="F71" s="189"/>
      <c r="G71" s="222">
        <f>SUM(G67:G69)</f>
        <v>844299</v>
      </c>
    </row>
    <row r="72" spans="1:7" ht="20.100000000000001" customHeight="1">
      <c r="A72" s="743"/>
      <c r="B72" s="574"/>
      <c r="C72" s="574"/>
      <c r="D72" s="574"/>
      <c r="E72" s="574"/>
      <c r="F72" s="575"/>
      <c r="G72" s="744"/>
    </row>
    <row r="73" spans="1:7" ht="20.100000000000001" customHeight="1">
      <c r="A73" s="870" t="s">
        <v>332</v>
      </c>
      <c r="B73" s="871"/>
      <c r="C73" s="871"/>
      <c r="D73" s="871"/>
      <c r="E73" s="871"/>
      <c r="F73" s="872"/>
      <c r="G73" s="633"/>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160382392</v>
      </c>
    </row>
    <row r="76" spans="1:7" ht="20.100000000000001" customHeight="1">
      <c r="A76" s="499" t="s">
        <v>709</v>
      </c>
      <c r="B76" s="184"/>
      <c r="C76" s="184"/>
      <c r="D76" s="184"/>
      <c r="E76" s="184"/>
      <c r="F76" s="187">
        <v>42130</v>
      </c>
      <c r="G76" s="523">
        <v>2299040</v>
      </c>
    </row>
    <row r="77" spans="1:7" ht="20.100000000000001" customHeight="1">
      <c r="A77" s="501" t="s">
        <v>335</v>
      </c>
      <c r="B77" s="502"/>
      <c r="C77" s="502"/>
      <c r="D77" s="502"/>
      <c r="E77" s="502"/>
      <c r="F77" s="203" t="s">
        <v>336</v>
      </c>
      <c r="G77" s="524">
        <v>4236132</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0</v>
      </c>
    </row>
    <row r="80" spans="1:7" ht="20.100000000000001" customHeight="1">
      <c r="A80" s="499" t="s">
        <v>751</v>
      </c>
      <c r="B80" s="184"/>
      <c r="C80" s="184"/>
      <c r="D80" s="184"/>
      <c r="E80" s="184"/>
      <c r="F80" s="189" t="s">
        <v>341</v>
      </c>
      <c r="G80" s="523">
        <v>1755678</v>
      </c>
    </row>
    <row r="81" spans="1:10" ht="20.100000000000001" customHeight="1">
      <c r="A81" s="499" t="s">
        <v>342</v>
      </c>
      <c r="B81" s="184"/>
      <c r="C81" s="184"/>
      <c r="D81" s="184"/>
      <c r="E81" s="184"/>
      <c r="F81" s="189" t="s">
        <v>343</v>
      </c>
      <c r="G81" s="522">
        <f>'CHECK SHEET'!D86</f>
        <v>41626509</v>
      </c>
    </row>
    <row r="82" spans="1:10" ht="20.100000000000001" customHeight="1">
      <c r="A82" s="503" t="s">
        <v>344</v>
      </c>
      <c r="B82" s="504"/>
      <c r="C82" s="504"/>
      <c r="D82" s="504"/>
      <c r="E82" s="504"/>
      <c r="F82" s="202" t="s">
        <v>345</v>
      </c>
      <c r="G82" s="523">
        <v>1600000</v>
      </c>
    </row>
    <row r="83" spans="1:10" ht="20.100000000000001" customHeight="1">
      <c r="A83" s="499" t="s">
        <v>346</v>
      </c>
      <c r="B83" s="184"/>
      <c r="C83" s="184"/>
      <c r="D83" s="184"/>
      <c r="E83" s="184"/>
      <c r="F83" s="189" t="s">
        <v>347</v>
      </c>
      <c r="G83" s="523">
        <v>0</v>
      </c>
    </row>
    <row r="84" spans="1:10" ht="20.100000000000001" customHeight="1">
      <c r="A84" s="499"/>
      <c r="B84" s="184"/>
      <c r="C84" s="184"/>
      <c r="D84" s="184"/>
      <c r="E84" s="184"/>
      <c r="F84" s="189"/>
      <c r="G84" s="745"/>
    </row>
    <row r="85" spans="1:10" ht="20.100000000000001" customHeight="1">
      <c r="A85" s="500" t="s">
        <v>348</v>
      </c>
      <c r="B85" s="184"/>
      <c r="C85" s="184"/>
      <c r="D85" s="184"/>
      <c r="E85" s="184"/>
      <c r="F85" s="189"/>
      <c r="G85" s="223">
        <f>SUM(G75:G83)</f>
        <v>211899751</v>
      </c>
    </row>
    <row r="86" spans="1:10" ht="20.100000000000001" customHeight="1">
      <c r="A86" s="743"/>
      <c r="B86" s="574"/>
      <c r="C86" s="574"/>
      <c r="D86" s="574"/>
      <c r="E86" s="574"/>
      <c r="F86" s="575"/>
      <c r="G86" s="744"/>
    </row>
    <row r="87" spans="1:10" ht="20.100000000000001" customHeight="1">
      <c r="A87" s="873" t="s">
        <v>349</v>
      </c>
      <c r="B87" s="874"/>
      <c r="C87" s="874"/>
      <c r="D87" s="874"/>
      <c r="E87" s="874"/>
      <c r="F87" s="875"/>
      <c r="G87" s="633"/>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5">
        <v>43518</v>
      </c>
      <c r="G90" s="525">
        <v>0</v>
      </c>
      <c r="J90" s="204"/>
    </row>
    <row r="91" spans="1:10" ht="20.100000000000001" customHeight="1">
      <c r="A91" s="499" t="s">
        <v>353</v>
      </c>
      <c r="B91" s="184"/>
      <c r="C91" s="184"/>
      <c r="D91" s="184"/>
      <c r="E91" s="184"/>
      <c r="F91" s="1025">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1350000</v>
      </c>
    </row>
    <row r="95" spans="1:10" ht="20.100000000000001" customHeight="1">
      <c r="A95" s="612"/>
      <c r="B95" s="576"/>
      <c r="C95" s="576"/>
      <c r="D95" s="576"/>
      <c r="E95" s="576"/>
      <c r="F95" s="593"/>
      <c r="G95" s="745"/>
    </row>
    <row r="96" spans="1:10" ht="20.100000000000001" customHeight="1">
      <c r="A96" s="500" t="s">
        <v>356</v>
      </c>
      <c r="B96" s="184"/>
      <c r="C96" s="184"/>
      <c r="D96" s="184"/>
      <c r="E96" s="184"/>
      <c r="F96" s="205"/>
      <c r="G96" s="746">
        <f>SUM(G89:G94)</f>
        <v>1350000</v>
      </c>
    </row>
    <row r="97" spans="1:7" ht="20.100000000000001" customHeight="1">
      <c r="A97" s="499"/>
      <c r="B97" s="184"/>
      <c r="C97" s="184"/>
      <c r="D97" s="184"/>
      <c r="E97" s="184"/>
      <c r="F97" s="189"/>
      <c r="G97" s="206"/>
    </row>
    <row r="98" spans="1:7" ht="20.100000000000001" customHeight="1">
      <c r="A98" s="876" t="s">
        <v>357</v>
      </c>
      <c r="B98" s="877"/>
      <c r="C98" s="877"/>
      <c r="D98" s="877"/>
      <c r="E98" s="877"/>
      <c r="F98" s="878"/>
      <c r="G98" s="747"/>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335000</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48"/>
    </row>
    <row r="105" spans="1:7" ht="20.100000000000001" customHeight="1">
      <c r="A105" s="500" t="s">
        <v>365</v>
      </c>
      <c r="B105" s="184"/>
      <c r="C105" s="184"/>
      <c r="D105" s="184"/>
      <c r="E105" s="184"/>
      <c r="F105" s="189"/>
      <c r="G105" s="746">
        <f>SUM(G100:G103)</f>
        <v>335000</v>
      </c>
    </row>
    <row r="106" spans="1:7" ht="20.100000000000001" customHeight="1">
      <c r="A106" s="499"/>
      <c r="B106" s="184"/>
      <c r="C106" s="184"/>
      <c r="D106" s="184"/>
      <c r="E106" s="184"/>
      <c r="F106" s="189"/>
      <c r="G106" s="206"/>
    </row>
    <row r="107" spans="1:7" ht="20.100000000000001" customHeight="1">
      <c r="A107" s="870" t="s">
        <v>366</v>
      </c>
      <c r="B107" s="871"/>
      <c r="C107" s="871"/>
      <c r="D107" s="871"/>
      <c r="E107" s="871"/>
      <c r="F107" s="872"/>
      <c r="G107" s="749"/>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1245660</v>
      </c>
    </row>
    <row r="111" spans="1:7" ht="20.100000000000001" customHeight="1">
      <c r="A111" s="499" t="s">
        <v>371</v>
      </c>
      <c r="B111" s="184"/>
      <c r="C111" s="184"/>
      <c r="D111" s="184"/>
      <c r="E111" s="184"/>
      <c r="F111" s="189" t="s">
        <v>372</v>
      </c>
      <c r="G111" s="449">
        <v>60000</v>
      </c>
    </row>
    <row r="112" spans="1:7" ht="20.100000000000001" customHeight="1">
      <c r="A112" s="499" t="s">
        <v>373</v>
      </c>
      <c r="B112" s="184"/>
      <c r="C112" s="184"/>
      <c r="D112" s="184"/>
      <c r="E112" s="184"/>
      <c r="F112" s="189" t="s">
        <v>374</v>
      </c>
      <c r="G112" s="449">
        <v>0</v>
      </c>
    </row>
    <row r="113" spans="1:7" ht="20.100000000000001" customHeight="1">
      <c r="A113" s="499" t="s">
        <v>375</v>
      </c>
      <c r="B113" s="184"/>
      <c r="C113" s="184"/>
      <c r="D113" s="184"/>
      <c r="E113" s="184"/>
      <c r="F113" s="189" t="s">
        <v>376</v>
      </c>
      <c r="G113" s="1098">
        <v>0</v>
      </c>
    </row>
    <row r="114" spans="1:7" ht="20.100000000000001" customHeight="1">
      <c r="A114" s="499"/>
      <c r="B114" s="184"/>
      <c r="C114" s="184"/>
      <c r="D114" s="184"/>
      <c r="E114" s="184"/>
      <c r="F114" s="189"/>
      <c r="G114" s="748"/>
    </row>
    <row r="115" spans="1:7" ht="20.100000000000001" customHeight="1">
      <c r="A115" s="750" t="s">
        <v>377</v>
      </c>
      <c r="B115" s="751"/>
      <c r="C115" s="751"/>
      <c r="D115" s="751"/>
      <c r="E115" s="751"/>
      <c r="F115" s="752"/>
      <c r="G115" s="746">
        <f>SUM(G109:G113)</f>
        <v>1305660</v>
      </c>
    </row>
    <row r="116" spans="1:7" ht="20.100000000000001" customHeight="1">
      <c r="A116" s="499"/>
      <c r="B116" s="184"/>
      <c r="C116" s="184"/>
      <c r="D116" s="184"/>
      <c r="E116" s="184"/>
      <c r="F116" s="505"/>
      <c r="G116" s="506"/>
    </row>
    <row r="117" spans="1:7" ht="20.100000000000001" customHeight="1">
      <c r="A117" s="753" t="s">
        <v>378</v>
      </c>
      <c r="B117" s="577"/>
      <c r="C117" s="577"/>
      <c r="D117" s="577"/>
      <c r="E117" s="577"/>
      <c r="F117" s="578" t="s">
        <v>379</v>
      </c>
      <c r="G117" s="754">
        <v>0</v>
      </c>
    </row>
    <row r="118" spans="1:7" ht="20.100000000000001" customHeight="1">
      <c r="A118" s="507"/>
      <c r="F118" s="207"/>
      <c r="G118" s="208"/>
    </row>
    <row r="119" spans="1:7" ht="20.100000000000001" customHeight="1">
      <c r="A119" s="500" t="s">
        <v>380</v>
      </c>
      <c r="C119" s="184"/>
      <c r="D119" s="184"/>
      <c r="F119" s="207"/>
      <c r="G119" s="746">
        <f>G117</f>
        <v>0</v>
      </c>
    </row>
    <row r="120" spans="1:7" ht="20.100000000000001" customHeight="1">
      <c r="A120" s="507"/>
      <c r="F120" s="207"/>
      <c r="G120" s="206"/>
    </row>
    <row r="121" spans="1:7" ht="20.100000000000001" customHeight="1">
      <c r="A121" s="876" t="s">
        <v>381</v>
      </c>
      <c r="B121" s="877"/>
      <c r="C121" s="877"/>
      <c r="D121" s="877"/>
      <c r="E121" s="877"/>
      <c r="F121" s="878"/>
      <c r="G121" s="747"/>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2387367</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0</v>
      </c>
    </row>
    <row r="126" spans="1:7" ht="20.100000000000001" customHeight="1">
      <c r="A126" s="499" t="s">
        <v>388</v>
      </c>
      <c r="B126" s="184"/>
      <c r="C126" s="184"/>
      <c r="D126" s="184"/>
      <c r="E126" s="184"/>
      <c r="F126" s="189" t="s">
        <v>389</v>
      </c>
      <c r="G126" s="449">
        <v>290156</v>
      </c>
    </row>
    <row r="127" spans="1:7" ht="20.100000000000001" customHeight="1">
      <c r="A127" s="499"/>
      <c r="B127" s="184"/>
      <c r="C127" s="184"/>
      <c r="D127" s="184"/>
      <c r="E127" s="184"/>
      <c r="F127" s="189"/>
      <c r="G127" s="748"/>
    </row>
    <row r="128" spans="1:7" ht="20.100000000000001" customHeight="1">
      <c r="A128" s="500" t="s">
        <v>390</v>
      </c>
      <c r="B128" s="184"/>
      <c r="C128" s="184"/>
      <c r="D128" s="184"/>
      <c r="E128" s="184"/>
      <c r="F128" s="189"/>
      <c r="G128" s="746">
        <f>SUM(G123:G126)</f>
        <v>2677523</v>
      </c>
    </row>
    <row r="129" spans="1:7" ht="20.100000000000001" customHeight="1">
      <c r="A129" s="499"/>
      <c r="B129" s="184"/>
      <c r="C129" s="184"/>
      <c r="D129" s="184"/>
      <c r="E129" s="184"/>
      <c r="F129" s="189"/>
      <c r="G129" s="206"/>
    </row>
    <row r="130" spans="1:7" ht="20.100000000000001" customHeight="1">
      <c r="A130" s="870" t="s">
        <v>391</v>
      </c>
      <c r="B130" s="871"/>
      <c r="C130" s="871"/>
      <c r="D130" s="871"/>
      <c r="E130" s="871"/>
      <c r="F130" s="872"/>
      <c r="G130" s="749"/>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5" t="s">
        <v>393</v>
      </c>
      <c r="G132" s="451">
        <v>0</v>
      </c>
    </row>
    <row r="133" spans="1:7" ht="20.100000000000001" customHeight="1">
      <c r="A133" s="499" t="s">
        <v>711</v>
      </c>
      <c r="B133" s="184"/>
      <c r="C133" s="184"/>
      <c r="D133" s="508"/>
      <c r="E133" s="199"/>
      <c r="F133" s="1115">
        <v>49200</v>
      </c>
      <c r="G133" s="449">
        <v>0</v>
      </c>
    </row>
    <row r="134" spans="1:7" ht="20.100000000000001" customHeight="1">
      <c r="A134" s="499" t="s">
        <v>394</v>
      </c>
      <c r="B134" s="184"/>
      <c r="C134" s="184"/>
      <c r="D134" s="184"/>
      <c r="E134" s="184"/>
      <c r="F134" s="1071" t="s">
        <v>395</v>
      </c>
      <c r="G134" s="449">
        <v>0</v>
      </c>
    </row>
    <row r="135" spans="1:7" ht="20.100000000000001" customHeight="1">
      <c r="A135" s="499" t="s">
        <v>396</v>
      </c>
      <c r="B135" s="184"/>
      <c r="C135" s="184"/>
      <c r="D135" s="184"/>
      <c r="E135" s="184"/>
      <c r="F135" s="187">
        <v>49520</v>
      </c>
      <c r="G135" s="449">
        <v>0</v>
      </c>
    </row>
    <row r="136" spans="1:7" ht="20.100000000000001" customHeight="1">
      <c r="A136" s="1040" t="s">
        <v>698</v>
      </c>
      <c r="B136" s="184"/>
      <c r="C136" s="184"/>
      <c r="D136" s="184"/>
      <c r="E136" s="184"/>
      <c r="F136" s="207">
        <v>49521</v>
      </c>
      <c r="G136" s="449">
        <v>14000000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48"/>
    </row>
    <row r="140" spans="1:7" ht="20.100000000000001" customHeight="1">
      <c r="A140" s="500" t="s">
        <v>401</v>
      </c>
      <c r="B140" s="184"/>
      <c r="C140" s="184"/>
      <c r="D140" s="184"/>
      <c r="E140" s="184"/>
      <c r="F140" s="189"/>
      <c r="G140" s="746">
        <f>SUM(G132:G138)</f>
        <v>14000000</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371241385</v>
      </c>
    </row>
    <row r="143" spans="1:7" ht="20.100000000000001" customHeight="1" thickTop="1">
      <c r="A143" s="743"/>
      <c r="B143" s="574"/>
      <c r="C143" s="574"/>
      <c r="D143" s="574"/>
      <c r="E143" s="574"/>
      <c r="F143" s="634"/>
      <c r="G143" s="635"/>
    </row>
    <row r="144" spans="1:7" ht="20.100000000000001" customHeight="1">
      <c r="A144" s="870" t="s">
        <v>403</v>
      </c>
      <c r="B144" s="871"/>
      <c r="C144" s="871"/>
      <c r="D144" s="871"/>
      <c r="E144" s="871"/>
      <c r="F144" s="872"/>
      <c r="G144" s="755"/>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5438734</v>
      </c>
    </row>
    <row r="147" spans="1:7" ht="20.100000000000001" customHeight="1">
      <c r="A147" s="499" t="s">
        <v>406</v>
      </c>
      <c r="F147" s="189" t="s">
        <v>407</v>
      </c>
      <c r="G147" s="453">
        <v>9660987</v>
      </c>
    </row>
    <row r="148" spans="1:7" ht="20.100000000000001" customHeight="1">
      <c r="A148" s="499" t="s">
        <v>408</v>
      </c>
      <c r="F148" s="189" t="s">
        <v>409</v>
      </c>
      <c r="G148" s="453">
        <v>5398867</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v>57262747</v>
      </c>
    </row>
    <row r="152" spans="1:7" ht="20.100000000000001" customHeight="1">
      <c r="A152" s="499" t="s">
        <v>416</v>
      </c>
      <c r="B152" s="184"/>
      <c r="C152" s="184"/>
      <c r="D152" s="184"/>
      <c r="E152" s="184"/>
      <c r="F152" s="189" t="s">
        <v>417</v>
      </c>
      <c r="G152" s="453">
        <v>7097300</v>
      </c>
    </row>
    <row r="153" spans="1:7" ht="20.100000000000001" customHeight="1">
      <c r="A153" s="499" t="s">
        <v>418</v>
      </c>
      <c r="B153" s="184"/>
      <c r="C153" s="184"/>
      <c r="D153" s="184"/>
      <c r="E153" s="184"/>
      <c r="F153" s="189" t="s">
        <v>419</v>
      </c>
      <c r="G153" s="453">
        <v>0</v>
      </c>
    </row>
    <row r="154" spans="1:7" ht="20.100000000000001" customHeight="1">
      <c r="A154" s="499" t="s">
        <v>420</v>
      </c>
      <c r="B154" s="184"/>
      <c r="C154" s="184"/>
      <c r="D154" s="184"/>
      <c r="E154" s="184"/>
      <c r="F154" s="189" t="s">
        <v>421</v>
      </c>
      <c r="G154" s="453">
        <v>3143186</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48690231</v>
      </c>
    </row>
    <row r="162" spans="1:7" ht="20.100000000000001" customHeight="1">
      <c r="A162" s="499" t="s">
        <v>435</v>
      </c>
      <c r="B162" s="184"/>
      <c r="C162" s="184"/>
      <c r="D162" s="184"/>
      <c r="E162" s="184"/>
      <c r="F162" s="189" t="s">
        <v>436</v>
      </c>
      <c r="G162" s="453">
        <v>439959</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14693244</v>
      </c>
    </row>
    <row r="165" spans="1:7" ht="20.100000000000001" customHeight="1">
      <c r="A165" s="499" t="s">
        <v>441</v>
      </c>
      <c r="B165" s="184"/>
      <c r="C165" s="184"/>
      <c r="D165" s="184"/>
      <c r="E165" s="184"/>
      <c r="F165" s="189" t="s">
        <v>442</v>
      </c>
      <c r="G165" s="453">
        <v>840272</v>
      </c>
    </row>
    <row r="166" spans="1:7" ht="20.100000000000001" customHeight="1">
      <c r="A166" s="499" t="s">
        <v>443</v>
      </c>
      <c r="B166" s="184"/>
      <c r="C166" s="184"/>
      <c r="D166" s="184"/>
      <c r="E166" s="184"/>
      <c r="F166" s="189" t="s">
        <v>444</v>
      </c>
      <c r="G166" s="453">
        <v>28238730</v>
      </c>
    </row>
    <row r="167" spans="1:7" ht="20.100000000000001" customHeight="1">
      <c r="A167" s="499" t="s">
        <v>445</v>
      </c>
      <c r="B167" s="184"/>
      <c r="C167" s="184"/>
      <c r="D167" s="184"/>
      <c r="E167" s="184"/>
      <c r="F167" s="189" t="s">
        <v>446</v>
      </c>
      <c r="G167" s="453">
        <v>934576</v>
      </c>
    </row>
    <row r="168" spans="1:7" ht="20.100000000000001" customHeight="1">
      <c r="A168" s="499" t="s">
        <v>447</v>
      </c>
      <c r="B168" s="184"/>
      <c r="C168" s="184"/>
      <c r="D168" s="184"/>
      <c r="E168" s="184"/>
      <c r="F168" s="189" t="s">
        <v>448</v>
      </c>
      <c r="G168" s="453">
        <v>4363180</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27228131</v>
      </c>
    </row>
    <row r="171" spans="1:7" ht="20.100000000000001" customHeight="1">
      <c r="A171" s="499" t="s">
        <v>453</v>
      </c>
      <c r="B171" s="184"/>
      <c r="C171" s="184"/>
      <c r="D171" s="184"/>
      <c r="E171" s="184"/>
      <c r="F171" s="187">
        <v>56001</v>
      </c>
      <c r="G171" s="453">
        <v>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1530957</v>
      </c>
    </row>
    <row r="177" spans="1:7" ht="20.100000000000001" customHeight="1">
      <c r="A177" s="499" t="s">
        <v>462</v>
      </c>
      <c r="B177" s="184"/>
      <c r="C177" s="184"/>
      <c r="D177" s="184"/>
      <c r="E177" s="184"/>
      <c r="F177" s="189" t="s">
        <v>463</v>
      </c>
      <c r="G177" s="453">
        <v>8120386</v>
      </c>
    </row>
    <row r="178" spans="1:7" ht="20.100000000000001" customHeight="1">
      <c r="A178" s="499" t="s">
        <v>464</v>
      </c>
      <c r="B178" s="184"/>
      <c r="C178" s="184"/>
      <c r="D178" s="184"/>
      <c r="E178" s="184"/>
      <c r="F178" s="189" t="s">
        <v>465</v>
      </c>
      <c r="G178" s="453">
        <v>750000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v>14779206</v>
      </c>
    </row>
    <row r="185" spans="1:7" ht="20.100000000000001" customHeight="1">
      <c r="A185" s="499" t="s">
        <v>478</v>
      </c>
      <c r="B185" s="184"/>
      <c r="C185" s="184"/>
      <c r="D185" s="184"/>
      <c r="E185" s="184"/>
      <c r="F185" s="189" t="s">
        <v>479</v>
      </c>
      <c r="G185" s="453">
        <v>26851758</v>
      </c>
    </row>
    <row r="186" spans="1:7" ht="20.100000000000001" customHeight="1">
      <c r="A186" s="499" t="s">
        <v>480</v>
      </c>
      <c r="B186" s="184"/>
      <c r="C186" s="184"/>
      <c r="D186" s="184"/>
      <c r="E186" s="184"/>
      <c r="F186" s="189" t="s">
        <v>481</v>
      </c>
      <c r="G186" s="453">
        <v>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v>26546542</v>
      </c>
    </row>
    <row r="191" spans="1:7" ht="20.100000000000001" customHeight="1">
      <c r="A191" s="499" t="s">
        <v>489</v>
      </c>
      <c r="B191" s="184"/>
      <c r="C191" s="184"/>
      <c r="D191" s="184"/>
      <c r="E191" s="184"/>
      <c r="F191" s="189" t="s">
        <v>490</v>
      </c>
      <c r="G191" s="453">
        <v>500000</v>
      </c>
    </row>
    <row r="192" spans="1:7" ht="20.100000000000001" customHeight="1">
      <c r="A192" s="499" t="s">
        <v>491</v>
      </c>
      <c r="B192" s="184"/>
      <c r="C192" s="184"/>
      <c r="D192" s="184"/>
      <c r="E192" s="184"/>
      <c r="F192" s="189" t="s">
        <v>492</v>
      </c>
      <c r="G192" s="453">
        <v>0</v>
      </c>
    </row>
    <row r="193" spans="1:7" ht="20.100000000000001" customHeight="1">
      <c r="A193" s="499"/>
      <c r="B193" s="184"/>
      <c r="C193" s="184"/>
      <c r="D193" s="184"/>
      <c r="E193" s="184"/>
      <c r="F193" s="189"/>
      <c r="G193" s="756"/>
    </row>
    <row r="194" spans="1:7" ht="20.100000000000001" customHeight="1">
      <c r="A194" s="512" t="s">
        <v>493</v>
      </c>
      <c r="B194" s="513"/>
      <c r="C194" s="513"/>
      <c r="D194" s="513"/>
      <c r="E194" s="513"/>
      <c r="F194" s="526"/>
      <c r="G194" s="527">
        <f>SUM(G146:G192)</f>
        <v>292508993</v>
      </c>
    </row>
    <row r="195" spans="1:7" ht="20.100000000000001" customHeight="1">
      <c r="A195" s="509"/>
      <c r="B195" s="211"/>
      <c r="C195" s="211"/>
      <c r="D195" s="211"/>
      <c r="E195" s="211"/>
      <c r="F195" s="224"/>
      <c r="G195" s="212"/>
    </row>
    <row r="196" spans="1:7" ht="20.100000000000001" customHeight="1">
      <c r="A196" s="757" t="s">
        <v>494</v>
      </c>
      <c r="B196" s="613"/>
      <c r="C196" s="613"/>
      <c r="D196" s="613"/>
      <c r="E196" s="613"/>
      <c r="F196" s="742"/>
      <c r="G196" s="758"/>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638580</v>
      </c>
    </row>
    <row r="199" spans="1:7" ht="20.100000000000001" customHeight="1">
      <c r="A199" s="499" t="s">
        <v>497</v>
      </c>
      <c r="B199" s="184"/>
      <c r="C199" s="184"/>
      <c r="D199" s="184"/>
      <c r="E199" s="184"/>
      <c r="F199" s="189" t="s">
        <v>498</v>
      </c>
      <c r="G199" s="453">
        <v>465454</v>
      </c>
    </row>
    <row r="200" spans="1:7" ht="20.100000000000001" customHeight="1">
      <c r="A200" s="499" t="s">
        <v>499</v>
      </c>
      <c r="B200" s="184"/>
      <c r="C200" s="184"/>
      <c r="D200" s="184"/>
      <c r="E200" s="184"/>
      <c r="F200" s="189" t="s">
        <v>500</v>
      </c>
      <c r="G200" s="453">
        <v>1163167</v>
      </c>
    </row>
    <row r="201" spans="1:7" ht="20.100000000000001" customHeight="1">
      <c r="A201" s="499" t="s">
        <v>501</v>
      </c>
      <c r="B201" s="184"/>
      <c r="C201" s="184"/>
      <c r="D201" s="184"/>
      <c r="E201" s="184"/>
      <c r="F201" s="189" t="s">
        <v>502</v>
      </c>
      <c r="G201" s="453">
        <v>992616</v>
      </c>
    </row>
    <row r="202" spans="1:7" ht="20.100000000000001" customHeight="1">
      <c r="A202" s="499" t="s">
        <v>503</v>
      </c>
      <c r="B202" s="184"/>
      <c r="C202" s="184"/>
      <c r="D202" s="184"/>
      <c r="E202" s="184"/>
      <c r="F202" s="189" t="s">
        <v>504</v>
      </c>
      <c r="G202" s="453">
        <v>3680263</v>
      </c>
    </row>
    <row r="203" spans="1:7" ht="20.100000000000001" customHeight="1">
      <c r="A203" s="499" t="s">
        <v>505</v>
      </c>
      <c r="B203" s="184"/>
      <c r="C203" s="184"/>
      <c r="D203" s="184"/>
      <c r="E203" s="184"/>
      <c r="F203" s="189" t="s">
        <v>506</v>
      </c>
      <c r="G203" s="453">
        <v>1425755</v>
      </c>
    </row>
    <row r="204" spans="1:7" ht="20.100000000000001" customHeight="1">
      <c r="A204" s="499" t="s">
        <v>697</v>
      </c>
      <c r="B204" s="184"/>
      <c r="C204" s="184"/>
      <c r="D204" s="184"/>
      <c r="E204" s="184"/>
      <c r="F204" s="1025">
        <v>63100</v>
      </c>
      <c r="G204" s="453">
        <v>0</v>
      </c>
    </row>
    <row r="205" spans="1:7" ht="20.100000000000001" customHeight="1">
      <c r="A205" s="499" t="s">
        <v>507</v>
      </c>
      <c r="B205" s="184"/>
      <c r="C205" s="184"/>
      <c r="D205" s="184"/>
      <c r="E205" s="184"/>
      <c r="F205" s="189" t="s">
        <v>508</v>
      </c>
      <c r="G205" s="453">
        <v>9834552</v>
      </c>
    </row>
    <row r="206" spans="1:7" ht="20.100000000000001" customHeight="1">
      <c r="A206" s="499" t="s">
        <v>509</v>
      </c>
      <c r="B206" s="184"/>
      <c r="C206" s="184"/>
      <c r="D206" s="184"/>
      <c r="E206" s="184"/>
      <c r="F206" s="189" t="s">
        <v>510</v>
      </c>
      <c r="G206" s="453">
        <v>14199456</v>
      </c>
    </row>
    <row r="207" spans="1:7" ht="20.100000000000001" customHeight="1">
      <c r="A207" s="499" t="s">
        <v>511</v>
      </c>
      <c r="B207" s="184"/>
      <c r="C207" s="184"/>
      <c r="D207" s="184"/>
      <c r="E207" s="184"/>
      <c r="F207" s="189" t="s">
        <v>512</v>
      </c>
      <c r="G207" s="453">
        <v>14147899</v>
      </c>
    </row>
    <row r="208" spans="1:7" ht="20.100000000000001" customHeight="1">
      <c r="A208" s="499" t="s">
        <v>690</v>
      </c>
      <c r="B208" s="184"/>
      <c r="C208" s="184"/>
      <c r="D208" s="184"/>
      <c r="E208" s="184"/>
      <c r="F208" s="189" t="s">
        <v>513</v>
      </c>
      <c r="G208" s="453">
        <v>1100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4617193</v>
      </c>
    </row>
    <row r="211" spans="1:9" ht="20.100000000000001" customHeight="1">
      <c r="A211" s="499" t="s">
        <v>518</v>
      </c>
      <c r="B211" s="184"/>
      <c r="C211" s="184"/>
      <c r="D211" s="184"/>
      <c r="E211" s="184"/>
      <c r="F211" s="189" t="s">
        <v>519</v>
      </c>
      <c r="G211" s="453">
        <v>13820765</v>
      </c>
    </row>
    <row r="212" spans="1:9" ht="20.100000000000001" customHeight="1">
      <c r="A212" s="499" t="s">
        <v>520</v>
      </c>
      <c r="F212" s="207" t="s">
        <v>521</v>
      </c>
      <c r="G212" s="453">
        <v>3206693</v>
      </c>
    </row>
    <row r="213" spans="1:9" ht="20.100000000000001" customHeight="1">
      <c r="A213" s="499" t="s">
        <v>522</v>
      </c>
      <c r="B213" s="184"/>
      <c r="C213" s="184"/>
      <c r="D213" s="184"/>
      <c r="E213" s="184"/>
      <c r="F213" s="189" t="s">
        <v>523</v>
      </c>
      <c r="G213" s="453">
        <v>1228130</v>
      </c>
    </row>
    <row r="214" spans="1:9" ht="20.100000000000001" customHeight="1">
      <c r="A214" s="499" t="s">
        <v>524</v>
      </c>
      <c r="B214" s="184"/>
      <c r="C214" s="184"/>
      <c r="D214" s="184"/>
      <c r="E214" s="184"/>
      <c r="F214" s="189" t="s">
        <v>525</v>
      </c>
      <c r="G214" s="453">
        <v>2075193</v>
      </c>
    </row>
    <row r="215" spans="1:9" ht="20.100000000000001" customHeight="1">
      <c r="A215" s="499" t="s">
        <v>526</v>
      </c>
      <c r="B215" s="184"/>
      <c r="C215" s="184"/>
      <c r="D215" s="184"/>
      <c r="E215" s="184"/>
      <c r="F215" s="189" t="s">
        <v>527</v>
      </c>
      <c r="G215" s="453">
        <v>317738</v>
      </c>
    </row>
    <row r="216" spans="1:9" ht="20.100000000000001" customHeight="1">
      <c r="A216" s="499" t="s">
        <v>528</v>
      </c>
      <c r="B216" s="184"/>
      <c r="C216" s="184"/>
      <c r="D216" s="184"/>
      <c r="E216" s="184"/>
      <c r="F216" s="205" t="s">
        <v>529</v>
      </c>
      <c r="G216" s="453">
        <v>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229196</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712</v>
      </c>
      <c r="B222" s="184"/>
      <c r="C222" s="184"/>
      <c r="D222" s="213"/>
      <c r="E222" s="184"/>
      <c r="F222" s="1117">
        <v>69100</v>
      </c>
      <c r="G222" s="453">
        <v>0</v>
      </c>
    </row>
    <row r="223" spans="1:9" ht="20.100000000000001" customHeight="1">
      <c r="A223" s="510" t="s">
        <v>713</v>
      </c>
      <c r="B223" s="214"/>
      <c r="C223" s="214"/>
      <c r="D223" s="215"/>
      <c r="E223" s="214"/>
      <c r="F223" s="1116">
        <v>69200</v>
      </c>
      <c r="G223" s="453">
        <v>0</v>
      </c>
    </row>
    <row r="224" spans="1:9" ht="20.100000000000001" customHeight="1">
      <c r="A224" s="499" t="s">
        <v>540</v>
      </c>
      <c r="B224" s="184"/>
      <c r="C224" s="184"/>
      <c r="D224" s="184"/>
      <c r="E224" s="184"/>
      <c r="F224" s="189" t="s">
        <v>541</v>
      </c>
      <c r="G224" s="453">
        <v>3389246</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099">
        <v>0</v>
      </c>
    </row>
    <row r="227" spans="1:7" ht="20.100000000000001" customHeight="1">
      <c r="A227" s="499"/>
      <c r="B227" s="184"/>
      <c r="C227" s="184"/>
      <c r="D227" s="184"/>
      <c r="E227" s="184"/>
      <c r="F227" s="189"/>
      <c r="G227" s="217"/>
    </row>
    <row r="228" spans="1:7" ht="20.100000000000001" customHeight="1">
      <c r="A228" s="753" t="s">
        <v>546</v>
      </c>
      <c r="B228" s="574"/>
      <c r="C228" s="574"/>
      <c r="D228" s="574"/>
      <c r="E228" s="574"/>
      <c r="F228" s="575"/>
      <c r="G228" s="636">
        <f>SUM(G198:G226)</f>
        <v>75432996</v>
      </c>
    </row>
    <row r="229" spans="1:7" ht="20.100000000000001" customHeight="1">
      <c r="A229" s="509"/>
      <c r="B229" s="211"/>
      <c r="C229" s="211"/>
      <c r="D229" s="211"/>
      <c r="E229" s="211"/>
      <c r="F229" s="579"/>
      <c r="G229" s="580"/>
    </row>
    <row r="230" spans="1:7" ht="20.100000000000001" customHeight="1">
      <c r="A230" s="870" t="s">
        <v>163</v>
      </c>
      <c r="B230" s="871"/>
      <c r="C230" s="871"/>
      <c r="D230" s="871"/>
      <c r="E230" s="871"/>
      <c r="F230" s="872"/>
      <c r="G230" s="759"/>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0</v>
      </c>
    </row>
    <row r="233" spans="1:7" ht="20.100000000000001" customHeight="1">
      <c r="A233" s="499" t="s">
        <v>549</v>
      </c>
      <c r="B233" s="184"/>
      <c r="C233" s="184"/>
      <c r="D233" s="184"/>
      <c r="E233" s="184"/>
      <c r="F233" s="189" t="s">
        <v>550</v>
      </c>
      <c r="G233" s="453">
        <v>815304</v>
      </c>
    </row>
    <row r="234" spans="1:7" ht="20.100000000000001" customHeight="1">
      <c r="A234" s="499" t="s">
        <v>551</v>
      </c>
      <c r="B234" s="184"/>
      <c r="C234" s="184"/>
      <c r="D234" s="184"/>
      <c r="E234" s="184"/>
      <c r="F234" s="189" t="s">
        <v>552</v>
      </c>
      <c r="G234" s="453">
        <v>198553</v>
      </c>
    </row>
    <row r="235" spans="1:7" ht="20.100000000000001" customHeight="1">
      <c r="A235" s="499" t="s">
        <v>553</v>
      </c>
      <c r="B235" s="184"/>
      <c r="C235" s="184"/>
      <c r="D235" s="184"/>
      <c r="E235" s="184"/>
      <c r="F235" s="1071" t="s">
        <v>554</v>
      </c>
      <c r="G235" s="453">
        <v>0</v>
      </c>
    </row>
    <row r="236" spans="1:7" ht="20.100000000000001" customHeight="1">
      <c r="A236" s="499" t="s">
        <v>701</v>
      </c>
      <c r="B236" s="184"/>
      <c r="C236" s="184"/>
      <c r="D236" s="184"/>
      <c r="E236" s="184"/>
      <c r="F236" s="1071">
        <v>73001</v>
      </c>
      <c r="G236" s="453">
        <v>0</v>
      </c>
    </row>
    <row r="237" spans="1:7" ht="20.100000000000001" customHeight="1">
      <c r="A237" s="499" t="s">
        <v>702</v>
      </c>
      <c r="B237" s="184"/>
      <c r="C237" s="184"/>
      <c r="D237" s="184"/>
      <c r="E237" s="184"/>
      <c r="F237" s="1071">
        <v>73002</v>
      </c>
      <c r="G237" s="453">
        <v>0</v>
      </c>
    </row>
    <row r="238" spans="1:7" ht="20.100000000000001" customHeight="1">
      <c r="A238" s="499" t="s">
        <v>555</v>
      </c>
      <c r="B238" s="184"/>
      <c r="C238" s="184"/>
      <c r="D238" s="184"/>
      <c r="E238" s="184"/>
      <c r="F238" s="207">
        <v>73050</v>
      </c>
      <c r="G238" s="453">
        <v>0</v>
      </c>
    </row>
    <row r="239" spans="1:7" ht="20.100000000000001" customHeight="1">
      <c r="A239" s="499" t="s">
        <v>696</v>
      </c>
      <c r="B239" s="184"/>
      <c r="C239" s="184"/>
      <c r="D239" s="184"/>
      <c r="E239" s="184"/>
      <c r="F239" s="207">
        <v>73100</v>
      </c>
      <c r="G239" s="453">
        <v>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1856207</v>
      </c>
    </row>
    <row r="245" spans="1:7" ht="20.100000000000001" customHeight="1">
      <c r="A245" s="499"/>
      <c r="B245" s="184"/>
      <c r="C245" s="184"/>
      <c r="D245" s="184"/>
      <c r="E245" s="184"/>
      <c r="F245" s="189"/>
      <c r="G245" s="760"/>
    </row>
    <row r="246" spans="1:7" ht="20.100000000000001" customHeight="1">
      <c r="A246" s="753" t="s">
        <v>566</v>
      </c>
      <c r="B246" s="574"/>
      <c r="C246" s="574"/>
      <c r="D246" s="574"/>
      <c r="E246" s="574"/>
      <c r="F246" s="575"/>
      <c r="G246" s="636">
        <f>SUM(G232:G244)</f>
        <v>2870064</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370812053</v>
      </c>
    </row>
    <row r="249" spans="1:7" ht="20.100000000000001" customHeight="1" thickTop="1">
      <c r="A249" s="761"/>
      <c r="B249" s="762"/>
      <c r="C249" s="762"/>
      <c r="D249" s="762"/>
      <c r="E249" s="762"/>
      <c r="F249" s="763"/>
      <c r="G249" s="764"/>
    </row>
    <row r="250" spans="1:7" ht="20.100000000000001" customHeight="1">
      <c r="A250" s="879"/>
      <c r="B250" s="880"/>
      <c r="C250" s="880"/>
      <c r="D250" s="880"/>
      <c r="E250" s="880"/>
      <c r="F250" s="881"/>
      <c r="G250" s="765"/>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28000000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0</v>
      </c>
    </row>
    <row r="260" spans="1:12" ht="20.100000000000001" customHeight="1">
      <c r="A260" s="499" t="s">
        <v>576</v>
      </c>
      <c r="B260" s="184"/>
      <c r="C260" s="184"/>
      <c r="D260" s="184"/>
      <c r="E260" s="184"/>
      <c r="F260" s="201">
        <v>31100</v>
      </c>
      <c r="G260" s="623">
        <v>70508275</v>
      </c>
    </row>
    <row r="261" spans="1:12" ht="20.100000000000001" customHeight="1">
      <c r="A261" s="499"/>
      <c r="B261" s="184"/>
      <c r="C261" s="184"/>
      <c r="D261" s="184"/>
      <c r="E261" s="184"/>
      <c r="F261" s="201"/>
      <c r="G261" s="766"/>
    </row>
    <row r="262" spans="1:12" ht="20.100000000000001" customHeight="1">
      <c r="A262" s="500" t="s">
        <v>577</v>
      </c>
      <c r="B262" s="184"/>
      <c r="C262" s="184"/>
      <c r="D262" s="184"/>
      <c r="E262" s="184"/>
      <c r="F262" s="201"/>
      <c r="G262" s="767">
        <f>SUM(G252:G260)</f>
        <v>98508275</v>
      </c>
    </row>
    <row r="263" spans="1:12" ht="20.100000000000001" customHeight="1">
      <c r="A263" s="500"/>
      <c r="B263" s="184"/>
      <c r="C263" s="184"/>
      <c r="D263" s="184"/>
      <c r="E263" s="184"/>
      <c r="F263" s="201"/>
      <c r="G263" s="217"/>
    </row>
    <row r="264" spans="1:12" ht="20.100000000000001" customHeight="1" thickBot="1">
      <c r="A264" s="511" t="s">
        <v>703</v>
      </c>
      <c r="F264" s="207">
        <v>30800</v>
      </c>
      <c r="G264" s="454">
        <v>-188056435</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-89548160</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3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B245:H245 B244:F244 H244" numberStoredAsText="1"/>
    <ignoredError sqref="G85 G75 G81 G142" evalError="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1" t="s">
        <v>178</v>
      </c>
      <c r="B3" s="930" t="str">
        <f>'CHECK SHEET'!D7</f>
        <v>Miami Dade College</v>
      </c>
      <c r="C3" s="930"/>
      <c r="D3" s="930"/>
      <c r="E3" s="930"/>
      <c r="F3" s="285"/>
      <c r="G3" s="333"/>
    </row>
    <row r="4" spans="1:8" ht="24" customHeight="1">
      <c r="A4" s="927" t="s">
        <v>580</v>
      </c>
      <c r="B4" s="927"/>
      <c r="C4" s="927"/>
      <c r="D4" s="927"/>
      <c r="E4" s="927"/>
      <c r="F4" s="285"/>
    </row>
    <row r="5" spans="1:8" ht="24" customHeight="1">
      <c r="A5" s="927" t="s">
        <v>581</v>
      </c>
      <c r="B5" s="927"/>
      <c r="C5" s="927"/>
      <c r="D5" s="927"/>
      <c r="E5" s="927"/>
      <c r="F5" s="285"/>
    </row>
    <row r="6" spans="1:8" ht="24" customHeight="1">
      <c r="A6" s="927" t="s">
        <v>717</v>
      </c>
      <c r="B6" s="927"/>
      <c r="C6" s="927"/>
      <c r="D6" s="927"/>
      <c r="E6" s="927"/>
      <c r="F6" s="285"/>
    </row>
    <row r="7" spans="1:8" ht="20.100000000000001" customHeight="1">
      <c r="A7" s="855"/>
      <c r="B7" s="855"/>
      <c r="C7" s="855"/>
      <c r="D7" s="932"/>
      <c r="E7" s="932"/>
    </row>
    <row r="8" spans="1:8" ht="24" customHeight="1" thickBot="1">
      <c r="A8" s="882" t="s">
        <v>582</v>
      </c>
      <c r="B8" s="882"/>
      <c r="C8" s="882"/>
      <c r="H8" s="334"/>
    </row>
    <row r="9" spans="1:8" s="17" customFormat="1" ht="64.349999999999994" customHeight="1" thickBot="1">
      <c r="A9" s="288" t="s">
        <v>583</v>
      </c>
      <c r="B9" s="856" t="s">
        <v>584</v>
      </c>
      <c r="C9" s="307" t="s">
        <v>585</v>
      </c>
      <c r="D9" s="307" t="s">
        <v>586</v>
      </c>
      <c r="E9" s="356" t="s">
        <v>50</v>
      </c>
      <c r="F9" s="31"/>
      <c r="H9" s="354"/>
    </row>
    <row r="10" spans="1:8" s="17" customFormat="1" ht="20.100000000000001" customHeight="1">
      <c r="A10" s="370" t="s">
        <v>587</v>
      </c>
      <c r="B10" s="455">
        <v>141983401</v>
      </c>
      <c r="C10" s="456">
        <v>2848042</v>
      </c>
      <c r="D10" s="456">
        <v>45833</v>
      </c>
      <c r="E10" s="371">
        <f>SUM(B10:D10)</f>
        <v>144877276</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1458337</v>
      </c>
      <c r="C12" s="446">
        <v>478599</v>
      </c>
      <c r="D12" s="446">
        <v>0</v>
      </c>
      <c r="E12" s="372">
        <f>SUM(B12:D12)</f>
        <v>1936936</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30593783</v>
      </c>
      <c r="C14" s="458">
        <v>15351347</v>
      </c>
      <c r="D14" s="458">
        <v>407693</v>
      </c>
      <c r="E14" s="372">
        <f t="shared" ref="E14:E20" si="0">SUM(B14:D14)</f>
        <v>46352823</v>
      </c>
      <c r="F14" s="354"/>
    </row>
    <row r="15" spans="1:8" s="17" customFormat="1" ht="20.100000000000001" customHeight="1">
      <c r="A15" s="370" t="s">
        <v>592</v>
      </c>
      <c r="B15" s="457">
        <v>1396785</v>
      </c>
      <c r="C15" s="446">
        <v>1182666</v>
      </c>
      <c r="D15" s="446">
        <v>18000</v>
      </c>
      <c r="E15" s="372">
        <f>SUM(B15:D15)</f>
        <v>2597451</v>
      </c>
      <c r="F15" s="354"/>
    </row>
    <row r="16" spans="1:8" s="17" customFormat="1" ht="20.100000000000001" customHeight="1">
      <c r="A16" s="370" t="s">
        <v>593</v>
      </c>
      <c r="B16" s="457">
        <v>32047831</v>
      </c>
      <c r="C16" s="446">
        <v>2587694</v>
      </c>
      <c r="D16" s="446">
        <v>157781</v>
      </c>
      <c r="E16" s="372">
        <f t="shared" si="0"/>
        <v>34793306</v>
      </c>
      <c r="F16" s="354"/>
    </row>
    <row r="17" spans="1:6" s="17" customFormat="1" ht="20.100000000000001" customHeight="1">
      <c r="A17" s="370" t="s">
        <v>594</v>
      </c>
      <c r="B17" s="457">
        <v>59479117</v>
      </c>
      <c r="C17" s="446">
        <v>30797446</v>
      </c>
      <c r="D17" s="446">
        <v>2076759</v>
      </c>
      <c r="E17" s="372">
        <f t="shared" si="0"/>
        <v>92353322</v>
      </c>
      <c r="F17" s="354"/>
    </row>
    <row r="18" spans="1:6" s="17" customFormat="1" ht="20.100000000000001" customHeight="1">
      <c r="A18" s="370" t="s">
        <v>595</v>
      </c>
      <c r="B18" s="457">
        <v>25549739</v>
      </c>
      <c r="C18" s="446">
        <v>22187202</v>
      </c>
      <c r="D18" s="446">
        <v>163998</v>
      </c>
      <c r="E18" s="372">
        <f t="shared" si="0"/>
        <v>47900939</v>
      </c>
      <c r="F18" s="354"/>
    </row>
    <row r="19" spans="1:6" s="17" customFormat="1" ht="20.100000000000001" customHeight="1">
      <c r="A19" s="370" t="s">
        <v>596</v>
      </c>
      <c r="B19" s="457">
        <v>0</v>
      </c>
      <c r="C19" s="446">
        <v>0</v>
      </c>
      <c r="D19" s="446">
        <v>0</v>
      </c>
      <c r="E19" s="372">
        <f t="shared" si="0"/>
        <v>0</v>
      </c>
      <c r="F19" s="354"/>
    </row>
    <row r="20" spans="1:6" s="17" customFormat="1" ht="20.100000000000001" customHeight="1" thickBot="1">
      <c r="A20" s="370" t="s">
        <v>597</v>
      </c>
      <c r="B20" s="457">
        <v>0</v>
      </c>
      <c r="C20" s="447">
        <v>0</v>
      </c>
      <c r="D20" s="447">
        <v>0</v>
      </c>
      <c r="E20" s="372">
        <f t="shared" si="0"/>
        <v>0</v>
      </c>
      <c r="F20" s="354"/>
    </row>
    <row r="21" spans="1:6" s="17" customFormat="1" ht="24" customHeight="1" thickBot="1">
      <c r="A21" s="295" t="s">
        <v>50</v>
      </c>
      <c r="B21" s="355">
        <f>SUM(B10:B20)</f>
        <v>292508993</v>
      </c>
      <c r="C21" s="358">
        <f>SUM(C10:C20)</f>
        <v>75432996</v>
      </c>
      <c r="D21" s="358">
        <f>SUM(D10:D20)</f>
        <v>2870064</v>
      </c>
      <c r="E21" s="357">
        <f>SUM(E10:E20)</f>
        <v>370812053</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7" t="s">
        <v>178</v>
      </c>
      <c r="B1" s="945" t="str">
        <f>'CHECK SHEET'!D7</f>
        <v>Miami Dade College</v>
      </c>
      <c r="C1" s="945"/>
      <c r="D1" s="945"/>
      <c r="E1" s="945"/>
      <c r="F1" s="945"/>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6" t="s">
        <v>601</v>
      </c>
      <c r="B2" s="946"/>
      <c r="C2" s="946"/>
      <c r="D2" s="946"/>
      <c r="E2" s="946"/>
      <c r="F2" s="946"/>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7" t="s">
        <v>602</v>
      </c>
      <c r="B3" s="927"/>
      <c r="C3" s="927"/>
      <c r="D3" s="927"/>
      <c r="E3" s="927"/>
      <c r="F3" s="927"/>
    </row>
    <row r="4" spans="1:224" ht="30" customHeight="1">
      <c r="A4" s="946" t="s">
        <v>717</v>
      </c>
      <c r="B4" s="946"/>
      <c r="C4" s="946"/>
      <c r="D4" s="946"/>
      <c r="E4" s="946"/>
      <c r="F4" s="94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3"/>
      <c r="B5" s="893"/>
      <c r="C5" s="893"/>
      <c r="D5" s="893"/>
      <c r="E5" s="893"/>
      <c r="F5" s="893"/>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1" t="s">
        <v>582</v>
      </c>
      <c r="B7" s="892"/>
      <c r="C7" s="885" t="s">
        <v>718</v>
      </c>
      <c r="D7" s="886"/>
      <c r="E7" s="886"/>
      <c r="F7" s="887"/>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5" t="s">
        <v>603</v>
      </c>
      <c r="B8" s="1006"/>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3" t="s">
        <v>403</v>
      </c>
      <c r="B9" s="888"/>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68" t="s">
        <v>406</v>
      </c>
      <c r="B11" s="769"/>
      <c r="C11" s="770" t="s">
        <v>407</v>
      </c>
      <c r="D11" s="771">
        <v>249675</v>
      </c>
      <c r="E11" s="771">
        <v>0</v>
      </c>
      <c r="F11" s="772">
        <f t="shared" si="0"/>
        <v>249675</v>
      </c>
      <c r="I11" s="88"/>
      <c r="J11" s="29"/>
      <c r="K11" s="93"/>
      <c r="L11" s="93"/>
      <c r="M11" s="93"/>
      <c r="N11" s="93"/>
    </row>
    <row r="12" spans="1:224" s="17" customFormat="1" ht="30" customHeight="1">
      <c r="A12" s="768" t="s">
        <v>408</v>
      </c>
      <c r="B12" s="769"/>
      <c r="C12" s="770" t="s">
        <v>409</v>
      </c>
      <c r="D12" s="771">
        <v>0</v>
      </c>
      <c r="E12" s="771">
        <v>0</v>
      </c>
      <c r="F12" s="772">
        <f t="shared" si="0"/>
        <v>0</v>
      </c>
      <c r="I12" s="88"/>
      <c r="J12" s="29"/>
      <c r="K12" s="93"/>
      <c r="L12" s="93"/>
      <c r="M12" s="93"/>
      <c r="N12" s="93"/>
    </row>
    <row r="13" spans="1:224" s="17" customFormat="1" ht="30" customHeight="1">
      <c r="A13" s="768" t="s">
        <v>410</v>
      </c>
      <c r="B13" s="769"/>
      <c r="C13" s="770" t="s">
        <v>411</v>
      </c>
      <c r="D13" s="771">
        <v>0</v>
      </c>
      <c r="E13" s="771">
        <v>0</v>
      </c>
      <c r="F13" s="772">
        <f t="shared" si="0"/>
        <v>0</v>
      </c>
      <c r="I13" s="88"/>
      <c r="J13" s="29"/>
      <c r="K13" s="93"/>
      <c r="L13" s="93"/>
      <c r="M13" s="93"/>
      <c r="N13" s="93"/>
    </row>
    <row r="14" spans="1:224" s="17" customFormat="1" ht="30" customHeight="1">
      <c r="A14" s="768" t="s">
        <v>412</v>
      </c>
      <c r="B14" s="769"/>
      <c r="C14" s="770" t="s">
        <v>413</v>
      </c>
      <c r="D14" s="771">
        <v>0</v>
      </c>
      <c r="E14" s="771">
        <v>0</v>
      </c>
      <c r="F14" s="772">
        <f t="shared" si="0"/>
        <v>0</v>
      </c>
      <c r="I14" s="88"/>
      <c r="J14" s="29"/>
      <c r="K14" s="93"/>
      <c r="L14" s="93"/>
      <c r="M14" s="93"/>
      <c r="N14" s="93"/>
    </row>
    <row r="15" spans="1:224" s="17" customFormat="1" ht="30" customHeight="1">
      <c r="A15" s="768" t="s">
        <v>414</v>
      </c>
      <c r="B15" s="769"/>
      <c r="C15" s="770" t="s">
        <v>415</v>
      </c>
      <c r="D15" s="771">
        <v>4090024</v>
      </c>
      <c r="E15" s="771">
        <v>0</v>
      </c>
      <c r="F15" s="772">
        <f t="shared" si="0"/>
        <v>4090024</v>
      </c>
      <c r="I15" s="88"/>
      <c r="J15" s="29"/>
      <c r="K15" s="93"/>
      <c r="L15" s="93"/>
      <c r="M15" s="93"/>
      <c r="N15" s="93"/>
    </row>
    <row r="16" spans="1:224" s="17" customFormat="1" ht="30" customHeight="1">
      <c r="A16" s="768" t="s">
        <v>416</v>
      </c>
      <c r="B16" s="769"/>
      <c r="C16" s="770" t="s">
        <v>417</v>
      </c>
      <c r="D16" s="771">
        <v>0</v>
      </c>
      <c r="E16" s="771">
        <v>0</v>
      </c>
      <c r="F16" s="772">
        <f t="shared" si="0"/>
        <v>0</v>
      </c>
    </row>
    <row r="17" spans="1:6" s="17" customFormat="1" ht="30" customHeight="1">
      <c r="A17" s="768" t="s">
        <v>418</v>
      </c>
      <c r="B17" s="769"/>
      <c r="C17" s="770" t="s">
        <v>419</v>
      </c>
      <c r="D17" s="771">
        <v>0</v>
      </c>
      <c r="E17" s="771">
        <v>0</v>
      </c>
      <c r="F17" s="772">
        <f t="shared" si="0"/>
        <v>0</v>
      </c>
    </row>
    <row r="18" spans="1:6" s="17" customFormat="1" ht="30" customHeight="1">
      <c r="A18" s="768" t="s">
        <v>420</v>
      </c>
      <c r="B18" s="769"/>
      <c r="C18" s="770" t="s">
        <v>421</v>
      </c>
      <c r="D18" s="771">
        <v>0</v>
      </c>
      <c r="E18" s="771">
        <v>0</v>
      </c>
      <c r="F18" s="772">
        <f t="shared" si="0"/>
        <v>0</v>
      </c>
    </row>
    <row r="19" spans="1:6" s="17" customFormat="1" ht="30" customHeight="1">
      <c r="A19" s="768" t="s">
        <v>710</v>
      </c>
      <c r="B19" s="769"/>
      <c r="C19" s="770" t="s">
        <v>423</v>
      </c>
      <c r="D19" s="771">
        <v>0</v>
      </c>
      <c r="E19" s="771">
        <v>0</v>
      </c>
      <c r="F19" s="772">
        <f t="shared" si="0"/>
        <v>0</v>
      </c>
    </row>
    <row r="20" spans="1:6" s="17" customFormat="1" ht="30" customHeight="1">
      <c r="A20" s="768" t="s">
        <v>424</v>
      </c>
      <c r="B20" s="769"/>
      <c r="C20" s="770">
        <v>52500</v>
      </c>
      <c r="D20" s="771">
        <v>0</v>
      </c>
      <c r="E20" s="771">
        <v>0</v>
      </c>
      <c r="F20" s="772">
        <f>+D20+E20</f>
        <v>0</v>
      </c>
    </row>
    <row r="21" spans="1:6" s="17" customFormat="1" ht="30" customHeight="1">
      <c r="A21" s="768" t="s">
        <v>425</v>
      </c>
      <c r="B21" s="769"/>
      <c r="C21" s="770" t="s">
        <v>426</v>
      </c>
      <c r="D21" s="771">
        <v>0</v>
      </c>
      <c r="E21" s="771">
        <v>0</v>
      </c>
      <c r="F21" s="772">
        <f t="shared" si="0"/>
        <v>0</v>
      </c>
    </row>
    <row r="22" spans="1:6" s="17" customFormat="1" ht="30" customHeight="1">
      <c r="A22" s="768" t="s">
        <v>427</v>
      </c>
      <c r="B22" s="769"/>
      <c r="C22" s="770" t="s">
        <v>428</v>
      </c>
      <c r="D22" s="771">
        <v>0</v>
      </c>
      <c r="E22" s="771">
        <v>0</v>
      </c>
      <c r="F22" s="772">
        <f t="shared" si="0"/>
        <v>0</v>
      </c>
    </row>
    <row r="23" spans="1:6" s="17" customFormat="1" ht="30" customHeight="1">
      <c r="A23" s="768" t="s">
        <v>429</v>
      </c>
      <c r="B23" s="769"/>
      <c r="C23" s="770" t="s">
        <v>430</v>
      </c>
      <c r="D23" s="771">
        <v>0</v>
      </c>
      <c r="E23" s="771">
        <v>0</v>
      </c>
      <c r="F23" s="772">
        <f t="shared" si="0"/>
        <v>0</v>
      </c>
    </row>
    <row r="24" spans="1:6" s="17" customFormat="1" ht="30" customHeight="1">
      <c r="A24" s="768" t="s">
        <v>431</v>
      </c>
      <c r="B24" s="769"/>
      <c r="C24" s="770" t="s">
        <v>432</v>
      </c>
      <c r="D24" s="771">
        <v>0</v>
      </c>
      <c r="E24" s="771">
        <v>0</v>
      </c>
      <c r="F24" s="772">
        <f t="shared" si="0"/>
        <v>0</v>
      </c>
    </row>
    <row r="25" spans="1:6" s="17" customFormat="1" ht="30" customHeight="1">
      <c r="A25" s="768" t="s">
        <v>433</v>
      </c>
      <c r="B25" s="769"/>
      <c r="C25" s="770" t="s">
        <v>434</v>
      </c>
      <c r="D25" s="771">
        <v>518297</v>
      </c>
      <c r="E25" s="771">
        <v>0</v>
      </c>
      <c r="F25" s="772">
        <f t="shared" si="0"/>
        <v>518297</v>
      </c>
    </row>
    <row r="26" spans="1:6" s="17" customFormat="1" ht="30" customHeight="1">
      <c r="A26" s="768" t="s">
        <v>435</v>
      </c>
      <c r="B26" s="769"/>
      <c r="C26" s="770" t="s">
        <v>436</v>
      </c>
      <c r="D26" s="771">
        <v>44</v>
      </c>
      <c r="E26" s="771">
        <v>0</v>
      </c>
      <c r="F26" s="772">
        <f t="shared" si="0"/>
        <v>44</v>
      </c>
    </row>
    <row r="27" spans="1:6" s="17" customFormat="1" ht="30" customHeight="1">
      <c r="A27" s="768" t="s">
        <v>437</v>
      </c>
      <c r="B27" s="769"/>
      <c r="C27" s="770" t="s">
        <v>438</v>
      </c>
      <c r="D27" s="771">
        <v>0</v>
      </c>
      <c r="E27" s="771">
        <v>0</v>
      </c>
      <c r="F27" s="772">
        <f t="shared" si="0"/>
        <v>0</v>
      </c>
    </row>
    <row r="28" spans="1:6" s="17" customFormat="1" ht="30" customHeight="1">
      <c r="A28" s="768" t="s">
        <v>439</v>
      </c>
      <c r="B28" s="769"/>
      <c r="C28" s="770" t="s">
        <v>440</v>
      </c>
      <c r="D28" s="771">
        <v>0</v>
      </c>
      <c r="E28" s="771">
        <v>0</v>
      </c>
      <c r="F28" s="772">
        <f t="shared" si="0"/>
        <v>0</v>
      </c>
    </row>
    <row r="29" spans="1:6" s="17" customFormat="1" ht="30" customHeight="1">
      <c r="A29" s="768" t="s">
        <v>441</v>
      </c>
      <c r="B29" s="769"/>
      <c r="C29" s="770" t="s">
        <v>442</v>
      </c>
      <c r="D29" s="771">
        <v>63264</v>
      </c>
      <c r="E29" s="771">
        <v>0</v>
      </c>
      <c r="F29" s="772">
        <f t="shared" si="0"/>
        <v>63264</v>
      </c>
    </row>
    <row r="30" spans="1:6" s="17" customFormat="1" ht="30" customHeight="1">
      <c r="A30" s="768" t="s">
        <v>443</v>
      </c>
      <c r="B30" s="769"/>
      <c r="C30" s="770" t="s">
        <v>444</v>
      </c>
      <c r="D30" s="771">
        <v>103841</v>
      </c>
      <c r="E30" s="771">
        <v>0</v>
      </c>
      <c r="F30" s="772">
        <f t="shared" si="0"/>
        <v>103841</v>
      </c>
    </row>
    <row r="31" spans="1:6" s="17" customFormat="1" ht="30" customHeight="1">
      <c r="A31" s="768" t="s">
        <v>445</v>
      </c>
      <c r="B31" s="769"/>
      <c r="C31" s="770" t="s">
        <v>446</v>
      </c>
      <c r="D31" s="771">
        <v>22</v>
      </c>
      <c r="E31" s="771">
        <v>0</v>
      </c>
      <c r="F31" s="772">
        <f t="shared" si="0"/>
        <v>22</v>
      </c>
    </row>
    <row r="32" spans="1:6" s="17" customFormat="1" ht="30" customHeight="1">
      <c r="A32" s="768" t="s">
        <v>447</v>
      </c>
      <c r="B32" s="769"/>
      <c r="C32" s="770" t="s">
        <v>448</v>
      </c>
      <c r="D32" s="771">
        <v>31220</v>
      </c>
      <c r="E32" s="771">
        <v>0</v>
      </c>
      <c r="F32" s="772">
        <f>+D32+E32</f>
        <v>31220</v>
      </c>
    </row>
    <row r="33" spans="1:6" s="17" customFormat="1" ht="30" customHeight="1">
      <c r="A33" s="768" t="s">
        <v>449</v>
      </c>
      <c r="B33" s="769"/>
      <c r="C33" s="770" t="s">
        <v>450</v>
      </c>
      <c r="D33" s="771">
        <v>0</v>
      </c>
      <c r="E33" s="771">
        <v>0</v>
      </c>
      <c r="F33" s="772">
        <f t="shared" si="0"/>
        <v>0</v>
      </c>
    </row>
    <row r="34" spans="1:6" s="17" customFormat="1" ht="30" customHeight="1">
      <c r="A34" s="768" t="s">
        <v>451</v>
      </c>
      <c r="B34" s="769"/>
      <c r="C34" s="770" t="s">
        <v>452</v>
      </c>
      <c r="D34" s="771">
        <v>0</v>
      </c>
      <c r="E34" s="771">
        <v>0</v>
      </c>
      <c r="F34" s="772">
        <f t="shared" si="0"/>
        <v>0</v>
      </c>
    </row>
    <row r="35" spans="1:6" s="17" customFormat="1" ht="30" customHeight="1">
      <c r="A35" s="768" t="s">
        <v>453</v>
      </c>
      <c r="B35" s="769"/>
      <c r="C35" s="770">
        <v>56001</v>
      </c>
      <c r="D35" s="771">
        <v>0</v>
      </c>
      <c r="E35" s="771">
        <v>0</v>
      </c>
      <c r="F35" s="772">
        <f>+D35+E35</f>
        <v>0</v>
      </c>
    </row>
    <row r="36" spans="1:6" s="17" customFormat="1" ht="30" customHeight="1">
      <c r="A36" s="768" t="s">
        <v>454</v>
      </c>
      <c r="B36" s="769"/>
      <c r="C36" s="770">
        <v>56002</v>
      </c>
      <c r="D36" s="771">
        <v>0</v>
      </c>
      <c r="E36" s="771">
        <v>0</v>
      </c>
      <c r="F36" s="772">
        <f>+D36+E36</f>
        <v>0</v>
      </c>
    </row>
    <row r="37" spans="1:6" s="17" customFormat="1" ht="30" customHeight="1">
      <c r="A37" s="768" t="s">
        <v>455</v>
      </c>
      <c r="B37" s="769"/>
      <c r="C37" s="770">
        <v>56003</v>
      </c>
      <c r="D37" s="771">
        <v>0</v>
      </c>
      <c r="E37" s="771">
        <v>0</v>
      </c>
      <c r="F37" s="772">
        <f>+D37+E37</f>
        <v>0</v>
      </c>
    </row>
    <row r="38" spans="1:6" s="17" customFormat="1" ht="30" customHeight="1">
      <c r="A38" s="768" t="s">
        <v>456</v>
      </c>
      <c r="B38" s="769"/>
      <c r="C38" s="770" t="s">
        <v>457</v>
      </c>
      <c r="D38" s="771">
        <v>0</v>
      </c>
      <c r="E38" s="771">
        <v>0</v>
      </c>
      <c r="F38" s="772">
        <f>+D38+E38</f>
        <v>0</v>
      </c>
    </row>
    <row r="39" spans="1:6" s="17" customFormat="1" ht="30" customHeight="1">
      <c r="A39" s="768" t="s">
        <v>458</v>
      </c>
      <c r="B39" s="769"/>
      <c r="C39" s="770" t="s">
        <v>459</v>
      </c>
      <c r="D39" s="771">
        <v>0</v>
      </c>
      <c r="E39" s="771">
        <v>0</v>
      </c>
      <c r="F39" s="772">
        <f t="shared" si="0"/>
        <v>0</v>
      </c>
    </row>
    <row r="40" spans="1:6" s="17" customFormat="1" ht="30" customHeight="1">
      <c r="A40" s="768" t="s">
        <v>460</v>
      </c>
      <c r="B40" s="769"/>
      <c r="C40" s="770" t="s">
        <v>461</v>
      </c>
      <c r="D40" s="771">
        <v>126963</v>
      </c>
      <c r="E40" s="771">
        <v>0</v>
      </c>
      <c r="F40" s="772">
        <f t="shared" si="0"/>
        <v>126963</v>
      </c>
    </row>
    <row r="41" spans="1:6" s="17" customFormat="1" ht="30" customHeight="1">
      <c r="A41" s="768" t="s">
        <v>462</v>
      </c>
      <c r="B41" s="769"/>
      <c r="C41" s="770" t="s">
        <v>463</v>
      </c>
      <c r="D41" s="771">
        <v>43034</v>
      </c>
      <c r="E41" s="771">
        <v>0</v>
      </c>
      <c r="F41" s="772">
        <f t="shared" si="0"/>
        <v>43034</v>
      </c>
    </row>
    <row r="42" spans="1:6" s="17" customFormat="1" ht="30" customHeight="1">
      <c r="A42" s="768" t="s">
        <v>464</v>
      </c>
      <c r="B42" s="769"/>
      <c r="C42" s="770" t="s">
        <v>465</v>
      </c>
      <c r="D42" s="771">
        <v>0</v>
      </c>
      <c r="E42" s="771">
        <v>0</v>
      </c>
      <c r="F42" s="772">
        <f t="shared" si="0"/>
        <v>0</v>
      </c>
    </row>
    <row r="43" spans="1:6" s="17" customFormat="1" ht="30" customHeight="1">
      <c r="A43" s="768" t="s">
        <v>466</v>
      </c>
      <c r="B43" s="769"/>
      <c r="C43" s="770" t="s">
        <v>467</v>
      </c>
      <c r="D43" s="771">
        <v>0</v>
      </c>
      <c r="E43" s="771">
        <v>0</v>
      </c>
      <c r="F43" s="772">
        <f t="shared" si="0"/>
        <v>0</v>
      </c>
    </row>
    <row r="44" spans="1:6" s="17" customFormat="1" ht="30" customHeight="1">
      <c r="A44" s="768" t="s">
        <v>468</v>
      </c>
      <c r="B44" s="769"/>
      <c r="C44" s="770" t="s">
        <v>469</v>
      </c>
      <c r="D44" s="771">
        <v>0</v>
      </c>
      <c r="E44" s="771">
        <v>0</v>
      </c>
      <c r="F44" s="772">
        <f t="shared" si="0"/>
        <v>0</v>
      </c>
    </row>
    <row r="45" spans="1:6" s="17" customFormat="1" ht="30" customHeight="1">
      <c r="A45" s="768" t="s">
        <v>470</v>
      </c>
      <c r="B45" s="769"/>
      <c r="C45" s="770" t="s">
        <v>471</v>
      </c>
      <c r="D45" s="771">
        <v>0</v>
      </c>
      <c r="E45" s="771">
        <v>0</v>
      </c>
      <c r="F45" s="772">
        <f t="shared" si="0"/>
        <v>0</v>
      </c>
    </row>
    <row r="46" spans="1:6" s="17" customFormat="1" ht="30" customHeight="1">
      <c r="A46" s="768" t="s">
        <v>472</v>
      </c>
      <c r="B46" s="769"/>
      <c r="C46" s="770" t="s">
        <v>473</v>
      </c>
      <c r="D46" s="771">
        <v>0</v>
      </c>
      <c r="E46" s="771">
        <v>0</v>
      </c>
      <c r="F46" s="772">
        <f t="shared" si="0"/>
        <v>0</v>
      </c>
    </row>
    <row r="47" spans="1:6" s="17" customFormat="1" ht="30" customHeight="1">
      <c r="A47" s="768" t="s">
        <v>474</v>
      </c>
      <c r="B47" s="769"/>
      <c r="C47" s="770" t="s">
        <v>475</v>
      </c>
      <c r="D47" s="771">
        <v>0</v>
      </c>
      <c r="E47" s="771">
        <v>0</v>
      </c>
      <c r="F47" s="772">
        <f t="shared" si="0"/>
        <v>0</v>
      </c>
    </row>
    <row r="48" spans="1:6" s="17" customFormat="1" ht="30" customHeight="1">
      <c r="A48" s="768" t="s">
        <v>476</v>
      </c>
      <c r="B48" s="769"/>
      <c r="C48" s="770" t="s">
        <v>477</v>
      </c>
      <c r="D48" s="771">
        <v>420124</v>
      </c>
      <c r="E48" s="771">
        <v>0</v>
      </c>
      <c r="F48" s="772">
        <f t="shared" si="0"/>
        <v>420124</v>
      </c>
    </row>
    <row r="49" spans="1:6" s="17" customFormat="1" ht="30" customHeight="1">
      <c r="A49" s="768" t="s">
        <v>478</v>
      </c>
      <c r="B49" s="769"/>
      <c r="C49" s="770" t="s">
        <v>479</v>
      </c>
      <c r="D49" s="771">
        <v>687720</v>
      </c>
      <c r="E49" s="771">
        <v>0</v>
      </c>
      <c r="F49" s="772">
        <f t="shared" si="0"/>
        <v>687720</v>
      </c>
    </row>
    <row r="50" spans="1:6" s="17" customFormat="1" ht="30" customHeight="1">
      <c r="A50" s="768" t="s">
        <v>480</v>
      </c>
      <c r="B50" s="769"/>
      <c r="C50" s="770" t="s">
        <v>481</v>
      </c>
      <c r="D50" s="771">
        <v>0</v>
      </c>
      <c r="E50" s="771">
        <v>0</v>
      </c>
      <c r="F50" s="772">
        <f t="shared" si="0"/>
        <v>0</v>
      </c>
    </row>
    <row r="51" spans="1:6" s="17" customFormat="1" ht="30" customHeight="1">
      <c r="A51" s="768" t="s">
        <v>482</v>
      </c>
      <c r="B51" s="769"/>
      <c r="C51" s="770" t="s">
        <v>483</v>
      </c>
      <c r="D51" s="771">
        <v>0</v>
      </c>
      <c r="E51" s="771">
        <v>0</v>
      </c>
      <c r="F51" s="772">
        <f t="shared" si="0"/>
        <v>0</v>
      </c>
    </row>
    <row r="52" spans="1:6" s="17" customFormat="1" ht="30" customHeight="1">
      <c r="A52" s="768" t="s">
        <v>484</v>
      </c>
      <c r="B52" s="769"/>
      <c r="C52" s="770" t="s">
        <v>485</v>
      </c>
      <c r="D52" s="771">
        <v>0</v>
      </c>
      <c r="E52" s="771">
        <v>0</v>
      </c>
      <c r="F52" s="772">
        <f t="shared" si="0"/>
        <v>0</v>
      </c>
    </row>
    <row r="53" spans="1:6" s="17" customFormat="1" ht="30" customHeight="1">
      <c r="A53" s="768" t="s">
        <v>607</v>
      </c>
      <c r="B53" s="769"/>
      <c r="C53" s="770" t="s">
        <v>608</v>
      </c>
      <c r="D53" s="771">
        <v>0</v>
      </c>
      <c r="E53" s="771">
        <v>0</v>
      </c>
      <c r="F53" s="772">
        <f>+D53+E53</f>
        <v>0</v>
      </c>
    </row>
    <row r="54" spans="1:6" s="17" customFormat="1" ht="30" customHeight="1">
      <c r="A54" s="768" t="s">
        <v>487</v>
      </c>
      <c r="B54" s="769"/>
      <c r="C54" s="770" t="s">
        <v>488</v>
      </c>
      <c r="D54" s="771">
        <v>677077</v>
      </c>
      <c r="E54" s="771">
        <v>0</v>
      </c>
      <c r="F54" s="772">
        <f t="shared" si="0"/>
        <v>677077</v>
      </c>
    </row>
    <row r="55" spans="1:6" s="17" customFormat="1" ht="30" customHeight="1">
      <c r="A55" s="768" t="s">
        <v>489</v>
      </c>
      <c r="B55" s="769"/>
      <c r="C55" s="770" t="s">
        <v>490</v>
      </c>
      <c r="D55" s="771">
        <v>0</v>
      </c>
      <c r="E55" s="771">
        <v>0</v>
      </c>
      <c r="F55" s="772">
        <f t="shared" si="0"/>
        <v>0</v>
      </c>
    </row>
    <row r="56" spans="1:6" s="17" customFormat="1" ht="30" customHeight="1" thickBot="1">
      <c r="A56" s="773" t="s">
        <v>491</v>
      </c>
      <c r="B56" s="774"/>
      <c r="C56" s="775" t="s">
        <v>492</v>
      </c>
      <c r="D56" s="771">
        <v>0</v>
      </c>
      <c r="E56" s="776">
        <v>0</v>
      </c>
      <c r="F56" s="777">
        <f t="shared" si="0"/>
        <v>0</v>
      </c>
    </row>
    <row r="57" spans="1:6" s="177" customFormat="1" ht="30" customHeight="1" thickBot="1">
      <c r="A57" s="264" t="s">
        <v>493</v>
      </c>
      <c r="B57" s="265"/>
      <c r="C57" s="567"/>
      <c r="D57" s="270">
        <f>SUM(D10:D56)</f>
        <v>7011305</v>
      </c>
      <c r="E57" s="270">
        <f>SUM(E10:E56)</f>
        <v>0</v>
      </c>
      <c r="F57" s="270">
        <f t="shared" si="0"/>
        <v>7011305</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5" t="str">
        <f>C7</f>
        <v>2023-24</v>
      </c>
      <c r="D61" s="886"/>
      <c r="E61" s="886"/>
      <c r="F61" s="887"/>
    </row>
    <row r="62" spans="1:6" s="17" customFormat="1" ht="111.6" customHeight="1" thickBot="1">
      <c r="A62" s="1005" t="s">
        <v>603</v>
      </c>
      <c r="B62" s="1006"/>
      <c r="C62" s="233" t="s">
        <v>269</v>
      </c>
      <c r="D62" s="234" t="s">
        <v>604</v>
      </c>
      <c r="E62" s="565" t="s">
        <v>605</v>
      </c>
      <c r="F62" s="233" t="s">
        <v>606</v>
      </c>
    </row>
    <row r="63" spans="1:6" s="17" customFormat="1" ht="30" customHeight="1" thickBot="1">
      <c r="A63" s="889" t="s">
        <v>162</v>
      </c>
      <c r="B63" s="890"/>
      <c r="C63" s="241"/>
      <c r="D63" s="242"/>
      <c r="E63" s="242"/>
      <c r="F63" s="242"/>
    </row>
    <row r="64" spans="1:6" s="17" customFormat="1" ht="30" customHeight="1">
      <c r="A64" s="235" t="s">
        <v>495</v>
      </c>
      <c r="B64" s="243"/>
      <c r="C64" s="244" t="s">
        <v>496</v>
      </c>
      <c r="D64" s="459">
        <v>32403</v>
      </c>
      <c r="E64" s="459">
        <v>0</v>
      </c>
      <c r="F64" s="236">
        <f t="shared" si="0"/>
        <v>32403</v>
      </c>
    </row>
    <row r="65" spans="1:6" s="17" customFormat="1" ht="30" customHeight="1">
      <c r="A65" s="768" t="s">
        <v>497</v>
      </c>
      <c r="B65" s="769"/>
      <c r="C65" s="778" t="s">
        <v>498</v>
      </c>
      <c r="D65" s="771">
        <v>3980</v>
      </c>
      <c r="E65" s="771">
        <v>0</v>
      </c>
      <c r="F65" s="772">
        <f t="shared" si="0"/>
        <v>3980</v>
      </c>
    </row>
    <row r="66" spans="1:6" s="17" customFormat="1" ht="30" customHeight="1">
      <c r="A66" s="768" t="s">
        <v>499</v>
      </c>
      <c r="B66" s="769"/>
      <c r="C66" s="778" t="s">
        <v>500</v>
      </c>
      <c r="D66" s="771">
        <v>0</v>
      </c>
      <c r="E66" s="771">
        <v>0</v>
      </c>
      <c r="F66" s="772">
        <f t="shared" si="0"/>
        <v>0</v>
      </c>
    </row>
    <row r="67" spans="1:6" s="17" customFormat="1" ht="30" customHeight="1">
      <c r="A67" s="768" t="s">
        <v>501</v>
      </c>
      <c r="B67" s="769"/>
      <c r="C67" s="778" t="s">
        <v>502</v>
      </c>
      <c r="D67" s="771">
        <v>900</v>
      </c>
      <c r="E67" s="771">
        <v>0</v>
      </c>
      <c r="F67" s="772">
        <f t="shared" si="0"/>
        <v>900</v>
      </c>
    </row>
    <row r="68" spans="1:6" s="17" customFormat="1" ht="30" customHeight="1">
      <c r="A68" s="768" t="s">
        <v>609</v>
      </c>
      <c r="B68" s="769"/>
      <c r="C68" s="778" t="s">
        <v>504</v>
      </c>
      <c r="D68" s="771">
        <v>0</v>
      </c>
      <c r="E68" s="771">
        <v>0</v>
      </c>
      <c r="F68" s="772">
        <f t="shared" si="0"/>
        <v>0</v>
      </c>
    </row>
    <row r="69" spans="1:6" s="17" customFormat="1" ht="30" customHeight="1">
      <c r="A69" s="768" t="s">
        <v>505</v>
      </c>
      <c r="B69" s="769"/>
      <c r="C69" s="778" t="s">
        <v>506</v>
      </c>
      <c r="D69" s="771">
        <v>534</v>
      </c>
      <c r="E69" s="771">
        <v>0</v>
      </c>
      <c r="F69" s="772">
        <f t="shared" si="0"/>
        <v>534</v>
      </c>
    </row>
    <row r="70" spans="1:6" s="17" customFormat="1" ht="30" customHeight="1">
      <c r="A70" s="1037" t="s">
        <v>697</v>
      </c>
      <c r="B70" s="769"/>
      <c r="C70" s="1034">
        <v>63100</v>
      </c>
      <c r="D70" s="1035">
        <v>0</v>
      </c>
      <c r="E70" s="1035">
        <v>0</v>
      </c>
      <c r="F70" s="1036">
        <v>0</v>
      </c>
    </row>
    <row r="71" spans="1:6" s="17" customFormat="1" ht="30" customHeight="1">
      <c r="A71" s="768" t="s">
        <v>507</v>
      </c>
      <c r="B71" s="769"/>
      <c r="C71" s="778" t="s">
        <v>508</v>
      </c>
      <c r="D71" s="771">
        <v>0</v>
      </c>
      <c r="E71" s="771">
        <v>0</v>
      </c>
      <c r="F71" s="772">
        <f t="shared" si="0"/>
        <v>0</v>
      </c>
    </row>
    <row r="72" spans="1:6" s="17" customFormat="1" ht="30" customHeight="1">
      <c r="A72" s="768" t="s">
        <v>714</v>
      </c>
      <c r="B72" s="769"/>
      <c r="C72" s="778" t="s">
        <v>510</v>
      </c>
      <c r="D72" s="771">
        <v>0</v>
      </c>
      <c r="E72" s="771">
        <v>0</v>
      </c>
      <c r="F72" s="772">
        <f t="shared" si="0"/>
        <v>0</v>
      </c>
    </row>
    <row r="73" spans="1:6" s="17" customFormat="1" ht="30" customHeight="1">
      <c r="A73" s="768" t="s">
        <v>511</v>
      </c>
      <c r="B73" s="769"/>
      <c r="C73" s="778" t="s">
        <v>512</v>
      </c>
      <c r="D73" s="771">
        <v>155464</v>
      </c>
      <c r="E73" s="771">
        <v>0</v>
      </c>
      <c r="F73" s="772">
        <f t="shared" si="0"/>
        <v>155464</v>
      </c>
    </row>
    <row r="74" spans="1:6" s="17" customFormat="1" ht="30" customHeight="1">
      <c r="A74" s="768" t="s">
        <v>690</v>
      </c>
      <c r="B74" s="769"/>
      <c r="C74" s="778" t="s">
        <v>513</v>
      </c>
      <c r="D74" s="771">
        <v>0</v>
      </c>
      <c r="E74" s="771">
        <v>0</v>
      </c>
      <c r="F74" s="772">
        <f t="shared" si="0"/>
        <v>0</v>
      </c>
    </row>
    <row r="75" spans="1:6" s="17" customFormat="1" ht="30" customHeight="1">
      <c r="A75" s="768" t="s">
        <v>514</v>
      </c>
      <c r="B75" s="769"/>
      <c r="C75" s="778" t="s">
        <v>515</v>
      </c>
      <c r="D75" s="771">
        <v>0</v>
      </c>
      <c r="E75" s="771">
        <v>0</v>
      </c>
      <c r="F75" s="772">
        <f t="shared" ref="F75:F110" si="1">+D75+E75</f>
        <v>0</v>
      </c>
    </row>
    <row r="76" spans="1:6" s="17" customFormat="1" ht="30" customHeight="1">
      <c r="A76" s="768" t="s">
        <v>516</v>
      </c>
      <c r="B76" s="769"/>
      <c r="C76" s="778" t="s">
        <v>517</v>
      </c>
      <c r="D76" s="771">
        <v>0</v>
      </c>
      <c r="E76" s="771">
        <v>0</v>
      </c>
      <c r="F76" s="772">
        <f t="shared" si="1"/>
        <v>0</v>
      </c>
    </row>
    <row r="77" spans="1:6" s="17" customFormat="1" ht="30" customHeight="1">
      <c r="A77" s="768" t="s">
        <v>518</v>
      </c>
      <c r="B77" s="769"/>
      <c r="C77" s="778" t="s">
        <v>519</v>
      </c>
      <c r="D77" s="771">
        <v>168872</v>
      </c>
      <c r="E77" s="771">
        <v>0</v>
      </c>
      <c r="F77" s="772">
        <f t="shared" si="1"/>
        <v>168872</v>
      </c>
    </row>
    <row r="78" spans="1:6" s="17" customFormat="1" ht="30" customHeight="1">
      <c r="A78" s="768" t="s">
        <v>520</v>
      </c>
      <c r="B78" s="769"/>
      <c r="C78" s="778" t="s">
        <v>521</v>
      </c>
      <c r="D78" s="771">
        <v>266</v>
      </c>
      <c r="E78" s="771">
        <v>0</v>
      </c>
      <c r="F78" s="772">
        <f t="shared" si="1"/>
        <v>266</v>
      </c>
    </row>
    <row r="79" spans="1:6" s="17" customFormat="1" ht="30" customHeight="1">
      <c r="A79" s="768" t="s">
        <v>522</v>
      </c>
      <c r="B79" s="769"/>
      <c r="C79" s="778" t="s">
        <v>523</v>
      </c>
      <c r="D79" s="771">
        <v>0</v>
      </c>
      <c r="E79" s="771">
        <v>0</v>
      </c>
      <c r="F79" s="772">
        <f t="shared" si="1"/>
        <v>0</v>
      </c>
    </row>
    <row r="80" spans="1:6" s="17" customFormat="1" ht="30" customHeight="1">
      <c r="A80" s="768" t="s">
        <v>524</v>
      </c>
      <c r="B80" s="769"/>
      <c r="C80" s="778" t="s">
        <v>525</v>
      </c>
      <c r="D80" s="771">
        <v>23934</v>
      </c>
      <c r="E80" s="771">
        <v>0</v>
      </c>
      <c r="F80" s="772">
        <f t="shared" si="1"/>
        <v>23934</v>
      </c>
    </row>
    <row r="81" spans="1:6" s="17" customFormat="1" ht="30" customHeight="1">
      <c r="A81" s="768" t="s">
        <v>526</v>
      </c>
      <c r="B81" s="769"/>
      <c r="C81" s="778" t="s">
        <v>527</v>
      </c>
      <c r="D81" s="771">
        <v>0</v>
      </c>
      <c r="E81" s="771">
        <v>0</v>
      </c>
      <c r="F81" s="772">
        <f t="shared" ref="F81:F86" si="2">+D81+E81</f>
        <v>0</v>
      </c>
    </row>
    <row r="82" spans="1:6" s="17" customFormat="1" ht="30" customHeight="1">
      <c r="A82" s="768" t="s">
        <v>528</v>
      </c>
      <c r="B82" s="769"/>
      <c r="C82" s="778" t="s">
        <v>529</v>
      </c>
      <c r="D82" s="771">
        <v>0</v>
      </c>
      <c r="E82" s="771">
        <v>0</v>
      </c>
      <c r="F82" s="772">
        <f t="shared" si="2"/>
        <v>0</v>
      </c>
    </row>
    <row r="83" spans="1:6" s="17" customFormat="1" ht="30" customHeight="1">
      <c r="A83" s="768" t="s">
        <v>530</v>
      </c>
      <c r="B83" s="769"/>
      <c r="C83" s="778" t="s">
        <v>531</v>
      </c>
      <c r="D83" s="771">
        <v>0</v>
      </c>
      <c r="E83" s="771">
        <v>0</v>
      </c>
      <c r="F83" s="772">
        <f t="shared" si="2"/>
        <v>0</v>
      </c>
    </row>
    <row r="84" spans="1:6" s="17" customFormat="1" ht="30" customHeight="1">
      <c r="A84" s="768" t="s">
        <v>532</v>
      </c>
      <c r="B84" s="769"/>
      <c r="C84" s="778" t="s">
        <v>533</v>
      </c>
      <c r="D84" s="771">
        <v>0</v>
      </c>
      <c r="E84" s="771">
        <v>0</v>
      </c>
      <c r="F84" s="772">
        <f t="shared" si="2"/>
        <v>0</v>
      </c>
    </row>
    <row r="85" spans="1:6" s="17" customFormat="1" ht="30" customHeight="1">
      <c r="A85" s="768" t="s">
        <v>534</v>
      </c>
      <c r="B85" s="769"/>
      <c r="C85" s="778" t="s">
        <v>535</v>
      </c>
      <c r="D85" s="771">
        <v>0</v>
      </c>
      <c r="E85" s="771">
        <v>0</v>
      </c>
      <c r="F85" s="772">
        <f t="shared" si="2"/>
        <v>0</v>
      </c>
    </row>
    <row r="86" spans="1:6" s="17" customFormat="1" ht="30" customHeight="1">
      <c r="A86" s="768" t="s">
        <v>536</v>
      </c>
      <c r="B86" s="769"/>
      <c r="C86" s="778" t="s">
        <v>537</v>
      </c>
      <c r="D86" s="771">
        <v>0</v>
      </c>
      <c r="E86" s="771">
        <v>0</v>
      </c>
      <c r="F86" s="772">
        <f t="shared" si="2"/>
        <v>0</v>
      </c>
    </row>
    <row r="87" spans="1:6" s="17" customFormat="1" ht="30" customHeight="1">
      <c r="A87" s="768" t="s">
        <v>538</v>
      </c>
      <c r="B87" s="769"/>
      <c r="C87" s="778" t="s">
        <v>539</v>
      </c>
      <c r="D87" s="771">
        <v>0</v>
      </c>
      <c r="E87" s="771">
        <v>0</v>
      </c>
      <c r="F87" s="772">
        <f t="shared" si="1"/>
        <v>0</v>
      </c>
    </row>
    <row r="88" spans="1:6" s="17" customFormat="1" ht="30" customHeight="1">
      <c r="A88" s="768" t="s">
        <v>610</v>
      </c>
      <c r="B88" s="769"/>
      <c r="C88" s="778">
        <v>69100</v>
      </c>
      <c r="D88" s="771">
        <v>0</v>
      </c>
      <c r="E88" s="771">
        <v>0</v>
      </c>
      <c r="F88" s="772">
        <f t="shared" si="1"/>
        <v>0</v>
      </c>
    </row>
    <row r="89" spans="1:6" s="17" customFormat="1" ht="30" customHeight="1">
      <c r="A89" s="768" t="s">
        <v>611</v>
      </c>
      <c r="B89" s="769"/>
      <c r="C89" s="778">
        <v>69200</v>
      </c>
      <c r="D89" s="771">
        <v>0</v>
      </c>
      <c r="E89" s="771">
        <v>0</v>
      </c>
      <c r="F89" s="772">
        <f t="shared" si="1"/>
        <v>0</v>
      </c>
    </row>
    <row r="90" spans="1:6" s="17" customFormat="1" ht="30" customHeight="1">
      <c r="A90" s="768" t="s">
        <v>540</v>
      </c>
      <c r="B90" s="769"/>
      <c r="C90" s="778" t="s">
        <v>541</v>
      </c>
      <c r="D90" s="771">
        <v>1000</v>
      </c>
      <c r="E90" s="771">
        <v>0</v>
      </c>
      <c r="F90" s="772">
        <f t="shared" si="1"/>
        <v>1000</v>
      </c>
    </row>
    <row r="91" spans="1:6" s="17" customFormat="1" ht="30" customHeight="1">
      <c r="A91" s="768" t="s">
        <v>397</v>
      </c>
      <c r="B91" s="769"/>
      <c r="C91" s="778" t="s">
        <v>543</v>
      </c>
      <c r="D91" s="771">
        <v>0</v>
      </c>
      <c r="E91" s="771">
        <v>0</v>
      </c>
      <c r="F91" s="772">
        <f t="shared" si="1"/>
        <v>0</v>
      </c>
    </row>
    <row r="92" spans="1:6" s="17" customFormat="1" ht="30" customHeight="1" thickBot="1">
      <c r="A92" s="773" t="s">
        <v>544</v>
      </c>
      <c r="B92" s="774"/>
      <c r="C92" s="779" t="s">
        <v>545</v>
      </c>
      <c r="D92" s="771">
        <v>0</v>
      </c>
      <c r="E92" s="771">
        <v>0</v>
      </c>
      <c r="F92" s="777">
        <f t="shared" si="1"/>
        <v>0</v>
      </c>
    </row>
    <row r="93" spans="1:6" s="17" customFormat="1" ht="30" customHeight="1" thickBot="1">
      <c r="A93" s="883" t="s">
        <v>612</v>
      </c>
      <c r="B93" s="888"/>
      <c r="C93" s="267"/>
      <c r="D93" s="266">
        <f>SUM(D64:D92)</f>
        <v>387353</v>
      </c>
      <c r="E93" s="266">
        <f>SUM(E64:E92)</f>
        <v>0</v>
      </c>
      <c r="F93" s="266">
        <f t="shared" si="1"/>
        <v>387353</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5" t="str">
        <f>C7</f>
        <v>2023-24</v>
      </c>
      <c r="D96" s="886"/>
      <c r="E96" s="886"/>
      <c r="F96" s="887"/>
    </row>
    <row r="97" spans="1:6" s="17" customFormat="1" ht="111.6" customHeight="1" thickBot="1">
      <c r="A97" s="1007" t="s">
        <v>163</v>
      </c>
      <c r="B97" s="1008"/>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68" t="s">
        <v>613</v>
      </c>
      <c r="B99" s="769"/>
      <c r="C99" s="778" t="s">
        <v>550</v>
      </c>
      <c r="D99" s="771">
        <v>24720</v>
      </c>
      <c r="E99" s="771">
        <v>0</v>
      </c>
      <c r="F99" s="772">
        <f t="shared" si="1"/>
        <v>24720</v>
      </c>
    </row>
    <row r="100" spans="1:6" s="17" customFormat="1" ht="30" customHeight="1">
      <c r="A100" s="768" t="s">
        <v>551</v>
      </c>
      <c r="B100" s="769"/>
      <c r="C100" s="778" t="s">
        <v>552</v>
      </c>
      <c r="D100" s="771">
        <v>59115</v>
      </c>
      <c r="E100" s="771">
        <v>0</v>
      </c>
      <c r="F100" s="772">
        <f t="shared" si="1"/>
        <v>59115</v>
      </c>
    </row>
    <row r="101" spans="1:6" s="17" customFormat="1" ht="30" customHeight="1">
      <c r="A101" s="768" t="s">
        <v>553</v>
      </c>
      <c r="B101" s="769"/>
      <c r="C101" s="778" t="s">
        <v>554</v>
      </c>
      <c r="D101" s="771">
        <v>0</v>
      </c>
      <c r="E101" s="771">
        <v>0</v>
      </c>
      <c r="F101" s="772">
        <f t="shared" si="1"/>
        <v>0</v>
      </c>
    </row>
    <row r="102" spans="1:6" s="17" customFormat="1" ht="30" customHeight="1">
      <c r="A102" s="768" t="s">
        <v>556</v>
      </c>
      <c r="B102" s="769"/>
      <c r="C102" s="1034" t="s">
        <v>557</v>
      </c>
      <c r="D102" s="1035">
        <v>0</v>
      </c>
      <c r="E102" s="1035">
        <v>0</v>
      </c>
      <c r="F102" s="1036">
        <f t="shared" si="1"/>
        <v>0</v>
      </c>
    </row>
    <row r="103" spans="1:6" s="17" customFormat="1" ht="30" customHeight="1">
      <c r="A103" s="1118" t="s">
        <v>701</v>
      </c>
      <c r="B103" s="1119"/>
      <c r="C103" s="1120">
        <v>73001</v>
      </c>
      <c r="D103" s="1144">
        <v>0</v>
      </c>
      <c r="E103" s="1144">
        <v>0</v>
      </c>
      <c r="F103" s="1075">
        <f t="shared" si="1"/>
        <v>0</v>
      </c>
    </row>
    <row r="104" spans="1:6" s="17" customFormat="1" ht="30" customHeight="1">
      <c r="A104" s="1121" t="s">
        <v>702</v>
      </c>
      <c r="B104" s="1122"/>
      <c r="C104" s="1123">
        <v>73002</v>
      </c>
      <c r="D104" s="1145">
        <v>0</v>
      </c>
      <c r="E104" s="1145">
        <v>0</v>
      </c>
      <c r="F104" s="1076">
        <f t="shared" si="1"/>
        <v>0</v>
      </c>
    </row>
    <row r="105" spans="1:6" s="17" customFormat="1" ht="30" customHeight="1">
      <c r="A105" s="768" t="s">
        <v>555</v>
      </c>
      <c r="B105" s="769"/>
      <c r="C105" s="1072">
        <v>73050</v>
      </c>
      <c r="D105" s="1073">
        <v>0</v>
      </c>
      <c r="E105" s="1073">
        <v>0</v>
      </c>
      <c r="F105" s="1074">
        <f>+D105+E105</f>
        <v>0</v>
      </c>
    </row>
    <row r="106" spans="1:6" s="17" customFormat="1" ht="30" customHeight="1">
      <c r="A106" s="1037" t="s">
        <v>696</v>
      </c>
      <c r="B106" s="769"/>
      <c r="C106" s="1034">
        <v>73100</v>
      </c>
      <c r="D106" s="1035">
        <v>0</v>
      </c>
      <c r="E106" s="1035">
        <v>0</v>
      </c>
      <c r="F106" s="1074">
        <f>+D106+E106</f>
        <v>0</v>
      </c>
    </row>
    <row r="107" spans="1:6" s="17" customFormat="1" ht="47.25" customHeight="1">
      <c r="A107" s="1101" t="s">
        <v>614</v>
      </c>
      <c r="B107" s="1102"/>
      <c r="C107" s="778" t="s">
        <v>559</v>
      </c>
      <c r="D107" s="771">
        <v>0</v>
      </c>
      <c r="E107" s="771">
        <v>0</v>
      </c>
      <c r="F107" s="772">
        <f t="shared" si="1"/>
        <v>0</v>
      </c>
    </row>
    <row r="108" spans="1:6" s="17" customFormat="1" ht="30" customHeight="1">
      <c r="A108" s="768" t="s">
        <v>560</v>
      </c>
      <c r="B108" s="769"/>
      <c r="C108" s="778" t="s">
        <v>561</v>
      </c>
      <c r="D108" s="771">
        <v>0</v>
      </c>
      <c r="E108" s="771">
        <v>0</v>
      </c>
      <c r="F108" s="772">
        <f t="shared" si="1"/>
        <v>0</v>
      </c>
    </row>
    <row r="109" spans="1:6" s="17" customFormat="1" ht="30" customHeight="1">
      <c r="A109" s="768" t="s">
        <v>562</v>
      </c>
      <c r="B109" s="769"/>
      <c r="C109" s="778" t="s">
        <v>563</v>
      </c>
      <c r="D109" s="771">
        <v>0</v>
      </c>
      <c r="E109" s="771">
        <v>0</v>
      </c>
      <c r="F109" s="772">
        <f t="shared" si="1"/>
        <v>0</v>
      </c>
    </row>
    <row r="110" spans="1:6" s="17" customFormat="1" ht="30" customHeight="1" thickBot="1">
      <c r="A110" s="773" t="s">
        <v>564</v>
      </c>
      <c r="B110" s="774"/>
      <c r="C110" s="779" t="s">
        <v>565</v>
      </c>
      <c r="D110" s="776">
        <v>0</v>
      </c>
      <c r="E110" s="776">
        <v>0</v>
      </c>
      <c r="F110" s="777">
        <f t="shared" si="1"/>
        <v>0</v>
      </c>
    </row>
    <row r="111" spans="1:6" s="17" customFormat="1" ht="30" customHeight="1" thickBot="1">
      <c r="A111" s="268" t="s">
        <v>566</v>
      </c>
      <c r="B111" s="269"/>
      <c r="C111" s="269"/>
      <c r="D111" s="270">
        <f>SUM(D98:D110)</f>
        <v>83835</v>
      </c>
      <c r="E111" s="270">
        <f>SUM(E98:E110)</f>
        <v>0</v>
      </c>
      <c r="F111" s="270">
        <f>SUM(D111:E111)</f>
        <v>83835</v>
      </c>
    </row>
    <row r="112" spans="1:6" s="17" customFormat="1" ht="30" customHeight="1" thickBot="1">
      <c r="A112" s="274"/>
      <c r="B112" s="275"/>
      <c r="C112" s="271"/>
      <c r="D112" s="272"/>
      <c r="E112" s="272"/>
      <c r="F112" s="272"/>
    </row>
    <row r="113" spans="1:6" s="180" customFormat="1" ht="30" customHeight="1" thickBot="1">
      <c r="A113" s="883" t="s">
        <v>567</v>
      </c>
      <c r="B113" s="888"/>
      <c r="C113" s="258"/>
      <c r="D113" s="266">
        <f>+D57+D93+D111</f>
        <v>7482493</v>
      </c>
      <c r="E113" s="266">
        <f>+E57+E93+E111</f>
        <v>0</v>
      </c>
      <c r="F113" s="266">
        <f>SUM(D113:E113)</f>
        <v>7482493</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5" t="s">
        <v>615</v>
      </c>
      <c r="B116" s="1006"/>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68" t="s">
        <v>617</v>
      </c>
      <c r="B118" s="614"/>
      <c r="C118" s="780"/>
      <c r="D118" s="1100">
        <f>'EXHIBIT C'!H10</f>
        <v>6764923</v>
      </c>
      <c r="E118" s="771">
        <v>0</v>
      </c>
      <c r="F118" s="772">
        <f t="shared" ref="F118:F128" si="3">+D118+E118</f>
        <v>6764923</v>
      </c>
    </row>
    <row r="119" spans="1:6" s="69" customFormat="1" ht="30" customHeight="1">
      <c r="A119" s="768" t="s">
        <v>618</v>
      </c>
      <c r="B119" s="614"/>
      <c r="C119" s="780"/>
      <c r="D119" s="1100">
        <f>'EXHIBIT C'!F19</f>
        <v>717570</v>
      </c>
      <c r="E119" s="771">
        <v>0</v>
      </c>
      <c r="F119" s="772">
        <f t="shared" si="3"/>
        <v>717570</v>
      </c>
    </row>
    <row r="120" spans="1:6" s="69" customFormat="1" ht="50.25" customHeight="1">
      <c r="A120" s="768" t="s">
        <v>619</v>
      </c>
      <c r="B120" s="614"/>
      <c r="C120" s="780"/>
      <c r="D120" s="771">
        <v>0</v>
      </c>
      <c r="E120" s="771">
        <v>0</v>
      </c>
      <c r="F120" s="772">
        <f t="shared" si="3"/>
        <v>0</v>
      </c>
    </row>
    <row r="121" spans="1:6" s="69" customFormat="1" ht="30" customHeight="1">
      <c r="A121" s="768" t="s">
        <v>620</v>
      </c>
      <c r="B121" s="614"/>
      <c r="C121" s="780"/>
      <c r="D121" s="771">
        <v>0</v>
      </c>
      <c r="E121" s="771">
        <v>0</v>
      </c>
      <c r="F121" s="772">
        <f t="shared" si="3"/>
        <v>0</v>
      </c>
    </row>
    <row r="122" spans="1:6" s="69" customFormat="1" ht="30" customHeight="1">
      <c r="A122" s="1009" t="s">
        <v>694</v>
      </c>
      <c r="B122" s="614"/>
      <c r="C122" s="780"/>
      <c r="D122" s="771">
        <v>0</v>
      </c>
      <c r="E122" s="771">
        <v>0</v>
      </c>
      <c r="F122" s="772">
        <f t="shared" si="3"/>
        <v>0</v>
      </c>
    </row>
    <row r="123" spans="1:6" s="69" customFormat="1" ht="30" customHeight="1">
      <c r="A123" s="768" t="s">
        <v>621</v>
      </c>
      <c r="B123" s="614"/>
      <c r="C123" s="780"/>
      <c r="D123" s="771">
        <v>0</v>
      </c>
      <c r="E123" s="771">
        <v>0</v>
      </c>
      <c r="F123" s="772">
        <f t="shared" si="3"/>
        <v>0</v>
      </c>
    </row>
    <row r="124" spans="1:6" s="69" customFormat="1" ht="30" customHeight="1">
      <c r="A124" s="768" t="s">
        <v>622</v>
      </c>
      <c r="B124" s="614"/>
      <c r="C124" s="780"/>
      <c r="D124" s="771">
        <v>0</v>
      </c>
      <c r="E124" s="771">
        <v>0</v>
      </c>
      <c r="F124" s="772">
        <f t="shared" si="3"/>
        <v>0</v>
      </c>
    </row>
    <row r="125" spans="1:6" s="69" customFormat="1" ht="30" customHeight="1">
      <c r="A125" s="768" t="s">
        <v>623</v>
      </c>
      <c r="B125" s="614"/>
      <c r="C125" s="780"/>
      <c r="D125" s="771">
        <v>0</v>
      </c>
      <c r="E125" s="771">
        <v>0</v>
      </c>
      <c r="F125" s="772">
        <f t="shared" si="3"/>
        <v>0</v>
      </c>
    </row>
    <row r="126" spans="1:6" s="69" customFormat="1" ht="30" customHeight="1">
      <c r="A126" s="768" t="s">
        <v>624</v>
      </c>
      <c r="B126" s="614"/>
      <c r="C126" s="780"/>
      <c r="D126" s="771">
        <v>0</v>
      </c>
      <c r="E126" s="771">
        <v>0</v>
      </c>
      <c r="F126" s="772">
        <f t="shared" si="3"/>
        <v>0</v>
      </c>
    </row>
    <row r="127" spans="1:6" ht="24.75" customHeight="1">
      <c r="A127" s="768" t="s">
        <v>625</v>
      </c>
      <c r="B127" s="614"/>
      <c r="C127" s="780"/>
      <c r="D127" s="771">
        <v>0</v>
      </c>
      <c r="E127" s="771">
        <v>0</v>
      </c>
      <c r="F127" s="772">
        <f t="shared" si="3"/>
        <v>0</v>
      </c>
    </row>
    <row r="128" spans="1:6" ht="22.5" customHeight="1" thickBot="1">
      <c r="A128" s="773" t="s">
        <v>626</v>
      </c>
      <c r="B128" s="781"/>
      <c r="C128" s="782"/>
      <c r="D128" s="776">
        <v>0</v>
      </c>
      <c r="E128" s="776">
        <v>0</v>
      </c>
      <c r="F128" s="777">
        <f t="shared" si="3"/>
        <v>0</v>
      </c>
    </row>
    <row r="129" spans="1:6" ht="110.1" customHeight="1" thickBot="1">
      <c r="A129" s="883" t="s">
        <v>627</v>
      </c>
      <c r="B129" s="884"/>
      <c r="C129" s="258"/>
      <c r="D129" s="259">
        <f>SUM(D117:D128)</f>
        <v>7482493</v>
      </c>
      <c r="E129" s="260">
        <f>SUM(E117:E128)</f>
        <v>0</v>
      </c>
      <c r="F129" s="261">
        <f>SUM(F117:F128)</f>
        <v>7482493</v>
      </c>
    </row>
    <row r="130" spans="1:6" ht="14.1" customHeight="1">
      <c r="A130" s="249"/>
      <c r="B130" s="249"/>
      <c r="C130" s="250"/>
      <c r="D130" s="251"/>
      <c r="E130" s="251"/>
      <c r="F130" s="251"/>
    </row>
    <row r="131" spans="1:6" ht="83.25" customHeight="1">
      <c r="A131" s="947" t="s">
        <v>715</v>
      </c>
      <c r="B131" s="947"/>
      <c r="C131" s="948"/>
      <c r="D131" s="252">
        <f>D129-D113</f>
        <v>0</v>
      </c>
      <c r="E131" s="252">
        <f>E129-E113</f>
        <v>0</v>
      </c>
      <c r="F131" s="252">
        <f>F129-F113</f>
        <v>0</v>
      </c>
    </row>
    <row r="132" spans="1:6" ht="30" customHeight="1">
      <c r="A132" s="249"/>
      <c r="B132" s="249"/>
      <c r="C132" s="250"/>
      <c r="D132" s="251"/>
      <c r="E132" s="251"/>
      <c r="F132" s="251"/>
    </row>
    <row r="133" spans="1:6" ht="30" customHeight="1" thickBot="1">
      <c r="A133" s="464" t="s">
        <v>716</v>
      </c>
      <c r="B133" s="17"/>
      <c r="C133" s="17"/>
      <c r="D133" s="253"/>
      <c r="E133" s="253"/>
      <c r="F133" s="254"/>
    </row>
    <row r="134" spans="1:6" ht="238.5" customHeight="1" thickBot="1">
      <c r="A134" s="1103"/>
      <c r="B134" s="1104"/>
      <c r="C134" s="1104"/>
      <c r="D134" s="1104"/>
      <c r="E134" s="1104"/>
      <c r="F134" s="1105"/>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3"/>
      <c r="B137" s="1104"/>
      <c r="C137" s="1104"/>
      <c r="D137" s="1104"/>
      <c r="E137" s="1104"/>
      <c r="F137" s="1105"/>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7" t="s">
        <v>11</v>
      </c>
      <c r="C1" s="927"/>
      <c r="D1" s="927"/>
      <c r="E1" s="927"/>
      <c r="F1" s="276"/>
      <c r="G1" s="276"/>
    </row>
    <row r="2" spans="2:7" ht="26.25">
      <c r="B2" s="927" t="s">
        <v>745</v>
      </c>
      <c r="C2" s="927"/>
      <c r="D2" s="927"/>
      <c r="E2" s="927"/>
      <c r="F2" s="276"/>
      <c r="G2" s="276"/>
    </row>
    <row r="3" spans="2:7" ht="21">
      <c r="B3" s="916"/>
      <c r="C3" s="916"/>
      <c r="D3" s="916"/>
      <c r="E3" s="916"/>
      <c r="F3" s="276"/>
      <c r="G3" s="276"/>
    </row>
    <row r="4" spans="2:7" ht="21.75" thickBot="1">
      <c r="B4" s="1033"/>
      <c r="C4" s="1033"/>
      <c r="D4" s="1033"/>
      <c r="E4" s="1033"/>
      <c r="F4" s="276"/>
      <c r="G4" s="276"/>
    </row>
    <row r="5" spans="2:7" ht="48" customHeight="1">
      <c r="B5" s="909" t="s">
        <v>629</v>
      </c>
      <c r="C5" s="1013" t="s">
        <v>630</v>
      </c>
      <c r="D5" s="1014"/>
      <c r="E5" s="1015"/>
    </row>
    <row r="6" spans="2:7">
      <c r="B6" s="910"/>
      <c r="C6" s="897" t="s">
        <v>631</v>
      </c>
      <c r="D6" s="783" t="s">
        <v>632</v>
      </c>
      <c r="E6" s="784" t="s">
        <v>633</v>
      </c>
    </row>
    <row r="7" spans="2:7" ht="29.25" customHeight="1">
      <c r="B7" s="911"/>
      <c r="C7" s="898"/>
      <c r="D7" s="785">
        <v>-0.1</v>
      </c>
      <c r="E7" s="786">
        <v>0.15</v>
      </c>
    </row>
    <row r="8" spans="2:7" ht="15" customHeight="1">
      <c r="B8" s="787" t="s">
        <v>200</v>
      </c>
      <c r="C8" s="788">
        <v>71.975999999999999</v>
      </c>
      <c r="D8" s="788">
        <v>64.78</v>
      </c>
      <c r="E8" s="789">
        <v>82.78</v>
      </c>
    </row>
    <row r="9" spans="2:7" ht="15" customHeight="1">
      <c r="B9" s="790" t="s">
        <v>634</v>
      </c>
      <c r="C9" s="791">
        <v>3.6</v>
      </c>
      <c r="D9" s="791">
        <v>3.24</v>
      </c>
      <c r="E9" s="792">
        <v>4.1399999999999997</v>
      </c>
    </row>
    <row r="10" spans="2:7" ht="15" customHeight="1">
      <c r="B10" s="790" t="s">
        <v>635</v>
      </c>
      <c r="C10" s="791">
        <v>3.6</v>
      </c>
      <c r="D10" s="791">
        <v>3.24</v>
      </c>
      <c r="E10" s="792">
        <v>4.1399999999999997</v>
      </c>
    </row>
    <row r="11" spans="2:7" ht="15" customHeight="1">
      <c r="B11" s="793" t="s">
        <v>636</v>
      </c>
      <c r="C11" s="791">
        <v>7.2</v>
      </c>
      <c r="D11" s="791">
        <v>6.48</v>
      </c>
      <c r="E11" s="792">
        <v>8.2799999999999994</v>
      </c>
      <c r="F11" s="180"/>
    </row>
    <row r="12" spans="2:7" ht="15" customHeight="1">
      <c r="B12" s="794" t="s">
        <v>637</v>
      </c>
      <c r="C12" s="795"/>
      <c r="D12" s="795"/>
      <c r="E12" s="796"/>
    </row>
    <row r="13" spans="2:7" ht="42.6" customHeight="1">
      <c r="B13" s="912" t="s">
        <v>638</v>
      </c>
      <c r="C13" s="1010" t="s">
        <v>630</v>
      </c>
      <c r="D13" s="1011"/>
      <c r="E13" s="1012"/>
    </row>
    <row r="14" spans="2:7">
      <c r="B14" s="910"/>
      <c r="C14" s="897" t="s">
        <v>631</v>
      </c>
      <c r="D14" s="797" t="s">
        <v>632</v>
      </c>
      <c r="E14" s="798" t="s">
        <v>633</v>
      </c>
    </row>
    <row r="15" spans="2:7">
      <c r="B15" s="911"/>
      <c r="C15" s="898"/>
      <c r="D15" s="785">
        <f>D7</f>
        <v>-0.1</v>
      </c>
      <c r="E15" s="786">
        <f>E7</f>
        <v>0.15</v>
      </c>
    </row>
    <row r="16" spans="2:7" ht="15" customHeight="1">
      <c r="B16" s="799" t="s">
        <v>200</v>
      </c>
      <c r="C16" s="791">
        <v>71.975999999999999</v>
      </c>
      <c r="D16" s="791">
        <v>64.78</v>
      </c>
      <c r="E16" s="792">
        <v>82.78</v>
      </c>
    </row>
    <row r="17" spans="2:5" ht="15" customHeight="1">
      <c r="B17" s="799" t="s">
        <v>639</v>
      </c>
      <c r="C17" s="791">
        <v>215.93799999999999</v>
      </c>
      <c r="D17" s="791">
        <v>194.35</v>
      </c>
      <c r="E17" s="792">
        <v>248.33</v>
      </c>
    </row>
    <row r="18" spans="2:5" ht="15" customHeight="1">
      <c r="B18" s="794" t="s">
        <v>640</v>
      </c>
      <c r="C18" s="791">
        <v>14.4</v>
      </c>
      <c r="D18" s="791">
        <v>12.96</v>
      </c>
      <c r="E18" s="792">
        <v>16.559999999999999</v>
      </c>
    </row>
    <row r="19" spans="2:5" ht="15" customHeight="1">
      <c r="B19" s="794" t="s">
        <v>641</v>
      </c>
      <c r="C19" s="791">
        <v>14.4</v>
      </c>
      <c r="D19" s="791">
        <v>12.96</v>
      </c>
      <c r="E19" s="792">
        <v>16.559999999999999</v>
      </c>
    </row>
    <row r="20" spans="2:5" ht="15" customHeight="1">
      <c r="B20" s="800" t="s">
        <v>642</v>
      </c>
      <c r="C20" s="791">
        <v>7.2</v>
      </c>
      <c r="D20" s="791">
        <v>6.48</v>
      </c>
      <c r="E20" s="792">
        <v>8.2799999999999994</v>
      </c>
    </row>
    <row r="21" spans="2:5" ht="15" customHeight="1" thickBot="1">
      <c r="B21" s="801" t="s">
        <v>643</v>
      </c>
      <c r="C21" s="802">
        <v>57.58</v>
      </c>
      <c r="D21" s="802">
        <v>51.83</v>
      </c>
      <c r="E21" s="803">
        <v>66.22</v>
      </c>
    </row>
    <row r="22" spans="2:5" ht="16.5" thickBot="1">
      <c r="B22" s="278"/>
    </row>
    <row r="23" spans="2:5" ht="34.35" customHeight="1">
      <c r="B23" s="913" t="s">
        <v>644</v>
      </c>
      <c r="C23" s="1016" t="s">
        <v>630</v>
      </c>
      <c r="D23" s="1017"/>
      <c r="E23" s="1018"/>
    </row>
    <row r="24" spans="2:5">
      <c r="B24" s="914"/>
      <c r="C24" s="897" t="s">
        <v>631</v>
      </c>
      <c r="D24" s="783" t="s">
        <v>632</v>
      </c>
      <c r="E24" s="804" t="s">
        <v>633</v>
      </c>
    </row>
    <row r="25" spans="2:5">
      <c r="B25" s="915"/>
      <c r="C25" s="898"/>
      <c r="D25" s="785">
        <v>0</v>
      </c>
      <c r="E25" s="805">
        <v>0</v>
      </c>
    </row>
    <row r="26" spans="2:5" ht="15" customHeight="1">
      <c r="B26" s="806" t="s">
        <v>200</v>
      </c>
      <c r="C26" s="791">
        <v>91.79</v>
      </c>
      <c r="D26" s="791">
        <f>ROUND(C26*(1+D25),2)</f>
        <v>91.79</v>
      </c>
      <c r="E26" s="807">
        <f>ROUND(C26*(1+E25),2)</f>
        <v>91.79</v>
      </c>
    </row>
    <row r="27" spans="2:5" ht="15" customHeight="1">
      <c r="B27" s="808" t="s">
        <v>634</v>
      </c>
      <c r="C27" s="791">
        <v>4.59</v>
      </c>
      <c r="D27" s="791">
        <v>4.59</v>
      </c>
      <c r="E27" s="807">
        <v>4.59</v>
      </c>
    </row>
    <row r="28" spans="2:5" ht="15" customHeight="1">
      <c r="B28" s="808" t="s">
        <v>635</v>
      </c>
      <c r="C28" s="791">
        <v>4.59</v>
      </c>
      <c r="D28" s="791">
        <v>4.59</v>
      </c>
      <c r="E28" s="807">
        <v>4.59</v>
      </c>
    </row>
    <row r="29" spans="2:5" ht="15" customHeight="1">
      <c r="B29" s="809" t="s">
        <v>636</v>
      </c>
      <c r="C29" s="791">
        <v>9.18</v>
      </c>
      <c r="D29" s="791">
        <v>9.18</v>
      </c>
      <c r="E29" s="807">
        <v>9.18</v>
      </c>
    </row>
    <row r="30" spans="2:5" ht="15" customHeight="1">
      <c r="B30" s="808" t="s">
        <v>645</v>
      </c>
      <c r="C30" s="795"/>
      <c r="D30" s="795"/>
      <c r="E30" s="810"/>
    </row>
    <row r="31" spans="2:5" ht="41.45" customHeight="1">
      <c r="B31" s="904" t="s">
        <v>646</v>
      </c>
      <c r="C31" s="1010" t="s">
        <v>630</v>
      </c>
      <c r="D31" s="1011"/>
      <c r="E31" s="1019"/>
    </row>
    <row r="32" spans="2:5">
      <c r="B32" s="905"/>
      <c r="C32" s="897" t="s">
        <v>631</v>
      </c>
      <c r="D32" s="783" t="s">
        <v>632</v>
      </c>
      <c r="E32" s="804" t="s">
        <v>633</v>
      </c>
    </row>
    <row r="33" spans="2:7">
      <c r="B33" s="906"/>
      <c r="C33" s="898"/>
      <c r="D33" s="785">
        <f>D25</f>
        <v>0</v>
      </c>
      <c r="E33" s="805">
        <f>E25</f>
        <v>0</v>
      </c>
    </row>
    <row r="34" spans="2:7" ht="15" customHeight="1">
      <c r="B34" s="806" t="s">
        <v>200</v>
      </c>
      <c r="C34" s="791">
        <v>91.79</v>
      </c>
      <c r="D34" s="791">
        <f>ROUND(C34*(1+D33),2)</f>
        <v>91.79</v>
      </c>
      <c r="E34" s="807">
        <f>ROUND(C34*(1+E33),2)</f>
        <v>91.79</v>
      </c>
    </row>
    <row r="35" spans="2:7" ht="15" customHeight="1">
      <c r="B35" s="806" t="s">
        <v>639</v>
      </c>
      <c r="C35" s="811" t="s">
        <v>647</v>
      </c>
      <c r="D35" s="811" t="s">
        <v>647</v>
      </c>
      <c r="E35" s="812" t="s">
        <v>647</v>
      </c>
    </row>
    <row r="36" spans="2:7" ht="15" customHeight="1">
      <c r="B36" s="808" t="s">
        <v>640</v>
      </c>
      <c r="C36" s="811" t="s">
        <v>647</v>
      </c>
      <c r="D36" s="811" t="s">
        <v>647</v>
      </c>
      <c r="E36" s="812" t="s">
        <v>647</v>
      </c>
    </row>
    <row r="37" spans="2:7" ht="15" customHeight="1">
      <c r="B37" s="808" t="s">
        <v>641</v>
      </c>
      <c r="C37" s="811" t="s">
        <v>647</v>
      </c>
      <c r="D37" s="811" t="s">
        <v>647</v>
      </c>
      <c r="E37" s="812" t="s">
        <v>647</v>
      </c>
    </row>
    <row r="38" spans="2:7" ht="15" customHeight="1">
      <c r="B38" s="809" t="s">
        <v>642</v>
      </c>
      <c r="C38" s="791">
        <f>C29</f>
        <v>9.18</v>
      </c>
      <c r="D38" s="791">
        <f>D29</f>
        <v>9.18</v>
      </c>
      <c r="E38" s="807">
        <f>E29</f>
        <v>9.18</v>
      </c>
    </row>
    <row r="39" spans="2:7" ht="15" customHeight="1" thickBot="1">
      <c r="B39" s="813" t="s">
        <v>643</v>
      </c>
      <c r="C39" s="814" t="s">
        <v>647</v>
      </c>
      <c r="D39" s="814" t="s">
        <v>647</v>
      </c>
      <c r="E39" s="815" t="s">
        <v>647</v>
      </c>
    </row>
    <row r="40" spans="2:7">
      <c r="B40" s="278"/>
      <c r="C40" s="279"/>
      <c r="D40" s="279"/>
      <c r="E40" s="279"/>
    </row>
    <row r="41" spans="2:7">
      <c r="B41" s="280" t="s">
        <v>648</v>
      </c>
      <c r="C41" s="281"/>
      <c r="D41" s="281"/>
      <c r="E41" s="281"/>
    </row>
    <row r="42" spans="2:7" ht="48" customHeight="1">
      <c r="B42" s="907" t="s">
        <v>649</v>
      </c>
      <c r="C42" s="907"/>
      <c r="D42" s="907"/>
      <c r="E42" s="907"/>
    </row>
    <row r="43" spans="2:7">
      <c r="B43" s="907"/>
      <c r="C43" s="907"/>
      <c r="D43" s="907"/>
      <c r="E43" s="907"/>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49"/>
    </row>
    <row r="47" spans="2:7">
      <c r="B47" s="283" t="s">
        <v>651</v>
      </c>
      <c r="G47" s="950"/>
    </row>
    <row r="49" spans="2:5" ht="15" customHeight="1">
      <c r="B49" s="907"/>
      <c r="C49" s="907"/>
      <c r="D49" s="907"/>
      <c r="E49" s="907"/>
    </row>
    <row r="50" spans="2:5">
      <c r="B50" s="907"/>
      <c r="C50" s="907"/>
      <c r="D50" s="907"/>
      <c r="E50" s="907"/>
    </row>
    <row r="51" spans="2:5">
      <c r="B51" s="907"/>
      <c r="C51" s="907"/>
      <c r="D51" s="907"/>
      <c r="E51" s="907"/>
    </row>
    <row r="52" spans="2:5" ht="21">
      <c r="B52" s="916" t="str">
        <f>B1</f>
        <v>THE FLORIDA COLLEGE SYSTEM</v>
      </c>
      <c r="C52" s="916"/>
      <c r="D52" s="916"/>
      <c r="E52" s="916"/>
    </row>
    <row r="53" spans="2:5" ht="21">
      <c r="B53" s="916" t="str">
        <f>B2&amp;" , cont."</f>
        <v>FALL 2023-24 TUITION INCREASED BY 0% , cont.</v>
      </c>
      <c r="C53" s="916"/>
      <c r="D53" s="916"/>
      <c r="E53" s="916"/>
    </row>
    <row r="54" spans="2:5" ht="21">
      <c r="B54" s="916"/>
      <c r="C54" s="916"/>
      <c r="D54" s="916"/>
      <c r="E54" s="916"/>
    </row>
    <row r="55" spans="2:5" ht="16.5" thickBot="1">
      <c r="B55" s="278"/>
      <c r="C55" s="279"/>
      <c r="D55" s="279"/>
      <c r="E55" s="279"/>
    </row>
    <row r="56" spans="2:5" ht="33" customHeight="1">
      <c r="B56" s="899" t="s">
        <v>652</v>
      </c>
      <c r="C56" s="1016" t="s">
        <v>630</v>
      </c>
      <c r="D56" s="1017"/>
      <c r="E56" s="1018"/>
    </row>
    <row r="57" spans="2:5">
      <c r="B57" s="900"/>
      <c r="C57" s="897" t="s">
        <v>631</v>
      </c>
      <c r="D57" s="783" t="s">
        <v>632</v>
      </c>
      <c r="E57" s="804" t="s">
        <v>633</v>
      </c>
    </row>
    <row r="58" spans="2:5">
      <c r="B58" s="901"/>
      <c r="C58" s="898"/>
      <c r="D58" s="785">
        <v>-0.05</v>
      </c>
      <c r="E58" s="805">
        <v>0.05</v>
      </c>
    </row>
    <row r="59" spans="2:5" ht="15" customHeight="1">
      <c r="B59" s="806" t="s">
        <v>200</v>
      </c>
      <c r="C59" s="791">
        <v>69.900000000000006</v>
      </c>
      <c r="D59" s="791">
        <f>ROUND(C59*(1+D58),2)</f>
        <v>66.41</v>
      </c>
      <c r="E59" s="807">
        <f>ROUND(C59*(1+E58),2)</f>
        <v>73.400000000000006</v>
      </c>
    </row>
    <row r="60" spans="2:5" ht="15" customHeight="1">
      <c r="B60" s="808" t="s">
        <v>653</v>
      </c>
      <c r="C60" s="791">
        <v>6.99</v>
      </c>
      <c r="D60" s="816">
        <f>ROUND(D59*'DISCRETIONARY FEE PERCENTAGES'!$B$6,2)</f>
        <v>6.64</v>
      </c>
      <c r="E60" s="807">
        <f>ROUND(E59*'DISCRETIONARY FEE PERCENTAGES'!$B$6,2)</f>
        <v>7.34</v>
      </c>
    </row>
    <row r="61" spans="2:5" ht="15" customHeight="1">
      <c r="B61" s="808" t="s">
        <v>635</v>
      </c>
      <c r="C61" s="791">
        <v>3.5</v>
      </c>
      <c r="D61" s="816">
        <f>ROUND(D59*'DISCRETIONARY FEE PERCENTAGES'!$B$25,2)</f>
        <v>3.32</v>
      </c>
      <c r="E61" s="807">
        <f>ROUND(E59*'DISCRETIONARY FEE PERCENTAGES'!$B$25,2)</f>
        <v>3.67</v>
      </c>
    </row>
    <row r="62" spans="2:5" ht="15" customHeight="1">
      <c r="B62" s="808" t="s">
        <v>654</v>
      </c>
      <c r="C62" s="791">
        <v>3.5</v>
      </c>
      <c r="D62" s="816">
        <f>ROUND(D59*'DISCRETIONARY FEE PERCENTAGES'!$B$19,2)</f>
        <v>3.32</v>
      </c>
      <c r="E62" s="807">
        <f>ROUND(E59*'DISCRETIONARY FEE PERCENTAGES'!$B$19,2)</f>
        <v>3.67</v>
      </c>
    </row>
    <row r="63" spans="2:5" ht="33" customHeight="1">
      <c r="B63" s="902" t="s">
        <v>655</v>
      </c>
      <c r="C63" s="1010" t="s">
        <v>630</v>
      </c>
      <c r="D63" s="1011"/>
      <c r="E63" s="1019"/>
    </row>
    <row r="64" spans="2:5">
      <c r="B64" s="900"/>
      <c r="C64" s="897" t="s">
        <v>631</v>
      </c>
      <c r="D64" s="783" t="s">
        <v>632</v>
      </c>
      <c r="E64" s="804" t="s">
        <v>633</v>
      </c>
    </row>
    <row r="65" spans="2:16">
      <c r="B65" s="901"/>
      <c r="C65" s="898"/>
      <c r="D65" s="785">
        <f>D58</f>
        <v>-0.05</v>
      </c>
      <c r="E65" s="805">
        <f>E58</f>
        <v>0.05</v>
      </c>
    </row>
    <row r="66" spans="2:16" ht="15" customHeight="1">
      <c r="B66" s="806" t="s">
        <v>200</v>
      </c>
      <c r="C66" s="791">
        <v>69.900000000000006</v>
      </c>
      <c r="D66" s="791">
        <f>ROUND(C66*(1+D65),2)</f>
        <v>66.41</v>
      </c>
      <c r="E66" s="807">
        <f>ROUND(C66*(1+E65),2)</f>
        <v>73.400000000000006</v>
      </c>
    </row>
    <row r="67" spans="2:16" ht="15" customHeight="1">
      <c r="B67" s="806" t="s">
        <v>639</v>
      </c>
      <c r="C67" s="791">
        <v>209.70000000000002</v>
      </c>
      <c r="D67" s="791">
        <f>ROUND(C67*(1+D65),2)</f>
        <v>199.22</v>
      </c>
      <c r="E67" s="807">
        <f>ROUND(C67*(1+E65),2)</f>
        <v>220.19</v>
      </c>
    </row>
    <row r="68" spans="2:16" ht="15" customHeight="1">
      <c r="B68" s="808" t="s">
        <v>656</v>
      </c>
      <c r="C68" s="791">
        <v>27.96</v>
      </c>
      <c r="D68" s="816">
        <f>ROUND((D66+D67)*'DISCRETIONARY FEE PERCENTAGES'!$B$10,2)</f>
        <v>26.56</v>
      </c>
      <c r="E68" s="807">
        <f>ROUND((E66+E67)*'DISCRETIONARY FEE PERCENTAGES'!$B$10,2)</f>
        <v>29.36</v>
      </c>
    </row>
    <row r="69" spans="2:16" ht="15" customHeight="1">
      <c r="B69" s="808" t="s">
        <v>641</v>
      </c>
      <c r="C69" s="791">
        <v>13.98</v>
      </c>
      <c r="D69" s="816">
        <f>ROUND((D66+D67)*'DISCRETIONARY FEE PERCENTAGES'!$B$28,2)</f>
        <v>13.28</v>
      </c>
      <c r="E69" s="807">
        <f>ROUND((E66+E67)*'DISCRETIONARY FEE PERCENTAGES'!$B$28,2)</f>
        <v>14.68</v>
      </c>
    </row>
    <row r="70" spans="2:16" ht="15" customHeight="1" thickBot="1">
      <c r="B70" s="813" t="s">
        <v>657</v>
      </c>
      <c r="C70" s="817">
        <v>13.98</v>
      </c>
      <c r="D70" s="818">
        <f>ROUND((D66+D67)*'DISCRETIONARY FEE PERCENTAGES'!$B$22,2)</f>
        <v>13.28</v>
      </c>
      <c r="E70" s="819">
        <f>ROUND((E66+E67)*'DISCRETIONARY FEE PERCENTAGES'!$B$22,2)</f>
        <v>14.68</v>
      </c>
    </row>
    <row r="71" spans="2:16" ht="16.5" thickBot="1">
      <c r="B71" s="278"/>
      <c r="C71" s="284"/>
      <c r="D71" s="284"/>
      <c r="E71" s="284"/>
    </row>
    <row r="72" spans="2:16" ht="32.25" customHeight="1">
      <c r="B72" s="894" t="s">
        <v>658</v>
      </c>
      <c r="C72" s="1016" t="s">
        <v>659</v>
      </c>
      <c r="D72" s="1017"/>
      <c r="E72" s="1018"/>
    </row>
    <row r="73" spans="2:16">
      <c r="B73" s="895"/>
      <c r="C73" s="897" t="s">
        <v>631</v>
      </c>
      <c r="D73" s="783" t="s">
        <v>632</v>
      </c>
      <c r="E73" s="804" t="s">
        <v>633</v>
      </c>
    </row>
    <row r="74" spans="2:16">
      <c r="B74" s="896"/>
      <c r="C74" s="898"/>
      <c r="D74" s="785">
        <v>-0.05</v>
      </c>
      <c r="E74" s="805">
        <v>0.05</v>
      </c>
    </row>
    <row r="75" spans="2:16" ht="15" customHeight="1">
      <c r="B75" s="806" t="s">
        <v>660</v>
      </c>
      <c r="C75" s="791">
        <v>30</v>
      </c>
      <c r="D75" s="791">
        <f>ROUND(C75*(1+D74),2)</f>
        <v>28.5</v>
      </c>
      <c r="E75" s="807">
        <f>ROUND(C75*(1+E74),2)</f>
        <v>31.5</v>
      </c>
    </row>
    <row r="76" spans="2:16" ht="15" customHeight="1">
      <c r="B76" s="806"/>
      <c r="C76" s="791"/>
      <c r="D76" s="791"/>
      <c r="E76" s="807"/>
      <c r="F76" s="908"/>
      <c r="G76" s="908"/>
      <c r="H76" s="908"/>
      <c r="I76" s="908"/>
      <c r="J76" s="908"/>
      <c r="K76" s="908"/>
      <c r="L76" s="908"/>
      <c r="M76" s="908"/>
      <c r="N76" s="908"/>
      <c r="O76" s="908"/>
      <c r="P76" s="908"/>
    </row>
    <row r="77" spans="2:16" ht="15" customHeight="1">
      <c r="B77" s="806" t="s">
        <v>661</v>
      </c>
      <c r="C77" s="791">
        <v>45</v>
      </c>
      <c r="D77" s="791">
        <f>ROUND(C77*(1+D74),2)</f>
        <v>42.75</v>
      </c>
      <c r="E77" s="820">
        <f>ROUND(C77*(1+E74),2)</f>
        <v>47.25</v>
      </c>
    </row>
    <row r="78" spans="2:16" ht="15" customHeight="1">
      <c r="C78" s="284"/>
      <c r="D78" s="284"/>
      <c r="E78" s="284"/>
      <c r="F78" s="908"/>
      <c r="G78" s="908"/>
      <c r="H78" s="908"/>
      <c r="I78" s="908"/>
      <c r="J78" s="908"/>
      <c r="K78" s="908"/>
      <c r="L78" s="908"/>
      <c r="M78" s="908"/>
      <c r="N78" s="908"/>
      <c r="O78" s="908"/>
      <c r="P78" s="908"/>
    </row>
    <row r="79" spans="2:16" ht="15" customHeight="1">
      <c r="B79" s="280" t="s">
        <v>662</v>
      </c>
      <c r="C79" s="281"/>
      <c r="D79" s="281"/>
      <c r="E79" s="281"/>
    </row>
    <row r="80" spans="2:16" ht="15" customHeight="1">
      <c r="B80" s="280"/>
      <c r="C80" s="281"/>
      <c r="D80" s="281"/>
      <c r="E80" s="281"/>
    </row>
    <row r="81" spans="2:5" ht="30.6" customHeight="1">
      <c r="B81" s="903" t="s">
        <v>663</v>
      </c>
      <c r="C81" s="903"/>
      <c r="D81" s="903"/>
      <c r="E81" s="903"/>
    </row>
    <row r="83" spans="2:5" ht="15" customHeight="1"/>
    <row r="85" spans="2:5">
      <c r="C85" s="951"/>
      <c r="D85" s="951"/>
      <c r="E85" s="951"/>
    </row>
    <row r="86" spans="2:5">
      <c r="C86" s="282"/>
      <c r="D86" s="282"/>
      <c r="E86" s="282"/>
    </row>
    <row r="87" spans="2:5">
      <c r="C87" s="949"/>
    </row>
    <row r="88" spans="2:5">
      <c r="C88" s="949"/>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7" t="s">
        <v>11</v>
      </c>
      <c r="B1" s="927"/>
      <c r="C1" s="927"/>
    </row>
    <row r="2" spans="1:3" s="85" customFormat="1" ht="21" customHeight="1" thickBot="1">
      <c r="A2" s="927" t="s">
        <v>746</v>
      </c>
      <c r="B2" s="927"/>
      <c r="C2" s="927"/>
    </row>
    <row r="3" spans="1:3" s="85" customFormat="1" ht="26.45" customHeight="1">
      <c r="A3" s="1032" t="s">
        <v>664</v>
      </c>
      <c r="B3" s="1020"/>
      <c r="C3" s="1021"/>
    </row>
    <row r="4" spans="1:3" s="85" customFormat="1" ht="42">
      <c r="A4" s="821" t="s">
        <v>665</v>
      </c>
      <c r="B4" s="822">
        <v>7.0000000000000007E-2</v>
      </c>
      <c r="C4" s="823" t="s">
        <v>666</v>
      </c>
    </row>
    <row r="5" spans="1:3" s="85" customFormat="1" ht="42">
      <c r="A5" s="821" t="s">
        <v>667</v>
      </c>
      <c r="B5" s="822">
        <v>0.05</v>
      </c>
      <c r="C5" s="823" t="s">
        <v>666</v>
      </c>
    </row>
    <row r="6" spans="1:3" s="85" customFormat="1" ht="30.95" customHeight="1">
      <c r="A6" s="824" t="s">
        <v>668</v>
      </c>
      <c r="B6" s="825">
        <v>0.1</v>
      </c>
      <c r="C6" s="826" t="s">
        <v>666</v>
      </c>
    </row>
    <row r="7" spans="1:3" s="85" customFormat="1" ht="26.45" customHeight="1">
      <c r="A7" s="1026" t="s">
        <v>669</v>
      </c>
      <c r="B7" s="1027"/>
      <c r="C7" s="1028"/>
    </row>
    <row r="8" spans="1:3" s="85" customFormat="1" ht="42">
      <c r="A8" s="821" t="s">
        <v>665</v>
      </c>
      <c r="B8" s="822">
        <v>7.0000000000000007E-2</v>
      </c>
      <c r="C8" s="823" t="s">
        <v>670</v>
      </c>
    </row>
    <row r="9" spans="1:3" s="85" customFormat="1" ht="42">
      <c r="A9" s="821" t="s">
        <v>667</v>
      </c>
      <c r="B9" s="822">
        <v>0.05</v>
      </c>
      <c r="C9" s="823" t="s">
        <v>670</v>
      </c>
    </row>
    <row r="10" spans="1:3" s="85" customFormat="1" ht="29.1" customHeight="1">
      <c r="A10" s="824" t="str">
        <f>A6</f>
        <v>CCATD</v>
      </c>
      <c r="B10" s="825">
        <v>0.1</v>
      </c>
      <c r="C10" s="826" t="s">
        <v>670</v>
      </c>
    </row>
    <row r="11" spans="1:3" s="85" customFormat="1" ht="26.45" customHeight="1">
      <c r="A11" s="1026" t="s">
        <v>671</v>
      </c>
      <c r="B11" s="1027"/>
      <c r="C11" s="1028"/>
    </row>
    <row r="12" spans="1:3" s="85" customFormat="1" ht="29.1" customHeight="1">
      <c r="A12" s="821" t="s">
        <v>672</v>
      </c>
      <c r="B12" s="822">
        <v>0.1</v>
      </c>
      <c r="C12" s="823" t="s">
        <v>673</v>
      </c>
    </row>
    <row r="13" spans="1:3" s="85" customFormat="1" ht="30" customHeight="1">
      <c r="A13" s="824" t="str">
        <f>A6</f>
        <v>CCATD</v>
      </c>
      <c r="B13" s="825">
        <v>0</v>
      </c>
      <c r="C13" s="826" t="s">
        <v>674</v>
      </c>
    </row>
    <row r="14" spans="1:3" s="85" customFormat="1" ht="26.45" customHeight="1">
      <c r="A14" s="1029" t="s">
        <v>675</v>
      </c>
      <c r="B14" s="1030"/>
      <c r="C14" s="1031"/>
    </row>
    <row r="15" spans="1:3" s="85" customFormat="1" ht="27.95" customHeight="1">
      <c r="A15" s="821" t="s">
        <v>672</v>
      </c>
      <c r="B15" s="822">
        <v>0.1</v>
      </c>
      <c r="C15" s="823" t="s">
        <v>676</v>
      </c>
    </row>
    <row r="16" spans="1:3" s="85" customFormat="1" ht="27.95" customHeight="1">
      <c r="A16" s="824" t="str">
        <f>A6</f>
        <v>CCATD</v>
      </c>
      <c r="B16" s="825">
        <v>0</v>
      </c>
      <c r="C16" s="826" t="s">
        <v>674</v>
      </c>
    </row>
    <row r="17" spans="1:3" s="85" customFormat="1" ht="26.45" customHeight="1">
      <c r="A17" s="1026" t="s">
        <v>677</v>
      </c>
      <c r="B17" s="1027"/>
      <c r="C17" s="1028"/>
    </row>
    <row r="18" spans="1:3" s="85" customFormat="1" ht="42">
      <c r="A18" s="827" t="s">
        <v>672</v>
      </c>
      <c r="B18" s="822">
        <v>0.2</v>
      </c>
      <c r="C18" s="828" t="s">
        <v>678</v>
      </c>
    </row>
    <row r="19" spans="1:3" s="85" customFormat="1" ht="30.95" customHeight="1">
      <c r="A19" s="824" t="str">
        <f>A6</f>
        <v>CCATD</v>
      </c>
      <c r="B19" s="825">
        <v>0.05</v>
      </c>
      <c r="C19" s="826" t="s">
        <v>679</v>
      </c>
    </row>
    <row r="20" spans="1:3" s="85" customFormat="1" ht="26.45" customHeight="1">
      <c r="A20" s="1026" t="s">
        <v>680</v>
      </c>
      <c r="B20" s="1027"/>
      <c r="C20" s="1028"/>
    </row>
    <row r="21" spans="1:3" s="85" customFormat="1" ht="21">
      <c r="A21" s="827" t="s">
        <v>672</v>
      </c>
      <c r="B21" s="822">
        <v>0.2</v>
      </c>
      <c r="C21" s="823" t="s">
        <v>670</v>
      </c>
    </row>
    <row r="22" spans="1:3" s="85" customFormat="1" ht="27.95" customHeight="1">
      <c r="A22" s="824" t="str">
        <f>A6</f>
        <v>CCATD</v>
      </c>
      <c r="B22" s="825">
        <v>0.05</v>
      </c>
      <c r="C22" s="826" t="s">
        <v>670</v>
      </c>
    </row>
    <row r="23" spans="1:3" s="85" customFormat="1" ht="26.45" customHeight="1">
      <c r="A23" s="1026" t="s">
        <v>681</v>
      </c>
      <c r="B23" s="1027"/>
      <c r="C23" s="1028"/>
    </row>
    <row r="24" spans="1:3" s="85" customFormat="1" ht="21">
      <c r="A24" s="827" t="s">
        <v>672</v>
      </c>
      <c r="B24" s="822">
        <v>0.05</v>
      </c>
      <c r="C24" s="823" t="s">
        <v>673</v>
      </c>
    </row>
    <row r="25" spans="1:3" s="85" customFormat="1" ht="27.95" customHeight="1">
      <c r="A25" s="824" t="str">
        <f>A6</f>
        <v>CCATD</v>
      </c>
      <c r="B25" s="825">
        <v>0.05</v>
      </c>
      <c r="C25" s="829" t="s">
        <v>673</v>
      </c>
    </row>
    <row r="26" spans="1:3" s="85" customFormat="1" ht="26.45" customHeight="1">
      <c r="A26" s="1026" t="s">
        <v>682</v>
      </c>
      <c r="B26" s="1027"/>
      <c r="C26" s="1028"/>
    </row>
    <row r="27" spans="1:3" s="85" customFormat="1" ht="21">
      <c r="A27" s="827" t="s">
        <v>672</v>
      </c>
      <c r="B27" s="822">
        <v>0.05</v>
      </c>
      <c r="C27" s="823" t="s">
        <v>670</v>
      </c>
    </row>
    <row r="28" spans="1:3" s="85" customFormat="1" ht="27.95" customHeight="1" thickBot="1">
      <c r="A28" s="830" t="str">
        <f>A6</f>
        <v>CCATD</v>
      </c>
      <c r="B28" s="831">
        <v>0.05</v>
      </c>
      <c r="C28" s="832" t="s">
        <v>670</v>
      </c>
    </row>
    <row r="30" spans="1:3" ht="61.35" customHeight="1">
      <c r="A30" s="1022" t="s">
        <v>683</v>
      </c>
      <c r="B30" s="1022"/>
      <c r="C30" s="1022"/>
    </row>
    <row r="31" spans="1:3" ht="14.45" customHeight="1">
      <c r="A31" s="1023"/>
      <c r="B31" s="1023"/>
      <c r="C31" s="1023"/>
    </row>
    <row r="32" spans="1:3" ht="31.35" customHeight="1">
      <c r="A32" s="1022" t="s">
        <v>684</v>
      </c>
      <c r="B32" s="1022"/>
      <c r="C32" s="1022"/>
    </row>
    <row r="33" spans="1:3" ht="14.45" customHeight="1">
      <c r="A33" s="1023"/>
      <c r="B33" s="1023"/>
      <c r="C33" s="1023"/>
    </row>
    <row r="34" spans="1:3" ht="30" customHeight="1">
      <c r="A34" s="1022" t="s">
        <v>685</v>
      </c>
      <c r="B34" s="1022"/>
      <c r="C34" s="1022"/>
    </row>
    <row r="35" spans="1:3" ht="14.45" customHeight="1">
      <c r="A35" s="1023"/>
      <c r="B35" s="1023"/>
      <c r="C35" s="1023"/>
    </row>
    <row r="36" spans="1:3" ht="15" customHeight="1">
      <c r="A36" s="1024" t="s">
        <v>686</v>
      </c>
      <c r="B36" s="1023"/>
      <c r="C36" s="1023"/>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8" t="s">
        <v>687</v>
      </c>
    </row>
    <row r="2" spans="1:1">
      <c r="A2" s="618" t="s">
        <v>688</v>
      </c>
    </row>
    <row r="3" spans="1:1">
      <c r="A3" s="618" t="s">
        <v>689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ee822479-6e51-4d14-b6b0-2c589e913e66"/>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2021-05-06T15:15:13Z</cp:lastPrinted>
  <dcterms:created xsi:type="dcterms:W3CDTF">2005-03-22T15:46:43Z</dcterms:created>
  <dcterms:modified xsi:type="dcterms:W3CDTF">2023-08-09T20:37:59Z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