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7EC09A6C-B75C-4D7B-A3E7-7B52AAD73A55}"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5" i="15" l="1"/>
  <c r="G226" i="7"/>
  <c r="G206" i="7"/>
  <c r="B10" i="8"/>
  <c r="G192" i="7"/>
  <c r="G177" i="7"/>
  <c r="G176" i="7"/>
  <c r="G166" i="7"/>
  <c r="G161" i="7"/>
  <c r="G154" i="7"/>
  <c r="B18" i="8"/>
  <c r="B17" i="8"/>
  <c r="B16" i="8"/>
  <c r="B14" i="8"/>
  <c r="C17" i="8"/>
  <c r="G212" i="7"/>
  <c r="G211" i="7"/>
  <c r="G207" i="7"/>
  <c r="D17" i="8"/>
  <c r="D73" i="15" l="1"/>
  <c r="D80" i="15"/>
  <c r="D77" i="15"/>
  <c r="D76" i="15"/>
  <c r="D67" i="15"/>
  <c r="D64" i="15"/>
  <c r="D16" i="15"/>
  <c r="G152" i="7" l="1"/>
  <c r="G214" i="7" l="1"/>
  <c r="G213" i="7"/>
  <c r="G210" i="7"/>
  <c r="G205" i="7"/>
  <c r="G203" i="7"/>
  <c r="G202" i="7"/>
  <c r="G201" i="7"/>
  <c r="G200" i="7"/>
  <c r="G199" i="7"/>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9" i="23" s="1"/>
  <c r="D8" i="23"/>
  <c r="B7" i="23"/>
  <c r="D7" i="23" s="1"/>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G32" i="6"/>
  <c r="H32" i="6"/>
  <c r="G30" i="7" s="1"/>
  <c r="F33" i="6"/>
  <c r="G33" i="6"/>
  <c r="F34" i="6"/>
  <c r="G34" i="6"/>
  <c r="H34" i="6"/>
  <c r="G32" i="7" s="1"/>
  <c r="F35" i="6"/>
  <c r="G35" i="6"/>
  <c r="E19" i="6"/>
  <c r="F19" i="6" s="1"/>
  <c r="G21" i="7" s="1"/>
  <c r="E20" i="6"/>
  <c r="F20" i="6" s="1"/>
  <c r="G22" i="7" s="1"/>
  <c r="E21" i="6"/>
  <c r="F21" i="6" s="1"/>
  <c r="G23" i="7" s="1"/>
  <c r="E22" i="6"/>
  <c r="F22" i="6" s="1"/>
  <c r="G24" i="7" s="1"/>
  <c r="E23" i="6"/>
  <c r="F23" i="6" s="1"/>
  <c r="G25" i="7" s="1"/>
  <c r="E24" i="6"/>
  <c r="F24" i="6" s="1"/>
  <c r="G26" i="7" s="1"/>
  <c r="B34" i="5"/>
  <c r="E39" i="6"/>
  <c r="F39" i="6" s="1"/>
  <c r="B35" i="5"/>
  <c r="E40" i="6" s="1"/>
  <c r="F40" i="6" s="1"/>
  <c r="G38" i="7" s="1"/>
  <c r="B37" i="5"/>
  <c r="E41" i="6"/>
  <c r="F41" i="6"/>
  <c r="G39" i="7" s="1"/>
  <c r="B38" i="5"/>
  <c r="E42" i="6"/>
  <c r="F42" i="6"/>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c r="E69" i="22" s="1"/>
  <c r="D65" i="22"/>
  <c r="D67" i="22"/>
  <c r="D59" i="22"/>
  <c r="D60" i="22" s="1"/>
  <c r="D62" i="22"/>
  <c r="B52" i="22"/>
  <c r="E33" i="22"/>
  <c r="E34" i="22"/>
  <c r="D33" i="22"/>
  <c r="D34" i="22"/>
  <c r="D26" i="22"/>
  <c r="D38" i="22"/>
  <c r="C38" i="22"/>
  <c r="E15" i="22"/>
  <c r="D15" i="22"/>
  <c r="B46" i="22"/>
  <c r="E26" i="22"/>
  <c r="E59" i="22"/>
  <c r="E61" i="22"/>
  <c r="E38" i="22"/>
  <c r="B29" i="5"/>
  <c r="H14" i="5"/>
  <c r="G246" i="7"/>
  <c r="E15" i="8"/>
  <c r="E36" i="6"/>
  <c r="D36" i="6"/>
  <c r="D43" i="6"/>
  <c r="D26" i="6"/>
  <c r="E17" i="6"/>
  <c r="G20" i="5"/>
  <c r="H20" i="5"/>
  <c r="G19" i="5"/>
  <c r="H19" i="5" s="1"/>
  <c r="G22" i="5"/>
  <c r="H22" i="5"/>
  <c r="G23" i="5"/>
  <c r="H23" i="5" s="1"/>
  <c r="E20" i="12"/>
  <c r="E29" i="12"/>
  <c r="E30" i="12"/>
  <c r="G194" i="7"/>
  <c r="D21" i="8"/>
  <c r="E59" i="3"/>
  <c r="C94" i="12"/>
  <c r="B31" i="5"/>
  <c r="H31" i="5"/>
  <c r="I31" i="5" s="1"/>
  <c r="B30" i="5"/>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C77" i="3"/>
  <c r="E16" i="4"/>
  <c r="G262" i="7"/>
  <c r="G266" i="7" s="1"/>
  <c r="C102" i="3" s="1"/>
  <c r="E67" i="22"/>
  <c r="D61" i="22"/>
  <c r="E14" i="8"/>
  <c r="G228" i="7"/>
  <c r="X139" i="23"/>
  <c r="E60" i="22"/>
  <c r="F36" i="6"/>
  <c r="E70" i="22"/>
  <c r="D66" i="22"/>
  <c r="D70" i="22" s="1"/>
  <c r="D68" i="22"/>
  <c r="H35" i="6"/>
  <c r="G33" i="7" s="1"/>
  <c r="H33" i="6"/>
  <c r="G31" i="7" s="1"/>
  <c r="H34" i="5"/>
  <c r="I34" i="5" s="1"/>
  <c r="E62" i="22"/>
  <c r="H38" i="5"/>
  <c r="I38" i="5"/>
  <c r="D69" i="22"/>
  <c r="H37" i="5"/>
  <c r="I37" i="5"/>
  <c r="D17" i="6"/>
  <c r="F12" i="6"/>
  <c r="E46" i="3" s="1"/>
  <c r="H12" i="6"/>
  <c r="G14" i="7" s="1"/>
  <c r="F11" i="6"/>
  <c r="H11" i="6" s="1"/>
  <c r="G13" i="7" s="1"/>
  <c r="F14" i="6"/>
  <c r="H14" i="6" s="1"/>
  <c r="G16" i="7" s="1"/>
  <c r="H13" i="6"/>
  <c r="G15" i="7" s="1"/>
  <c r="F15" i="6"/>
  <c r="H15" i="6" s="1"/>
  <c r="G17" i="7" s="1"/>
  <c r="F10" i="6"/>
  <c r="H10" i="6" s="1"/>
  <c r="E47" i="3"/>
  <c r="E45" i="3"/>
  <c r="C95" i="3" l="1"/>
  <c r="C93" i="3"/>
  <c r="E49" i="3"/>
  <c r="E44" i="3"/>
  <c r="F17" i="6"/>
  <c r="E50" i="3" s="1"/>
  <c r="C74" i="3"/>
  <c r="H30" i="5"/>
  <c r="I30" i="5" s="1"/>
  <c r="D118" i="15"/>
  <c r="C126" i="3" s="1"/>
  <c r="G12" i="7"/>
  <c r="G19" i="7" s="1"/>
  <c r="G37" i="7"/>
  <c r="F43" i="6"/>
  <c r="H36" i="6"/>
  <c r="E48" i="3"/>
  <c r="B70" i="6"/>
  <c r="E21" i="8"/>
  <c r="E68" i="22"/>
  <c r="H29" i="5"/>
  <c r="I29" i="5" s="1"/>
  <c r="E65" i="3"/>
  <c r="G75" i="7"/>
  <c r="G85" i="7" s="1"/>
  <c r="D88" i="3"/>
  <c r="F111" i="15"/>
  <c r="G248" i="7"/>
  <c r="G35" i="7"/>
  <c r="T111" i="23"/>
  <c r="C94" i="3"/>
  <c r="C103" i="3"/>
  <c r="G28" i="7"/>
  <c r="G42" i="7"/>
  <c r="H17" i="6"/>
  <c r="F26" i="6"/>
  <c r="D119" i="15"/>
  <c r="C110" i="3"/>
  <c r="C114" i="3" s="1"/>
  <c r="E113" i="15"/>
  <c r="E131" i="15" s="1"/>
  <c r="F93" i="15"/>
  <c r="F118" i="15"/>
  <c r="C119" i="3"/>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F48" i="3" l="1"/>
  <c r="G48" i="3" s="1"/>
  <c r="D129" i="15"/>
  <c r="D131" i="15" s="1"/>
  <c r="H27" i="6"/>
  <c r="H44" i="6"/>
  <c r="E25" i="4"/>
  <c r="E28" i="4" s="1"/>
  <c r="E84" i="3"/>
  <c r="E88" i="3" s="1"/>
  <c r="F113" i="15"/>
  <c r="C96" i="3"/>
  <c r="G44" i="7"/>
  <c r="G63" i="7" s="1"/>
  <c r="G142" i="7" s="1"/>
  <c r="C121" i="3"/>
  <c r="F119" i="15"/>
  <c r="F129" i="15" s="1"/>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H46" i="6" l="1"/>
  <c r="E18" i="4"/>
  <c r="E21" i="4" s="1"/>
  <c r="E23" i="4" s="1"/>
  <c r="E44" i="4" s="1"/>
  <c r="C17" i="3" s="1"/>
  <c r="F84" i="3"/>
  <c r="F88" i="3" s="1"/>
  <c r="C34" i="3"/>
  <c r="C135" i="3"/>
  <c r="F131" i="15"/>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<sst xmlns="http://schemas.openxmlformats.org/spreadsheetml/2006/main" count="1349" uniqueCount="782">
  <si>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</si>
  <si>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</si>
  <si>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</si>
  <si>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</si>
  <si>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</si>
  <si>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</si>
  <si>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</si>
  <si>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</si>
  <si>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</si>
  <si>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</si>
  <si>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</si>
  <si>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</si>
  <si>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</si>
  <si>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</si>
  <si>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</si>
  <si>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</si>
  <si>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</si>
  <si>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</si>
  <si>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</si>
  <si>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</si>
  <si>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</si>
  <si>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</si>
  <si>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</si>
  <si>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</si>
  <si>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</si>
  <si>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</si>
  <si>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</si>
  <si>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</si>
  <si>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</si>
  <si>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</si>
  <si>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</si>
  <si>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</si>
  <si>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</si>
  <si>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</si>
  <si>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</si>
  <si>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</si>
  <si>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</si>
  <si>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</si>
  <si>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</si>
  <si>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</si>
  <si>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</si>
  <si>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</si>
  <si>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</si>
  <si>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</si>
  <si>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</si>
  <si>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</si>
  <si>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</si>
  <si>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</si>
  <si>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</si>
  <si>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</si>
  <si>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</si>
  <si>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</si>
  <si>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</si>
  <si>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</si>
  <si>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</si>
  <si>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</si>
  <si>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</si>
  <si>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</si>
  <si>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</si>
  <si>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</si>
  <si>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</si>
  <si>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</si>
  <si>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</si>
  <si>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</si>
  <si>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</si>
  <si>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</si>
  <si>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</si>
  <si>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</si>
  <si>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</si>
  <si>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</si>
  <si>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</si>
  <si>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</si>
  <si>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</si>
  <si>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</si>
  <si>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</si>
  <si>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</si>
  <si>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</si>
  <si>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</si>
  <si>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</si>
  <si>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</si>
  <si>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</si>
  <si>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</si>
  <si>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</si>
  <si>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</si>
  <si>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</si>
  <si>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</si>
  <si>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</si>
  <si>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</si>
  <si>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</si>
  <si>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</si>
  <si>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</si>
  <si>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</si>
  <si>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</si>
  <si>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</si>
  <si>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</si>
  <si>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</si>
  <si>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</si>
  <si>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</si>
  <si>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</si>
  <si>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</si>
  <si>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</si>
  <si>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</si>
  <si>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</si>
  <si>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</si>
  <si>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</si>
  <si>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</si>
  <si>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</si>
  <si>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</si>
  <si>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</si>
  <si>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</si>
  <si>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</si>
  <si>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</si>
  <si>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</si>
  <si>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</si>
  <si>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</si>
  <si>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</si>
  <si>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</si>
  <si>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</si>
  <si>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</si>
  <si>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</si>
  <si>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</si>
  <si>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</si>
  <si>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</si>
  <si>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</si>
  <si>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</si>
  <si>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</si>
  <si>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</si>
  <si>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</si>
  <si>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</si>
  <si>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</si>
  <si>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</si>
  <si>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</si>
  <si>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</si>
  <si>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</si>
  <si>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</si>
  <si>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</si>
  <si>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</si>
  <si>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</si>
  <si>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</si>
  <si>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</si>
  <si>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</si>
  <si>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</si>
  <si>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</si>
  <si>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</si>
  <si>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</si>
  <si>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</si>
  <si>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</si>
  <si>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</si>
  <si>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</si>
  <si>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</si>
  <si>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</si>
  <si>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</si>
  <si>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</si>
  <si>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</si>
  <si>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</si>
  <si>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</si>
  <si>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</si>
  <si>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</si>
  <si>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</si>
  <si>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</si>
  <si>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</si>
  <si>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</si>
  <si>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</si>
  <si>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</si>
  <si>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</si>
  <si>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</si>
  <si>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</si>
  <si>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</si>
  <si>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</si>
  <si>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</si>
  <si>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</si>
  <si>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</si>
  <si>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</si>
  <si>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</si>
  <si>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</si>
  <si>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</si>
  <si>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</si>
  <si>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</si>
  <si>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</si>
  <si>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</si>
  <si>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</si>
  <si>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</si>
  <si>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</si>
  <si>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</si>
  <si>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</si>
  <si>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</si>
  <si>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</si>
  <si>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</si>
  <si>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</si>
  <si>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</si>
  <si>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</si>
  <si>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</si>
  <si>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</si>
  <si>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</si>
  <si>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</si>
  <si>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</si>
  <si>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</si>
  <si>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</si>
  <si>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</si>
  <si>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</si>
  <si>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</si>
  <si>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</si>
  <si>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</si>
  <si>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</si>
  <si>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</si>
  <si>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</si>
  <si>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</si>
  <si>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</si>
  <si>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</si>
  <si>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</si>
  <si>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</si>
  <si>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</si>
  <si>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</si>
  <si>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</si>
  <si>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</si>
  <si>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</si>
  <si>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</si>
  <si>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</si>
  <si>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</si>
  <si>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</si>
  <si>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</si>
  <si>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</si>
  <si>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</si>
  <si>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</si>
  <si>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</si>
  <si>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</si>
  <si>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</si>
  <si>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</si>
  <si>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</si>
  <si>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</si>
  <si>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</si>
  <si>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</si>
  <si>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</si>
  <si>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</si>
  <si>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</si>
  <si>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</si>
  <si>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</si>
  <si>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</si>
  <si>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</si>
  <si>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</si>
  <si>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</si>
  <si>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</si>
  <si>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</si>
  <si>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</si>
  <si>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</si>
  <si>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</si>
  <si>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</si>
  <si>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</si>
  <si>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</si>
  <si>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</si>
  <si>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</si>
  <si>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</si>
  <si>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</si>
  <si>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</si>
  <si>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</si>
  <si>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</si>
  <si>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</si>
  <si>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</si>
  <si>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</si>
  <si>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</si>
  <si>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</si>
  <si>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</si>
  <si>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</si>
  <si>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</si>
  <si>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</si>
  <si>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</si>
  <si>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</si>
  <si>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</si>
  <si>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</si>
  <si>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</si>
  <si>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</si>
  <si>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</si>
  <si>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</si>
  <si>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</si>
  <si>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</si>
  <si>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</si>
  <si>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</si>
  <si>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</si>
  <si>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</si>
  <si>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</si>
  <si>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</si>
  <si>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</si>
  <si>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</si>
  <si>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</si>
  <si>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</si>
  <si>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</si>
  <si>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</si>
  <si>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</si>
  <si>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</si>
  <si>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</si>
  <si>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</si>
  <si>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</si>
  <si>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</si>
  <si>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</si>
  <si>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</si>
  <si>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</si>
  <si>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</si>
  <si>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</si>
  <si>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</si>
  <si>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</si>
  <si>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</si>
  <si>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</si>
  <si>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</si>
  <si>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</si>
  <si>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</si>
  <si>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</si>
  <si>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</si>
  <si>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</si>
  <si>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</si>
  <si>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</si>
  <si>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</si>
  <si>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</si>
  <si>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</si>
  <si>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</si>
  <si>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</si>
  <si>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</si>
  <si>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</si>
  <si>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</si>
  <si>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</si>
  <si>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</si>
  <si>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</si>
  <si>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</si>
  <si>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</si>
  <si>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</si>
  <si>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</si>
  <si>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</si>
  <si>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</si>
  <si>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</si>
  <si>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</si>
  <si>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</si>
  <si>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</si>
  <si>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</si>
  <si>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</si>
  <si>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</si>
  <si>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</si>
  <si>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</si>
  <si>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</si>
  <si>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</si>
  <si>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</si>
  <si>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</si>
  <si>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</si>
  <si>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</si>
  <si>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</si>
  <si>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</si>
  <si>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</si>
  <si>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</si>
  <si>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</si>
  <si>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</si>
  <si>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</si>
  <si>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</si>
  <si>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</si>
  <si>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</si>
  <si>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</si>
  <si>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</si>
  <si>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</si>
  <si>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</si>
  <si>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</si>
  <si>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</si>
  <si>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</si>
  <si>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</si>
  <si>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</si>
  <si>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</si>
  <si>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</si>
  <si>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</si>
  <si>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</si>
  <si>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</si>
  <si>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</si>
  <si>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</si>
  <si>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</si>
  <si>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</si>
  <si>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</si>
  <si>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</si>
  <si>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</si>
  <si>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</si>
  <si>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</si>
  <si>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</si>
  <si>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</si>
  <si>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</si>
  <si>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</si>
  <si>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</si>
  <si>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</si>
  <si>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</si>
  <si>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</si>
  <si>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</si>
  <si>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</si>
  <si>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</si>
  <si>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</si>
  <si>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</si>
  <si>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</si>
  <si>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</si>
  <si>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</si>
  <si>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</si>
  <si>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</si>
  <si>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</si>
  <si>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</si>
  <si>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</si>
  <si>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</si>
  <si>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</si>
  <si>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</si>
  <si>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</si>
  <si>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</si>
  <si>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</si>
  <si>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</si>
  <si>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</si>
  <si>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</si>
  <si>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</si>
  <si>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</si>
  <si>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</si>
  <si>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</si>
  <si>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</si>
  <si>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</si>
  <si>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</si>
  <si>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</si>
  <si>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</si>
  <si>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</si>
  <si>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</si>
  <si>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</si>
  <si>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</si>
  <si>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</si>
  <si>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</si>
  <si>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</si>
  <si>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</si>
  <si>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</si>
  <si>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</si>
  <si>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</si>
  <si>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</si>
  <si>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</si>
  <si>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</si>
  <si>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</si>
  <si>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</si>
  <si>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</si>
  <si>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</si>
  <si>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</si>
  <si>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</si>
  <si>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</si>
  <si>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</si>
  <si>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</si>
  <si>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</si>
  <si>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</si>
  <si>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</si>
  <si>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</si>
  <si>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</si>
  <si>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</si>
  <si>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</si>
  <si>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</si>
  <si>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</si>
  <si>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</si>
  <si>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</si>
  <si>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</si>
  <si>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</si>
  <si>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</si>
  <si>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</si>
  <si>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</si>
  <si>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</si>
  <si>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</si>
  <si>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</si>
  <si>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</si>
  <si>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</si>
  <si>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</si>
  <si>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</si>
  <si>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</si>
  <si>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</si>
  <si>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</si>
  <si>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</si>
  <si>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</si>
  <si>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</si>
  <si>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</si>
  <si>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</si>
  <si>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</si>
  <si>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</si>
  <si>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</si>
  <si>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</si>
  <si>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</si>
  <si>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</si>
  <si>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</si>
  <si>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</si>
  <si>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</si>
  <si>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</si>
  <si>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</si>
  <si>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</si>
  <si>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</si>
  <si>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</si>
  <si>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</si>
  <si>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</si>
  <si>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</si>
  <si>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</si>
  <si>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</si>
  <si>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</si>
  <si>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</si>
  <si>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</si>
  <si>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</si>
  <si>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</si>
  <si>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</si>
  <si>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</si>
  <si>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</si>
  <si>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</si>
  <si>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</si>
  <si>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</si>
  <si>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</si>
  <si>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</si>
  <si>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</si>
  <si>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</si>
  <si>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</si>
  <si>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</si>
  <si>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</si>
  <si>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</si>
  <si>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</si>
  <si>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</si>
  <si>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</si>
  <si>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</si>
  <si>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</si>
  <si>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</si>
  <si>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</si>
  <si>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</si>
  <si>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</si>
  <si>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</si>
  <si>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</si>
  <si>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</si>
  <si>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</si>
  <si>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</si>
  <si>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</si>
  <si>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</si>
  <si>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</si>
  <si>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</si>
  <si>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</si>
  <si>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</si>
  <si>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</si>
  <si>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</si>
  <si>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</si>
  <si>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</si>
  <si>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</si>
  <si>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</si>
  <si>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</si>
  <si>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</si>
  <si>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</si>
  <si>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</si>
  <si>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</si>
  <si>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</si>
  <si>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</si>
  <si>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</si>
  <si>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</si>
  <si>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</si>
  <si>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</si>
  <si>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</si>
  <si>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</si>
  <si>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</si>
  <si>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</si>
  <si>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</si>
  <si>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</si>
  <si>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</si>
  <si>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</si>
  <si>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</si>
  <si>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</si>
  <si>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</si>
  <si>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</si>
  <si>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</si>
  <si>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</si>
  <si>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</si>
  <si>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</si>
  <si>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</si>
  <si>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</si>
  <si>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</si>
  <si>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</si>
  <si>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</si>
  <si>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</si>
  <si>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</si>
  <si>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</si>
  <si>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</si>
  <si>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</si>
  <si>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</si>
  <si>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</si>
  <si>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</si>
  <si>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</si>
  <si>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</si>
  <si>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</si>
  <si>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</si>
  <si>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</si>
  <si>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</si>
  <si>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</si>
  <si>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</si>
  <si>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</si>
  <si>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</si>
  <si>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</si>
  <si>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</si>
  <si>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</si>
  <si>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</si>
  <si>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</si>
  <si>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</si>
  <si>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</si>
  <si>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</si>
  <si>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</si>
  <si>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</si>
  <si>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</si>
  <si>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</si>
  <si>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</si>
  <si>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</si>
  <si>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</si>
  <si>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</si>
  <si>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</si>
  <si>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</si>
  <si>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</si>
  <si>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</si>
  <si>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</si>
  <si>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</si>
  <si>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</si>
  <si>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</si>
  <si>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</si>
  <si>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</si>
  <si>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</si>
  <si>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</si>
  <si>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</si>
  <si>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</si>
  <si>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</si>
  <si>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</si>
  <si>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</si>
  <si>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</si>
  <si>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</si>
  <si>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</si>
  <si>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</si>
  <si>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</si>
  <si>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</si>
  <si>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</si>
  <si>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</si>
  <si>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</si>
  <si>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</si>
  <si>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</si>
  <si>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</si>
  <si>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</si>
  <si>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</si>
  <si>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</si>
  <si>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</si>
  <si>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</si>
  <si>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</si>
  <si>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</si>
  <si>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</si>
  <si>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</si>
  <si>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</si>
  <si>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</si>
  <si>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</si>
  <si>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</si>
  <si>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</si>
  <si>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</si>
  <si>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</si>
  <si>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</si>
  <si>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</si>
  <si>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</si>
  <si>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</si>
  <si>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</si>
  <si>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</si>
  <si>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</si>
  <si>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</si>
  <si>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</si>
  <si>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</si>
  <si>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</si>
  <si>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</si>
  <si>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</si>
  <si>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</si>
  <si>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</si>
  <si>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</si>
  <si>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</si>
  <si>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</si>
  <si>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</si>
  <si>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</si>
  <si>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</si>
  <si>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</si>
  <si>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</si>
  <si>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</si>
  <si>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</si>
  <si>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</si>
  <si>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</si>
  <si>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</si>
  <si>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</si>
  <si>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</si>
  <si>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</si>
  <si>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</si>
  <si>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</si>
  <si>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</si>
  <si>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</si>
  <si>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</si>
  <si>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</si>
  <si>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</si>
  <si>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</si>
  <si>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</si>
  <si>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</si>
  <si>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</si>
  <si>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</si>
  <si>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</si>
  <si>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</si>
  <si>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</si>
  <si>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</si>
  <si>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</si>
  <si>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</si>
  <si>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</si>
  <si>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</si>
  <si>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</si>
  <si>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</si>
  <si>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</si>
  <si>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</si>
  <si>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</si>
  <si>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</si>
  <si>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</si>
  <si>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</si>
  <si>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</si>
  <si>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</si>
  <si>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</si>
  <si>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</si>
  <si>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</si>
  <si>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</si>
  <si>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</si>
  <si>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</si>
  <si>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</si>
  <si>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</si>
  <si>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</si>
  <si>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</si>
  <si>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</si>
  <si>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</si>
  <si>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</si>
  <si>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</si>
  <si>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</si>
  <si>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</si>
  <si>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</si>
  <si>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</si>
  <si>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</si>
  <si>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</si>
  <si>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</si>
  <si>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</si>
  <si>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</si>
  <si>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</si>
  <si>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</si>
  <si>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</si>
  <si>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</si>
  <si>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</si>
  <si>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</si>
  <si>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</si>
  <si>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</si>
  <si>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</si>
  <si>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</si>
  <si>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</si>
  <si>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</si>
  <si>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</si>
  <si>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</si>
  <si>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</si>
  <si>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</si>
  <si>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</si>
  <si>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</si>
  <si>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</si>
  <si>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</si>
  <si>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</si>
  <si>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</si>
  <si>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</si>
  <si>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</si>
  <si>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</si>
  <si>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</si>
  <si>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</si>
  <si>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</si>
  <si>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</si>
  <si>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</si>
  <si>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</si>
  <si>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</si>
  <si>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</si>
  <si>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</si>
  <si>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</si>
  <si>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</si>
  <si>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</si>
  <si>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</si>
  <si>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</si>
  <si>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</si>
  <si>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</si>
  <si>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</si>
  <si>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</si>
  <si>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</si>
  <si>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</si>
  <si>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</si>
  <si>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</si>
  <si>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</si>
  <si>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</si>
  <si>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</si>
  <si>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</si>
  <si>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</si>
  <si>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</si>
  <si>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</si>
  <si>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We are projecting tuition and fees to be flat for FY 2023-24.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</si>
</sst>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Florida Gateway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f>2512020+6889602</f>
        <v>9401622</v>
      </c>
      <c r="C10" s="456">
        <v>946844</v>
      </c>
      <c r="D10" s="456">
        <v>0</v>
      </c>
      <c r="E10" s="371">
        <f>SUM(B10:D10)</f>
        <v>10348466</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f>79089+2205563</f>
        <v>2284652</v>
      </c>
      <c r="C14" s="458">
        <v>577999</v>
      </c>
      <c r="D14" s="458">
        <v>0</v>
      </c>
      <c r="E14" s="372">
        <f t="shared" ref="E14:E20" si="0">SUM(B14:D14)</f>
        <v>2862651</v>
      </c>
      <c r="F14" s="354"/>
    </row>
    <row r="15" spans="1:8" s="17" customFormat="1" ht="20.100000000000001" customHeight="1">
      <c r="A15" s="370" t="s">
        <v>592</v>
      </c>
      <c r="B15" s="457">
        <v>54100</v>
      </c>
      <c r="C15" s="446">
        <v>115345</v>
      </c>
      <c r="D15" s="446">
        <v>0</v>
      </c>
      <c r="E15" s="372">
        <f>SUM(B15:D15)</f>
        <v>169445</v>
      </c>
      <c r="F15" s="354"/>
    </row>
    <row r="16" spans="1:8" s="17" customFormat="1" ht="20.100000000000001" customHeight="1">
      <c r="A16" s="370" t="s">
        <v>593</v>
      </c>
      <c r="B16" s="457">
        <f>74623+2556075+3617</f>
        <v>2634315</v>
      </c>
      <c r="C16" s="446">
        <v>631246</v>
      </c>
      <c r="D16" s="446">
        <v>0</v>
      </c>
      <c r="E16" s="372">
        <f t="shared" si="0"/>
        <v>3265561</v>
      </c>
      <c r="F16" s="354"/>
    </row>
    <row r="17" spans="1:6" s="17" customFormat="1" ht="20.100000000000001" customHeight="1">
      <c r="A17" s="370" t="s">
        <v>594</v>
      </c>
      <c r="B17" s="457">
        <f>64250+3579912</f>
        <v>3644162</v>
      </c>
      <c r="C17" s="446">
        <f>1779283-90000</f>
        <v>1689283</v>
      </c>
      <c r="D17" s="446">
        <f>101000+90000</f>
        <v>191000</v>
      </c>
      <c r="E17" s="372">
        <f t="shared" si="0"/>
        <v>5524445</v>
      </c>
      <c r="F17" s="354"/>
    </row>
    <row r="18" spans="1:6" s="17" customFormat="1" ht="20.100000000000001" customHeight="1">
      <c r="A18" s="370" t="s">
        <v>595</v>
      </c>
      <c r="B18" s="457">
        <f>53000+551757</f>
        <v>604757</v>
      </c>
      <c r="C18" s="446">
        <v>2830358</v>
      </c>
      <c r="D18" s="446">
        <v>0</v>
      </c>
      <c r="E18" s="372">
        <f t="shared" si="0"/>
        <v>3435115</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v>392186</v>
      </c>
      <c r="C20" s="447">
        <v>720474</v>
      </c>
      <c r="D20" s="447">
        <v>750000</v>
      </c>
      <c r="E20" s="372">
        <f t="shared" si="0"/>
        <v>1862660</v>
      </c>
      <c r="F20" s="354"/>
    </row>
    <row r="21" spans="1:6" s="17" customFormat="1" ht="24" customHeight="1" thickBot="1">
      <c r="A21" s="295" t="s">
        <v>50</v>
      </c>
      <c r="B21" s="355">
        <f>SUM(B10:B20)</f>
        <v>19015794</v>
      </c>
      <c r="C21" s="358">
        <f>SUM(C10:C20)</f>
        <v>7511549</v>
      </c>
      <c r="D21" s="358">
        <f>SUM(D10:D20)</f>
        <v>941000</v>
      </c>
      <c r="E21" s="357">
        <f>SUM(E10:E20)</f>
        <v>27468343</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Florida Gateway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329415</v>
      </c>
      <c r="E15" s="773">
        <v>0</v>
      </c>
      <c r="F15" s="774">
        <f t="shared" si="0"/>
        <v>329415</v>
      </c>
      <c r="I15" s="88"/>
      <c r="J15" s="29"/>
      <c r="K15" s="93"/>
      <c r="L15" s="93"/>
      <c r="M15" s="93"/>
      <c r="N15" s="93"/>
    </row>
    <row r="16" spans="1:224" s="17" customFormat="1" ht="30" customHeight="1">
      <c r="A16" s="770" t="s">
        <v>416</v>
      </c>
      <c r="B16" s="771"/>
      <c r="C16" s="772" t="s">
        <v>417</v>
      </c>
      <c r="D16" s="773">
        <f>8250+8250+38500</f>
        <v>55000</v>
      </c>
      <c r="E16" s="773">
        <v>0</v>
      </c>
      <c r="F16" s="774">
        <f t="shared" si="0"/>
        <v>55000</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0</v>
      </c>
      <c r="E25" s="773">
        <v>0</v>
      </c>
      <c r="F25" s="774">
        <f t="shared" si="0"/>
        <v>0</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0</v>
      </c>
      <c r="E34" s="773">
        <v>0</v>
      </c>
      <c r="F34" s="774">
        <f t="shared" si="0"/>
        <v>0</v>
      </c>
    </row>
    <row r="35" spans="1:6" s="17" customFormat="1" ht="30" customHeight="1">
      <c r="A35" s="770" t="s">
        <v>453</v>
      </c>
      <c r="B35" s="771"/>
      <c r="C35" s="772">
        <v>56001</v>
      </c>
      <c r="D35" s="773">
        <f>224411</f>
        <v>224411</v>
      </c>
      <c r="E35" s="773">
        <v>0</v>
      </c>
      <c r="F35" s="774">
        <f>+D35+E35</f>
        <v>224411</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26463</v>
      </c>
      <c r="E48" s="773">
        <v>0</v>
      </c>
      <c r="F48" s="774">
        <f t="shared" si="0"/>
        <v>26463</v>
      </c>
    </row>
    <row r="49" spans="1:6" s="17" customFormat="1" ht="30" customHeight="1">
      <c r="A49" s="770" t="s">
        <v>478</v>
      </c>
      <c r="B49" s="771"/>
      <c r="C49" s="772" t="s">
        <v>479</v>
      </c>
      <c r="D49" s="773">
        <v>44692</v>
      </c>
      <c r="E49" s="773">
        <v>0</v>
      </c>
      <c r="F49" s="774">
        <f t="shared" si="0"/>
        <v>44692</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44039</v>
      </c>
      <c r="E54" s="773">
        <v>0</v>
      </c>
      <c r="F54" s="774">
        <f t="shared" si="0"/>
        <v>44039</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724020</v>
      </c>
      <c r="E57" s="270">
        <f>SUM(E10:E56)</f>
        <v>0</v>
      </c>
      <c r="F57" s="270">
        <f t="shared" si="0"/>
        <v>724020</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f>3013+10000</f>
        <v>13013</v>
      </c>
      <c r="E64" s="459">
        <v>0</v>
      </c>
      <c r="F64" s="236">
        <f t="shared" si="0"/>
        <v>13013</v>
      </c>
    </row>
    <row r="65" spans="1:6" s="17" customFormat="1" ht="30" customHeight="1">
      <c r="A65" s="770" t="s">
        <v>497</v>
      </c>
      <c r="B65" s="771"/>
      <c r="C65" s="780" t="s">
        <v>498</v>
      </c>
      <c r="D65" s="773">
        <v>300</v>
      </c>
      <c r="E65" s="773">
        <v>0</v>
      </c>
      <c r="F65" s="774">
        <f t="shared" si="0"/>
        <v>300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f>1650+300</f>
        <v>1950</v>
      </c>
      <c r="E67" s="773">
        <v>0</v>
      </c>
      <c r="F67" s="774">
        <f t="shared" si="0"/>
        <v>1950</v>
      </c>
    </row>
    <row r="68" spans="1:6" s="17" customFormat="1" ht="30" customHeight="1">
      <c r="A68" s="770" t="s">
        <v>609</v>
      </c>
      <c r="B68" s="771"/>
      <c r="C68" s="780" t="s">
        <v>504</v>
      </c>
      <c r="D68" s="773">
        <v>200</v>
      </c>
      <c r="E68" s="773">
        <v>0</v>
      </c>
      <c r="F68" s="774">
        <f t="shared" si="0"/>
        <v>200</v>
      </c>
    </row>
    <row r="69" spans="1:6" s="17" customFormat="1" ht="30" customHeight="1">
      <c r="A69" s="770" t="s">
        <v>505</v>
      </c>
      <c r="B69" s="771"/>
      <c r="C69" s="780" t="s">
        <v>506</v>
      </c>
      <c r="D69" s="773">
        <v>0</v>
      </c>
      <c r="E69" s="773">
        <v>0</v>
      </c>
      <c r="F69" s="774">
        <f t="shared" si="0"/>
        <v>0</v>
      </c>
    </row>
    <row r="70" spans="1:6" s="17" customFormat="1" ht="30" customHeight="1">
      <c r="A70" s="1040" t="s">
        <v>697</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714</v>
      </c>
      <c r="B72" s="771"/>
      <c r="C72" s="780" t="s">
        <v>510</v>
      </c>
      <c r="D72" s="773">
        <v>0</v>
      </c>
      <c r="E72" s="773">
        <v>0</v>
      </c>
      <c r="F72" s="774">
        <f t="shared" si="0"/>
        <v>0</v>
      </c>
    </row>
    <row r="73" spans="1:6" s="17" customFormat="1" ht="30" customHeight="1">
      <c r="A73" s="770" t="s">
        <v>511</v>
      </c>
      <c r="B73" s="771"/>
      <c r="C73" s="780" t="s">
        <v>512</v>
      </c>
      <c r="D73" s="773">
        <f>500+1200+6771</f>
        <v>8471</v>
      </c>
      <c r="E73" s="773">
        <v>0</v>
      </c>
      <c r="F73" s="774">
        <f t="shared" si="0"/>
        <v>8471</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f>5777</f>
        <v>5777</v>
      </c>
      <c r="E76" s="773">
        <v>0</v>
      </c>
      <c r="F76" s="774">
        <f t="shared" si="1"/>
        <v>5777</v>
      </c>
    </row>
    <row r="77" spans="1:6" s="17" customFormat="1" ht="30" customHeight="1">
      <c r="A77" s="770" t="s">
        <v>518</v>
      </c>
      <c r="B77" s="771"/>
      <c r="C77" s="780" t="s">
        <v>519</v>
      </c>
      <c r="D77" s="773">
        <f>12000+1285</f>
        <v>13285</v>
      </c>
      <c r="E77" s="773">
        <v>0</v>
      </c>
      <c r="F77" s="774">
        <f t="shared" si="1"/>
        <v>13285</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f>750+400</f>
        <v>1150</v>
      </c>
      <c r="E80" s="773">
        <v>0</v>
      </c>
      <c r="F80" s="774">
        <f t="shared" si="1"/>
        <v>1150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44146</v>
      </c>
      <c r="E93" s="266">
        <f>SUM(E64:E92)</f>
        <v>0</v>
      </c>
      <c r="F93" s="266">
        <f t="shared" si="1"/>
        <v>44146</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701</v>
      </c>
      <c r="B103" s="1122"/>
      <c r="C103" s="1123">
        <v>73001</v>
      </c>
      <c r="D103" s="1147">
        <v>0</v>
      </c>
      <c r="E103" s="1147">
        <v>0</v>
      </c>
      <c r="F103" s="1078">
        <f t="shared" si="1"/>
        <v>0</v>
      </c>
    </row>
    <row r="104" spans="1:6" s="17" customFormat="1" ht="30" customHeight="1">
      <c r="A104" s="1124" t="s">
        <v>702</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696</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768166</v>
      </c>
      <c r="E113" s="266">
        <f>+E57+E93+E111</f>
        <v>0</v>
      </c>
      <c r="F113" s="266">
        <f>SUM(D113:E113)</f>
        <v>768166</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266558</v>
      </c>
      <c r="E118" s="773">
        <v>0</v>
      </c>
      <c r="F118" s="774">
        <f t="shared" ref="F118:F128" si="3">+D118+E118</f>
        <v>266558</v>
      </c>
    </row>
    <row r="119" spans="1:6" s="69" customFormat="1" ht="30" customHeight="1">
      <c r="A119" s="770" t="s">
        <v>618</v>
      </c>
      <c r="B119" s="615"/>
      <c r="C119" s="782"/>
      <c r="D119" s="1103">
        <f>'EXHIBIT C'!F19</f>
        <v>0</v>
      </c>
      <c r="E119" s="773">
        <v>0</v>
      </c>
      <c r="F119" s="774">
        <f t="shared" si="3"/>
        <v>0</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694</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501608</v>
      </c>
      <c r="E124" s="773">
        <v>0</v>
      </c>
      <c r="F124" s="774">
        <f t="shared" si="3"/>
        <v>501608</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768166</v>
      </c>
      <c r="E129" s="260">
        <f>SUM(E117:E128)</f>
        <v>0</v>
      </c>
      <c r="F129" s="261">
        <f>SUM(F117:F128)</f>
        <v>768166</v>
      </c>
    </row>
    <row r="130" spans="1:6" ht="14.1" customHeight="1">
      <c r="A130" s="249"/>
      <c r="B130" s="249"/>
      <c r="C130" s="250"/>
      <c r="D130" s="251"/>
      <c r="E130" s="251"/>
      <c r="F130" s="251"/>
    </row>
    <row r="131" spans="1:6" ht="83.25" customHeight="1">
      <c r="A131" s="949" t="s">
        <v>715</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4" sqref="A4"/>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90" t="s">
        <v>765</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707</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706</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1" t="s">
        <v>773</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770</v>
      </c>
      <c r="C49" s="1042"/>
      <c r="D49" s="1042">
        <v>500000</v>
      </c>
      <c r="E49" s="640">
        <f t="shared" si="1"/>
        <v>500000</v>
      </c>
    </row>
    <row r="50" spans="1:5" ht="62.45" customHeight="1">
      <c r="A50" s="962" t="s">
        <v>31</v>
      </c>
      <c r="B50" s="1041" t="s">
        <v>774</v>
      </c>
      <c r="C50" s="1042"/>
      <c r="D50" s="1042">
        <v>2200000</v>
      </c>
      <c r="E50" s="640">
        <f t="shared" si="1"/>
        <v>2200000</v>
      </c>
    </row>
    <row r="51" spans="1:5" ht="62.45" customHeight="1">
      <c r="A51" s="962" t="s">
        <v>776</v>
      </c>
      <c r="B51" s="1041" t="s">
        <v>777</v>
      </c>
      <c r="C51" s="1042"/>
      <c r="D51" s="1042">
        <v>3850000</v>
      </c>
      <c r="E51" s="1145">
        <f t="shared" si="1"/>
        <v>3850000</v>
      </c>
    </row>
    <row r="52" spans="1:5" ht="62.45" customHeight="1">
      <c r="A52" s="962" t="s">
        <v>37</v>
      </c>
      <c r="B52" s="1041" t="s">
        <v>771</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1" t="s">
        <v>768</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9" t="s">
        <v>775</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1" t="s">
        <v>761</v>
      </c>
      <c r="C67" s="1062"/>
      <c r="D67" s="1062"/>
      <c r="E67" s="1063"/>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780</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754</v>
      </c>
      <c r="B106" s="1045" t="s">
        <v>759</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704</v>
      </c>
      <c r="U108" s="32"/>
      <c r="V108" s="33"/>
      <c r="W108" s="34"/>
      <c r="X108" s="35"/>
      <c r="Y108" s="59"/>
      <c r="Z108" s="1068"/>
      <c r="AA108" s="1069"/>
      <c r="AB108" s="1070"/>
      <c r="AC108" s="19"/>
      <c r="AD108" s="595" t="s">
        <v>756</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755</v>
      </c>
      <c r="R109" s="1084"/>
      <c r="S109" s="1085"/>
      <c r="T109" s="1144"/>
      <c r="U109" s="21"/>
      <c r="V109" s="1053" t="s">
        <v>84</v>
      </c>
      <c r="W109" s="1054"/>
      <c r="X109" s="1058"/>
      <c r="Y109" s="1088"/>
      <c r="Z109" s="1053" t="s">
        <v>85</v>
      </c>
      <c r="AA109" s="1054"/>
      <c r="AB109" s="1055"/>
      <c r="AD109" s="43" t="s">
        <v>86</v>
      </c>
      <c r="AF109" s="19"/>
      <c r="AI109" s="1089" t="s">
        <v>705</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758</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753</v>
      </c>
      <c r="B147" s="1051"/>
      <c r="C147" s="1133"/>
      <c r="D147" s="1133"/>
    </row>
    <row r="148" spans="1:4" ht="21.75" thickBot="1">
      <c r="A148" s="62"/>
      <c r="B148" s="63" t="s">
        <v>766</v>
      </c>
    </row>
    <row r="149" spans="1:4" ht="21.75" thickBot="1">
      <c r="A149" s="62">
        <v>1</v>
      </c>
      <c r="B149" s="52">
        <v>2</v>
      </c>
    </row>
    <row r="150" spans="1:4" ht="57" customHeight="1" thickBot="1">
      <c r="A150" s="38" t="s">
        <v>156</v>
      </c>
      <c r="B150" s="1129" t="s">
        <v>765</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753</v>
      </c>
      <c r="B182" s="1051"/>
    </row>
    <row r="183" spans="1:2" ht="21.75" thickBot="1">
      <c r="A183" s="62"/>
      <c r="B183" s="63" t="s">
        <v>766</v>
      </c>
    </row>
    <row r="184" spans="1:2" ht="21.75" thickBot="1">
      <c r="A184" s="62">
        <v>1</v>
      </c>
      <c r="B184" s="52">
        <v>2</v>
      </c>
    </row>
    <row r="185" spans="1:2" ht="54" thickBot="1">
      <c r="A185" s="1135" t="s">
        <v>708</v>
      </c>
      <c r="B185" s="1129" t="s">
        <v>765</v>
      </c>
    </row>
    <row r="186" spans="1:2" ht="42.75" thickBot="1">
      <c r="A186" s="292" t="s">
        <v>17</v>
      </c>
      <c r="B186" s="23" t="s">
        <v>708</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49"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32</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0.14077279064084594</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3300</v>
      </c>
      <c r="E44" s="114">
        <f>+'EXHIBIT C'!F10</f>
        <v>2904</v>
      </c>
      <c r="F44" s="115">
        <f t="shared" ref="F44:F50" si="0">IF(D44=0,"0",(E44/D44-1))</f>
        <v>-0.12</v>
      </c>
      <c r="G44" s="116" t="str">
        <f t="shared" ref="G44:G50" si="1">IF(OR(F44&gt;3%, F44&lt;-3%),"YES","NO")</f>
        <v>YES</v>
      </c>
      <c r="H44" s="88"/>
    </row>
    <row r="45" spans="1:8" ht="20.100000000000001" customHeight="1">
      <c r="C45" s="117" t="s">
        <v>132</v>
      </c>
      <c r="D45" s="664">
        <f>VLOOKUP($D$7,VLOOKUP!$A$111:$S$139,5)*30+D60</f>
        <v>26425.865081290951</v>
      </c>
      <c r="E45" s="118">
        <f>+'EXHIBIT C'!F11</f>
        <v>29005</v>
      </c>
      <c r="F45" s="665">
        <f t="shared" si="0"/>
        <v>9.7598883169014217E-2</v>
      </c>
      <c r="G45" s="666" t="str">
        <f t="shared" si="1"/>
        <v>YES</v>
      </c>
      <c r="H45" s="88"/>
    </row>
    <row r="46" spans="1:8" ht="20.100000000000001" customHeight="1">
      <c r="C46" s="667" t="s">
        <v>133</v>
      </c>
      <c r="D46" s="668">
        <f>VLOOKUP($D$7,VLOOKUP!$A$111:$S$139,8)*30</f>
        <v>10233.460907599781</v>
      </c>
      <c r="E46" s="669">
        <f>+'EXHIBIT C'!F12</f>
        <v>11611</v>
      </c>
      <c r="F46" s="665">
        <f t="shared" si="0"/>
        <v>0.13461126248864663</v>
      </c>
      <c r="G46" s="666" t="str">
        <f t="shared" si="1"/>
        <v>YES</v>
      </c>
      <c r="H46" s="88"/>
    </row>
    <row r="47" spans="1:8" ht="20.100000000000001" customHeight="1">
      <c r="C47" s="667" t="s">
        <v>82</v>
      </c>
      <c r="D47" s="668">
        <f>VLOOKUP($D$7,VLOOKUP!$A$111:$S$139,17)*30</f>
        <v>7658.2910030133453</v>
      </c>
      <c r="E47" s="669">
        <f>+'EXHIBIT C'!F13</f>
        <v>9990</v>
      </c>
      <c r="F47" s="665">
        <f t="shared" si="0"/>
        <v>0.3044685813152288</v>
      </c>
      <c r="G47" s="666" t="str">
        <f t="shared" si="1"/>
        <v>YES</v>
      </c>
      <c r="H47" s="88"/>
    </row>
    <row r="48" spans="1:8" ht="20.100000000000001" customHeight="1">
      <c r="C48" s="667" t="s">
        <v>134</v>
      </c>
      <c r="D48" s="668">
        <f>VLOOKUP($D$7,VLOOKUP!$A$111:$S$139,11)*30</f>
        <v>1497.7894736842104</v>
      </c>
      <c r="E48" s="669">
        <f>+'EXHIBIT C'!F14</f>
        <v>1161</v>
      </c>
      <c r="F48" s="665">
        <f t="shared" si="0"/>
        <v>-0.22485768500948755</v>
      </c>
      <c r="G48" s="666" t="str">
        <f t="shared" si="1"/>
        <v>YES</v>
      </c>
      <c r="H48" s="88"/>
    </row>
    <row r="49" spans="3:8" ht="20.100000000000001" customHeight="1" thickBot="1">
      <c r="C49" s="670" t="s">
        <v>135</v>
      </c>
      <c r="D49" s="671">
        <f>VLOOKUP($D$7,VLOOKUP!$A$111:$S$139,14)*30</f>
        <v>480</v>
      </c>
      <c r="E49" s="672">
        <f>+'EXHIBIT C'!F15</f>
        <v>444</v>
      </c>
      <c r="F49" s="673">
        <f t="shared" si="0"/>
        <v>-7.4999999999999956E-2</v>
      </c>
      <c r="G49" s="674" t="str">
        <f t="shared" si="1"/>
        <v>YES</v>
      </c>
      <c r="H49" s="88"/>
    </row>
    <row r="50" spans="3:8" ht="20.100000000000001" customHeight="1" thickBot="1">
      <c r="C50" s="119" t="s">
        <v>50</v>
      </c>
      <c r="D50" s="120">
        <f>SUM(D44:D49)</f>
        <v>49595.40646558829</v>
      </c>
      <c r="E50" s="121">
        <f>+'EXHIBIT C'!F17</f>
        <v>55115</v>
      </c>
      <c r="F50" s="122">
        <f t="shared" si="0"/>
        <v>0.11129243467822914</v>
      </c>
      <c r="G50" s="123" t="str">
        <f t="shared" si="1"/>
        <v>YES</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205.5" customHeight="1" thickBot="1">
      <c r="C53" s="1109" t="s">
        <v>781</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0</v>
      </c>
      <c r="F59" s="676" t="str">
        <f t="shared" ref="F59:F65" si="2">IF(D59=0,"0",(E59/D59-1))</f>
        <v>0</v>
      </c>
      <c r="G59" s="677" t="str">
        <f>IF(OR(F59&gt;5%, F59&lt;-5%),"YES","NO")</f>
        <v>NO</v>
      </c>
    </row>
    <row r="60" spans="3:8" ht="20.100000000000001" customHeight="1">
      <c r="C60" s="117" t="s">
        <v>132</v>
      </c>
      <c r="D60" s="675">
        <f>VLOOKUP($D$7,VLOOKUP!$A$111:$S$139,6)*30</f>
        <v>337.76753215239023</v>
      </c>
      <c r="E60" s="131">
        <f>+'EXHIBIT C'!D20</f>
        <v>207</v>
      </c>
      <c r="F60" s="676">
        <f t="shared" si="2"/>
        <v>-0.38715246346825305</v>
      </c>
      <c r="G60" s="677" t="str">
        <f t="shared" ref="G60:G65" si="3">IF(OR(F60&gt;5%, F60&lt;-5%),"YES","NO")</f>
        <v>YES</v>
      </c>
      <c r="H60" s="88"/>
    </row>
    <row r="61" spans="3:8" ht="20.100000000000001" customHeight="1">
      <c r="C61" s="667" t="s">
        <v>133</v>
      </c>
      <c r="D61" s="678">
        <f>VLOOKUP($D$7,VLOOKUP!$A$111:$S$139,9)*30</f>
        <v>261.8562055768179</v>
      </c>
      <c r="E61" s="679">
        <f>+'EXHIBIT C'!D21</f>
        <v>113</v>
      </c>
      <c r="F61" s="676">
        <f t="shared" si="2"/>
        <v>-0.568465449382484</v>
      </c>
      <c r="G61" s="677" t="str">
        <f t="shared" si="3"/>
        <v>YES</v>
      </c>
      <c r="H61" s="88"/>
    </row>
    <row r="62" spans="3:8" ht="20.100000000000001" customHeight="1">
      <c r="C62" s="667" t="s">
        <v>82</v>
      </c>
      <c r="D62" s="678">
        <f>VLOOKUP($D$7,VLOOKUP!$A$111:$S$139,18)*30</f>
        <v>155.16573396470079</v>
      </c>
      <c r="E62" s="679">
        <f>+'EXHIBIT C'!D22</f>
        <v>90</v>
      </c>
      <c r="F62" s="676">
        <f t="shared" si="2"/>
        <v>-0.41997503121098612</v>
      </c>
      <c r="G62" s="677" t="str">
        <f t="shared" si="3"/>
        <v>YES</v>
      </c>
      <c r="H62" s="88"/>
    </row>
    <row r="63" spans="3:8" ht="20.100000000000001" customHeight="1">
      <c r="C63" s="667" t="s">
        <v>134</v>
      </c>
      <c r="D63" s="678">
        <f>VLOOKUP($D$7,VLOOKUP!$A$111:$S$139,12)*30</f>
        <v>32.210526315789473</v>
      </c>
      <c r="E63" s="679">
        <f>+'EXHIBIT C'!D23</f>
        <v>12</v>
      </c>
      <c r="F63" s="676">
        <f t="shared" si="2"/>
        <v>-0.62745098039215685</v>
      </c>
      <c r="G63" s="677" t="str">
        <f t="shared" si="3"/>
        <v>YES</v>
      </c>
      <c r="H63" s="88"/>
    </row>
    <row r="64" spans="3:8" ht="20.100000000000001" customHeight="1" thickBot="1">
      <c r="C64" s="670" t="s">
        <v>135</v>
      </c>
      <c r="D64" s="680">
        <f>VLOOKUP($D$7,VLOOKUP!$A$111:$S$139,15)*30</f>
        <v>0</v>
      </c>
      <c r="E64" s="681">
        <f>+'EXHIBIT C'!D24</f>
        <v>12</v>
      </c>
      <c r="F64" s="682" t="str">
        <f t="shared" si="2"/>
        <v>0</v>
      </c>
      <c r="G64" s="683" t="str">
        <f t="shared" si="3"/>
        <v>NO</v>
      </c>
      <c r="H64" s="88"/>
    </row>
    <row r="65" spans="1:8" ht="20.100000000000001" customHeight="1" thickBot="1">
      <c r="C65" s="119" t="s">
        <v>50</v>
      </c>
      <c r="D65" s="132">
        <f>SUM(D59:D64)</f>
        <v>786.99999800969852</v>
      </c>
      <c r="E65" s="133">
        <f>SUM(E59:E64)</f>
        <v>434</v>
      </c>
      <c r="F65" s="134">
        <f t="shared" si="2"/>
        <v>-0.44853875337029969</v>
      </c>
      <c r="G65" s="135" t="str">
        <f t="shared" si="3"/>
        <v>YES</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227.25" customHeight="1" thickBot="1">
      <c r="A68" s="98"/>
      <c r="B68" s="98"/>
      <c r="C68" s="1112" t="s">
        <v>781</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15047680</v>
      </c>
      <c r="E84" s="1150">
        <f>+'EXHIBIT D'!G75</f>
        <v>15047680</v>
      </c>
      <c r="F84" s="1150">
        <f>D84-E84</f>
        <v>0</v>
      </c>
      <c r="G84" s="88"/>
      <c r="H84" s="88"/>
    </row>
    <row r="85" spans="1:8" ht="20.100000000000001" customHeight="1">
      <c r="A85" s="98"/>
      <c r="B85" s="98"/>
      <c r="C85" s="688" t="s">
        <v>156</v>
      </c>
      <c r="D85" s="687">
        <f>VLOOKUP($D$7,VLOOKUP!$A$152:$B$180,2)</f>
        <v>239130</v>
      </c>
      <c r="E85" s="1150">
        <f>'EXHIBIT D'!G77</f>
        <v>239130</v>
      </c>
      <c r="F85" s="1150">
        <f>D85-E85</f>
        <v>0</v>
      </c>
      <c r="G85" s="88"/>
      <c r="H85" s="88"/>
    </row>
    <row r="86" spans="1:8" ht="20.100000000000001" customHeight="1">
      <c r="A86" s="98"/>
      <c r="B86" s="98"/>
      <c r="C86" s="688" t="s">
        <v>157</v>
      </c>
      <c r="D86" s="687">
        <f>VLOOKUP($D$7,VLOOKUP!$A$7:$E$35,3)</f>
        <v>3289124</v>
      </c>
      <c r="E86" s="1150">
        <f>'EXHIBIT D'!G81</f>
        <v>3289124</v>
      </c>
      <c r="F86" s="1150">
        <f>D86-E86</f>
        <v>0</v>
      </c>
      <c r="G86" s="88"/>
      <c r="H86" s="88"/>
    </row>
    <row r="87" spans="1:8" ht="20.100000000000001" customHeight="1" thickBot="1">
      <c r="A87" s="97"/>
      <c r="B87" s="97"/>
      <c r="C87" s="143" t="s">
        <v>708</v>
      </c>
      <c r="D87" s="687">
        <f>VLOOKUP($D$7,VLOOKUP!$A$187:$B$215,2)</f>
        <v>1501485</v>
      </c>
      <c r="E87" s="1151">
        <f>'EXHIBIT D'!G76</f>
        <v>1501485</v>
      </c>
      <c r="F87" s="1150">
        <f>D87-E87</f>
        <v>0</v>
      </c>
      <c r="G87" s="88"/>
      <c r="H87" s="88"/>
    </row>
    <row r="88" spans="1:8" ht="20.100000000000001" customHeight="1" thickBot="1">
      <c r="A88" s="97"/>
      <c r="B88" s="97"/>
      <c r="C88" s="144" t="s">
        <v>158</v>
      </c>
      <c r="D88" s="145">
        <f>SUM(D84:D87)</f>
        <v>20077419</v>
      </c>
      <c r="E88" s="145">
        <f>SUM(E84:E87)</f>
        <v>20077419</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4853490.37</v>
      </c>
      <c r="D101" s="836" t="s">
        <v>721</v>
      </c>
      <c r="E101" s="836"/>
      <c r="F101" s="836"/>
      <c r="G101" s="88"/>
      <c r="H101" s="88"/>
    </row>
    <row r="102" spans="1:8" ht="20.100000000000001" customHeight="1">
      <c r="A102" s="95"/>
      <c r="B102" s="95"/>
      <c r="C102" s="691">
        <f>'EXHIBIT D'!G266-'EXHIBIT D'!G252-'EXHIBIT D'!G264</f>
        <v>4853490.37</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11779296</v>
      </c>
      <c r="D108" s="17" t="s">
        <v>723</v>
      </c>
    </row>
    <row r="109" spans="1:8" ht="26.25" customHeight="1">
      <c r="A109" s="151"/>
      <c r="B109" s="151"/>
      <c r="C109" s="693">
        <f>'EXHIBIT A'!E36</f>
        <v>11829296</v>
      </c>
      <c r="D109" s="17" t="s">
        <v>724</v>
      </c>
    </row>
    <row r="110" spans="1:8" ht="26.1" customHeight="1">
      <c r="A110" s="151"/>
      <c r="B110" s="151"/>
      <c r="C110" s="694">
        <f>C108-C109</f>
        <v>-50000</v>
      </c>
      <c r="D110" s="89" t="s">
        <v>166</v>
      </c>
      <c r="E110" s="89"/>
      <c r="F110" s="89"/>
      <c r="G110" s="89"/>
    </row>
    <row r="111" spans="1:8" ht="20.100000000000001" customHeight="1">
      <c r="A111" s="151"/>
      <c r="B111" s="151"/>
      <c r="C111" s="154"/>
    </row>
    <row r="112" spans="1:8" ht="26.1" customHeight="1">
      <c r="A112" s="151"/>
      <c r="B112" s="151"/>
      <c r="C112" s="692">
        <f>'EXHIBIT D'!G186</f>
        <v>50000</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91.789944903581272</v>
      </c>
      <c r="D119" s="17" t="s">
        <v>87</v>
      </c>
    </row>
    <row r="120" spans="1:8" ht="20.100000000000001" customHeight="1">
      <c r="C120" s="158"/>
    </row>
    <row r="121" spans="1:8" ht="20.100000000000001" customHeight="1">
      <c r="C121" s="159" t="str">
        <f>IF('EXHIBIT G'!D119=0,"No Credit Hours or Not Applicable",('EXHIBIT G'!D119/'EXHIBIT C'!D19))</f>
        <v>No Credit Hours or Not Applicable</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wBzPvK+pl7t+P1RSY48baZ4noQl+pKSYooX/lx65/IlifN/l7mTCqOUF1cp+YKeUGaXW2jcXX818xCcAQd0zaA==" saltValue="uTFN+bhlEPlGRyW9lsfqr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Florida Gateway College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v>-4770164</v>
      </c>
    </row>
    <row r="14" spans="2:7" ht="25.35" customHeight="1">
      <c r="B14" s="17" t="s">
        <v>180</v>
      </c>
      <c r="D14" s="28"/>
      <c r="E14" s="585">
        <v>11779296</v>
      </c>
    </row>
    <row r="15" spans="2:7" ht="25.35" customHeight="1">
      <c r="B15" s="28"/>
      <c r="D15" s="28"/>
      <c r="E15" s="164"/>
    </row>
    <row r="16" spans="2:7" ht="25.35" customHeight="1">
      <c r="B16" s="17" t="s">
        <v>735</v>
      </c>
      <c r="C16" s="28"/>
      <c r="D16" s="28"/>
      <c r="E16" s="586">
        <f>+E14+E13</f>
        <v>7009132</v>
      </c>
    </row>
    <row r="17" spans="2:7" ht="25.35" customHeight="1">
      <c r="B17" s="28"/>
      <c r="C17" s="28"/>
      <c r="D17" s="28"/>
      <c r="E17" s="165"/>
    </row>
    <row r="18" spans="2:7" ht="25.35" customHeight="1">
      <c r="B18" s="17" t="s">
        <v>181</v>
      </c>
      <c r="C18" s="28"/>
      <c r="D18" s="28"/>
      <c r="E18" s="175">
        <f>+'EXHIBIT D'!G142-SUM(+'EXHIBIT D'!G132+'EXHIBIT D'!G133)</f>
        <v>27168343</v>
      </c>
      <c r="G18" s="138"/>
    </row>
    <row r="19" spans="2:7" ht="25.35" customHeight="1">
      <c r="B19" s="17" t="s">
        <v>182</v>
      </c>
      <c r="D19" s="28"/>
      <c r="E19" s="586">
        <f>+'EXHIBIT D'!G132+'EXHIBIT D'!G133</f>
        <v>300000</v>
      </c>
    </row>
    <row r="20" spans="2:7" ht="25.35" customHeight="1">
      <c r="B20" s="28"/>
      <c r="D20" s="28"/>
      <c r="E20" s="170"/>
    </row>
    <row r="21" spans="2:7" ht="25.35" customHeight="1">
      <c r="B21" s="17" t="s">
        <v>183</v>
      </c>
      <c r="C21" s="28"/>
      <c r="D21" s="28"/>
      <c r="E21" s="587">
        <f>+E19+E18</f>
        <v>27468343</v>
      </c>
    </row>
    <row r="22" spans="2:7" ht="25.35" customHeight="1">
      <c r="B22" s="28"/>
      <c r="C22" s="28"/>
      <c r="D22" s="28"/>
      <c r="E22" s="170"/>
    </row>
    <row r="23" spans="2:7" ht="25.35" customHeight="1">
      <c r="B23" s="28" t="s">
        <v>184</v>
      </c>
      <c r="C23" s="28"/>
      <c r="D23" s="28"/>
      <c r="E23" s="587">
        <f>+E21+E16</f>
        <v>34477475</v>
      </c>
    </row>
    <row r="24" spans="2:7" ht="25.35" customHeight="1">
      <c r="B24" s="28"/>
      <c r="C24" s="28"/>
      <c r="D24" s="28"/>
      <c r="E24" s="170"/>
    </row>
    <row r="25" spans="2:7" ht="25.35" customHeight="1">
      <c r="B25" s="17" t="s">
        <v>185</v>
      </c>
      <c r="C25" s="28"/>
      <c r="D25" s="28"/>
      <c r="E25" s="176">
        <f>'EXHIBIT D'!G248-SUM(+'EXHIBIT D'!G222+'EXHIBIT D'!G223)</f>
        <v>27468343</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27468343</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7009132</v>
      </c>
      <c r="E32" s="166"/>
    </row>
    <row r="33" spans="2:10" ht="25.35" customHeight="1">
      <c r="B33" s="17" t="s">
        <v>189</v>
      </c>
      <c r="C33" s="28"/>
      <c r="D33" s="589">
        <f>+'EXHIBIT D'!G186</f>
        <v>50000</v>
      </c>
      <c r="E33" s="166"/>
    </row>
    <row r="34" spans="2:10" ht="25.35" customHeight="1">
      <c r="B34" s="28"/>
      <c r="D34" s="28"/>
      <c r="E34" s="166"/>
      <c r="J34" s="168"/>
    </row>
    <row r="35" spans="2:10" ht="25.35" customHeight="1">
      <c r="B35" s="17" t="s">
        <v>736</v>
      </c>
      <c r="C35" s="28"/>
      <c r="D35" s="28"/>
      <c r="E35" s="169">
        <f>+D32+D33</f>
        <v>7059132</v>
      </c>
    </row>
    <row r="36" spans="2:10" ht="25.35" customHeight="1">
      <c r="B36" s="17" t="s">
        <v>737</v>
      </c>
      <c r="C36" s="28"/>
      <c r="D36" s="28"/>
      <c r="E36" s="587">
        <f>-'EXHIBIT D'!G264</f>
        <v>11829296</v>
      </c>
      <c r="J36" s="48"/>
    </row>
    <row r="37" spans="2:10" ht="25.35" customHeight="1">
      <c r="D37" s="28"/>
      <c r="E37" s="169"/>
    </row>
    <row r="38" spans="2:10" ht="25.35" customHeight="1">
      <c r="B38" s="28" t="s">
        <v>738</v>
      </c>
      <c r="D38" s="28"/>
      <c r="E38" s="586">
        <f>+E35-E36</f>
        <v>-4770164</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4853490.37</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0.14077279064084594</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topLeftCell="A7" zoomScale="50" zoomScaleNormal="50" zoomScalePageLayoutView="50" workbookViewId="0">
      <selection activeCell="A7" sqref="A7"/>
    </sheetView>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Florida Gateway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4.59</v>
      </c>
      <c r="D14" s="983">
        <v>9.18</v>
      </c>
      <c r="E14" s="983">
        <v>9.18</v>
      </c>
      <c r="F14" s="983">
        <v>4.59</v>
      </c>
      <c r="G14" s="696">
        <f>SUM(B14:F14)</f>
        <v>119.33000000000001</v>
      </c>
      <c r="H14" s="367">
        <f>G14*30</f>
        <v>3579.9000000000005</v>
      </c>
    </row>
    <row r="15" spans="1:18" s="17" customFormat="1" ht="20.100000000000001" customHeight="1">
      <c r="A15" s="28" t="s">
        <v>207</v>
      </c>
      <c r="B15" s="984">
        <v>78.94</v>
      </c>
      <c r="C15" s="984">
        <v>5.53</v>
      </c>
      <c r="D15" s="984">
        <v>6.25</v>
      </c>
      <c r="E15" s="984">
        <v>7.89</v>
      </c>
      <c r="F15" s="984">
        <v>3.71</v>
      </c>
      <c r="G15" s="696">
        <f>SUM(B15:F15)</f>
        <v>102.32</v>
      </c>
      <c r="H15" s="340">
        <f>G15*30</f>
        <v>3069.6</v>
      </c>
    </row>
    <row r="16" spans="1:18" s="17" customFormat="1" ht="20.100000000000001" customHeight="1" thickBot="1">
      <c r="A16" s="28" t="s">
        <v>82</v>
      </c>
      <c r="B16" s="985">
        <v>69.900000000000006</v>
      </c>
      <c r="C16" s="985">
        <v>6.99</v>
      </c>
      <c r="D16" s="986"/>
      <c r="E16" s="985">
        <v>3.5</v>
      </c>
      <c r="F16" s="985">
        <v>3.5</v>
      </c>
      <c r="G16" s="341">
        <f>SUM(B16:F16)</f>
        <v>83.89</v>
      </c>
      <c r="H16" s="697">
        <f>G16*30</f>
        <v>2516.6999999999998</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275.37</v>
      </c>
      <c r="D29" s="983">
        <v>18.36</v>
      </c>
      <c r="E29" s="543">
        <f>D14</f>
        <v>9.18</v>
      </c>
      <c r="F29" s="983">
        <v>36.72</v>
      </c>
      <c r="G29" s="983">
        <v>18.36</v>
      </c>
      <c r="H29" s="348">
        <f>SUM(B29:G29)</f>
        <v>449.78000000000009</v>
      </c>
      <c r="I29" s="361">
        <f>H29*30</f>
        <v>13493.400000000003</v>
      </c>
    </row>
    <row r="30" spans="1:11" s="17" customFormat="1" ht="20.100000000000001" customHeight="1">
      <c r="A30" s="28" t="str">
        <f t="shared" si="0"/>
        <v>LOWER LEVEL - CREDIT (A &amp; P, PSV, DEVELOPMENTAL EDUCATION AND EPI)</v>
      </c>
      <c r="B30" s="700">
        <f t="shared" si="0"/>
        <v>78.94</v>
      </c>
      <c r="C30" s="987">
        <v>236.82</v>
      </c>
      <c r="D30" s="987">
        <v>22.1</v>
      </c>
      <c r="E30" s="701">
        <f>D15</f>
        <v>6.25</v>
      </c>
      <c r="F30" s="987">
        <v>31.58</v>
      </c>
      <c r="G30" s="987">
        <v>14.88</v>
      </c>
      <c r="H30" s="696">
        <f>SUM(B30:G30)</f>
        <v>390.57</v>
      </c>
      <c r="I30" s="340">
        <f>H30*30</f>
        <v>11717.1</v>
      </c>
    </row>
    <row r="31" spans="1:11" s="17" customFormat="1" ht="20.100000000000001" customHeight="1" thickBot="1">
      <c r="A31" s="28" t="str">
        <f t="shared" si="0"/>
        <v>CAREER CERTIFICATE AND APPLIED TECHNOLOGY DIPLOMA</v>
      </c>
      <c r="B31" s="411">
        <f t="shared" si="0"/>
        <v>69.900000000000006</v>
      </c>
      <c r="C31" s="984">
        <v>209.7</v>
      </c>
      <c r="D31" s="984">
        <v>27.96</v>
      </c>
      <c r="E31" s="322"/>
      <c r="F31" s="984">
        <v>13.98</v>
      </c>
      <c r="G31" s="984">
        <v>13.98</v>
      </c>
      <c r="H31" s="341">
        <f>SUM(B31:G31)</f>
        <v>335.52000000000004</v>
      </c>
      <c r="I31" s="697">
        <f>H31*30</f>
        <v>10065.6</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Florida Gateway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2914</v>
      </c>
      <c r="E10" s="546">
        <v>10</v>
      </c>
      <c r="F10" s="547">
        <f t="shared" ref="F10:F15" si="0">+D10-E10</f>
        <v>2904</v>
      </c>
      <c r="G10" s="547">
        <f>'EXHIBIT B'!B14</f>
        <v>91.79</v>
      </c>
      <c r="H10" s="548">
        <f>ROUND(+F10*G10,0)</f>
        <v>266558</v>
      </c>
    </row>
    <row r="11" spans="1:9" ht="20.100000000000001" customHeight="1">
      <c r="A11" s="707" t="s">
        <v>200</v>
      </c>
      <c r="B11" s="707" t="s">
        <v>132</v>
      </c>
      <c r="C11" s="708" t="s">
        <v>228</v>
      </c>
      <c r="D11" s="706">
        <v>43305</v>
      </c>
      <c r="E11" s="706">
        <v>14300</v>
      </c>
      <c r="F11" s="709">
        <f t="shared" si="0"/>
        <v>29005</v>
      </c>
      <c r="G11" s="709">
        <f>+'EXHIBIT B'!B15</f>
        <v>78.94</v>
      </c>
      <c r="H11" s="710">
        <f t="shared" ref="H11:H15" si="1">ROUND(+F11*G11,0)</f>
        <v>2289655</v>
      </c>
    </row>
    <row r="12" spans="1:9" ht="20.100000000000001" customHeight="1">
      <c r="A12" s="707" t="s">
        <v>200</v>
      </c>
      <c r="B12" s="707" t="s">
        <v>133</v>
      </c>
      <c r="C12" s="708" t="s">
        <v>229</v>
      </c>
      <c r="D12" s="706">
        <v>12261</v>
      </c>
      <c r="E12" s="706">
        <v>650</v>
      </c>
      <c r="F12" s="709">
        <f t="shared" si="0"/>
        <v>11611</v>
      </c>
      <c r="G12" s="709">
        <f>+'EXHIBIT B'!B15</f>
        <v>78.94</v>
      </c>
      <c r="H12" s="710">
        <f t="shared" si="1"/>
        <v>916572</v>
      </c>
    </row>
    <row r="13" spans="1:9" ht="20.100000000000001" customHeight="1">
      <c r="A13" s="707" t="s">
        <v>200</v>
      </c>
      <c r="B13" s="707" t="s">
        <v>82</v>
      </c>
      <c r="C13" s="708" t="s">
        <v>230</v>
      </c>
      <c r="D13" s="711">
        <v>10110</v>
      </c>
      <c r="E13" s="711">
        <v>120</v>
      </c>
      <c r="F13" s="709">
        <f t="shared" si="0"/>
        <v>9990</v>
      </c>
      <c r="G13" s="709">
        <f>+'EXHIBIT B'!B16</f>
        <v>69.900000000000006</v>
      </c>
      <c r="H13" s="710">
        <f t="shared" si="1"/>
        <v>698301</v>
      </c>
    </row>
    <row r="14" spans="1:9" ht="20.100000000000001" customHeight="1">
      <c r="A14" s="707" t="s">
        <v>200</v>
      </c>
      <c r="B14" s="707" t="s">
        <v>134</v>
      </c>
      <c r="C14" s="708" t="s">
        <v>231</v>
      </c>
      <c r="D14" s="706">
        <v>1281</v>
      </c>
      <c r="E14" s="706">
        <v>120</v>
      </c>
      <c r="F14" s="709">
        <f t="shared" si="0"/>
        <v>1161</v>
      </c>
      <c r="G14" s="709">
        <f>+'EXHIBIT B'!B15</f>
        <v>78.94</v>
      </c>
      <c r="H14" s="710">
        <f t="shared" si="1"/>
        <v>91649</v>
      </c>
    </row>
    <row r="15" spans="1:9" ht="20.100000000000001" customHeight="1" thickBot="1">
      <c r="A15" s="712" t="s">
        <v>200</v>
      </c>
      <c r="B15" s="712" t="s">
        <v>135</v>
      </c>
      <c r="C15" s="713">
        <v>40160</v>
      </c>
      <c r="D15" s="714">
        <v>444</v>
      </c>
      <c r="E15" s="714">
        <v>0</v>
      </c>
      <c r="F15" s="715">
        <f t="shared" si="0"/>
        <v>444</v>
      </c>
      <c r="G15" s="715">
        <f>+'EXHIBIT B'!B15</f>
        <v>78.94</v>
      </c>
      <c r="H15" s="716">
        <f t="shared" si="1"/>
        <v>35049</v>
      </c>
    </row>
    <row r="16" spans="1:9" ht="24.95" customHeight="1" thickBot="1">
      <c r="A16" s="298"/>
      <c r="B16" s="298"/>
      <c r="C16" s="298"/>
      <c r="D16" s="299"/>
      <c r="E16" s="299"/>
      <c r="F16" s="300"/>
      <c r="G16" s="300"/>
      <c r="H16" s="301"/>
    </row>
    <row r="17" spans="1:9" ht="24.95" customHeight="1" thickBot="1">
      <c r="A17" s="302"/>
      <c r="B17" s="303" t="s">
        <v>232</v>
      </c>
      <c r="C17" s="303"/>
      <c r="D17" s="304">
        <f>SUM(D10:D15)</f>
        <v>70315</v>
      </c>
      <c r="E17" s="304">
        <f>SUM(E10:E15)</f>
        <v>15200</v>
      </c>
      <c r="F17" s="305">
        <f>SUM(F10:F15)</f>
        <v>55115</v>
      </c>
      <c r="G17" s="305"/>
      <c r="H17" s="306">
        <f>SUM(H10:H15)</f>
        <v>4297784</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0</v>
      </c>
      <c r="E19" s="718">
        <f>'EXHIBIT B'!C29</f>
        <v>275.37</v>
      </c>
      <c r="F19" s="719">
        <f t="shared" ref="F19:F24" si="2">ROUND(+D19*E19,0)</f>
        <v>0</v>
      </c>
      <c r="G19" s="308"/>
      <c r="H19" s="308"/>
    </row>
    <row r="20" spans="1:9" ht="20.100000000000001" customHeight="1">
      <c r="A20" s="654" t="s">
        <v>215</v>
      </c>
      <c r="B20" s="654" t="s">
        <v>132</v>
      </c>
      <c r="C20" s="720" t="s">
        <v>235</v>
      </c>
      <c r="D20" s="727">
        <v>207</v>
      </c>
      <c r="E20" s="721">
        <f>+'EXHIBIT B'!C30</f>
        <v>236.82</v>
      </c>
      <c r="F20" s="722">
        <f t="shared" si="2"/>
        <v>49022</v>
      </c>
      <c r="G20" s="48"/>
      <c r="H20" s="48"/>
    </row>
    <row r="21" spans="1:9" ht="20.100000000000001" customHeight="1">
      <c r="A21" s="654" t="s">
        <v>215</v>
      </c>
      <c r="B21" s="654" t="s">
        <v>133</v>
      </c>
      <c r="C21" s="720" t="s">
        <v>236</v>
      </c>
      <c r="D21" s="727">
        <v>113</v>
      </c>
      <c r="E21" s="721">
        <f>+'EXHIBIT B'!C30</f>
        <v>236.82</v>
      </c>
      <c r="F21" s="722">
        <f t="shared" si="2"/>
        <v>26761</v>
      </c>
      <c r="G21" s="48"/>
      <c r="H21" s="48"/>
    </row>
    <row r="22" spans="1:9" ht="20.100000000000001" customHeight="1">
      <c r="A22" s="654" t="s">
        <v>215</v>
      </c>
      <c r="B22" s="654" t="s">
        <v>82</v>
      </c>
      <c r="C22" s="720" t="s">
        <v>237</v>
      </c>
      <c r="D22" s="727">
        <v>90</v>
      </c>
      <c r="E22" s="721">
        <f>+'EXHIBIT B'!C31</f>
        <v>209.7</v>
      </c>
      <c r="F22" s="722">
        <f t="shared" si="2"/>
        <v>18873</v>
      </c>
      <c r="G22" s="48"/>
      <c r="H22" s="48"/>
    </row>
    <row r="23" spans="1:9" ht="20.100000000000001" customHeight="1">
      <c r="A23" s="654" t="s">
        <v>215</v>
      </c>
      <c r="B23" s="654" t="s">
        <v>134</v>
      </c>
      <c r="C23" s="720" t="s">
        <v>238</v>
      </c>
      <c r="D23" s="727">
        <v>12</v>
      </c>
      <c r="E23" s="721">
        <f>+'EXHIBIT B'!C30</f>
        <v>236.82</v>
      </c>
      <c r="F23" s="722">
        <f t="shared" si="2"/>
        <v>2842</v>
      </c>
      <c r="G23" s="48"/>
      <c r="H23" s="48"/>
    </row>
    <row r="24" spans="1:9" ht="20.100000000000001" customHeight="1" thickBot="1">
      <c r="A24" s="606" t="s">
        <v>215</v>
      </c>
      <c r="B24" s="606" t="s">
        <v>135</v>
      </c>
      <c r="C24" s="607">
        <v>40360</v>
      </c>
      <c r="D24" s="989">
        <v>12</v>
      </c>
      <c r="E24" s="608">
        <f>+'EXHIBIT B'!C30</f>
        <v>236.82</v>
      </c>
      <c r="F24" s="609">
        <f t="shared" si="2"/>
        <v>2842</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434</v>
      </c>
      <c r="E26" s="725"/>
      <c r="F26" s="726">
        <f>SUM(F19:F24)</f>
        <v>100340</v>
      </c>
      <c r="G26" s="312"/>
      <c r="H26" s="312"/>
    </row>
    <row r="27" spans="1:9" ht="20.100000000000001" customHeight="1" thickBot="1">
      <c r="A27" s="313" t="s">
        <v>239</v>
      </c>
      <c r="B27" s="313"/>
      <c r="C27" s="313"/>
      <c r="D27" s="313"/>
      <c r="E27" s="313"/>
      <c r="F27" s="314"/>
      <c r="G27" s="549"/>
      <c r="H27" s="315">
        <f>H17+F26</f>
        <v>4398124</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4398124</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752</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0</v>
      </c>
      <c r="C54" s="992"/>
      <c r="D54" s="993"/>
      <c r="E54" s="992"/>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1">
        <v>300000</v>
      </c>
      <c r="C63" s="992"/>
      <c r="D63" s="993">
        <v>31000</v>
      </c>
      <c r="E63" s="992">
        <v>11000</v>
      </c>
      <c r="F63" s="993"/>
    </row>
    <row r="64" spans="1:10" ht="24.95" customHeight="1">
      <c r="A64" s="733"/>
      <c r="B64" s="727">
        <v>0</v>
      </c>
      <c r="C64" s="994"/>
      <c r="D64" s="995"/>
      <c r="E64" s="994"/>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300000</v>
      </c>
      <c r="C69" s="1002"/>
      <c r="D69" s="1003"/>
      <c r="E69" s="1002"/>
      <c r="F69" s="1003"/>
    </row>
    <row r="70" spans="1:6" ht="24.95" customHeight="1" thickBot="1">
      <c r="A70" s="292" t="s">
        <v>264</v>
      </c>
      <c r="B70" s="293">
        <f>+B69+B60</f>
        <v>300000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Florida Gateway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Florida Gateway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266558</v>
      </c>
    </row>
    <row r="13" spans="1:8" ht="20.100000000000001" customHeight="1">
      <c r="A13" s="499" t="s">
        <v>200</v>
      </c>
      <c r="B13" s="184"/>
      <c r="C13" s="177" t="s">
        <v>132</v>
      </c>
      <c r="D13" s="184"/>
      <c r="E13" s="184"/>
      <c r="F13" s="189" t="s">
        <v>228</v>
      </c>
      <c r="G13" s="188">
        <f>+'EXHIBIT C'!H11+'EXHIBIT C(2)'!E14</f>
        <v>2289655</v>
      </c>
    </row>
    <row r="14" spans="1:8" ht="20.100000000000001" customHeight="1">
      <c r="A14" s="499" t="s">
        <v>200</v>
      </c>
      <c r="B14" s="184"/>
      <c r="C14" s="184" t="s">
        <v>133</v>
      </c>
      <c r="D14" s="184"/>
      <c r="E14" s="184"/>
      <c r="F14" s="189" t="s">
        <v>229</v>
      </c>
      <c r="G14" s="520">
        <f>+'EXHIBIT C'!H12+'EXHIBIT C(2)'!E15</f>
        <v>916572</v>
      </c>
    </row>
    <row r="15" spans="1:8" ht="20.100000000000001" customHeight="1">
      <c r="A15" s="499" t="s">
        <v>200</v>
      </c>
      <c r="B15" s="184"/>
      <c r="C15" s="190" t="s">
        <v>281</v>
      </c>
      <c r="D15" s="184"/>
      <c r="E15" s="184"/>
      <c r="F15" s="189" t="s">
        <v>230</v>
      </c>
      <c r="G15" s="520">
        <f>+'EXHIBIT C'!H13+'EXHIBIT C(2)'!E16</f>
        <v>698301</v>
      </c>
    </row>
    <row r="16" spans="1:8" ht="20.100000000000001" customHeight="1">
      <c r="A16" s="499" t="s">
        <v>200</v>
      </c>
      <c r="B16" s="184"/>
      <c r="C16" s="190" t="s">
        <v>282</v>
      </c>
      <c r="D16" s="184"/>
      <c r="E16" s="184"/>
      <c r="F16" s="189" t="s">
        <v>231</v>
      </c>
      <c r="G16" s="521">
        <f>+'EXHIBIT C'!H14+'EXHIBIT C(2)'!E17</f>
        <v>91649</v>
      </c>
    </row>
    <row r="17" spans="1:7" ht="20.100000000000001" customHeight="1">
      <c r="A17" s="499" t="s">
        <v>200</v>
      </c>
      <c r="B17" s="184"/>
      <c r="C17" s="177" t="s">
        <v>135</v>
      </c>
      <c r="D17" s="184"/>
      <c r="E17" s="184"/>
      <c r="F17" s="187">
        <v>40160</v>
      </c>
      <c r="G17" s="521">
        <f>+'EXHIBIT C'!H15+'EXHIBIT C(2)'!E18</f>
        <v>35049</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4297784</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0</v>
      </c>
    </row>
    <row r="22" spans="1:7" ht="20.100000000000001" customHeight="1">
      <c r="A22" s="499" t="s">
        <v>215</v>
      </c>
      <c r="B22" s="184"/>
      <c r="C22" s="177" t="s">
        <v>132</v>
      </c>
      <c r="D22" s="184"/>
      <c r="E22" s="184"/>
      <c r="F22" s="189" t="s">
        <v>235</v>
      </c>
      <c r="G22" s="193">
        <f>+'EXHIBIT C'!F20+'EXHIBIT C(2)'!E23</f>
        <v>49022</v>
      </c>
    </row>
    <row r="23" spans="1:7" ht="20.100000000000001" customHeight="1">
      <c r="A23" s="499" t="s">
        <v>215</v>
      </c>
      <c r="B23" s="184"/>
      <c r="C23" s="184" t="s">
        <v>133</v>
      </c>
      <c r="D23" s="184"/>
      <c r="E23" s="184"/>
      <c r="F23" s="189" t="s">
        <v>236</v>
      </c>
      <c r="G23" s="198">
        <f>+'EXHIBIT C'!F21+'EXHIBIT C(2)'!E24</f>
        <v>26761</v>
      </c>
    </row>
    <row r="24" spans="1:7" ht="20.100000000000001" customHeight="1">
      <c r="A24" s="499" t="s">
        <v>215</v>
      </c>
      <c r="B24" s="184"/>
      <c r="C24" s="190" t="s">
        <v>281</v>
      </c>
      <c r="D24" s="184"/>
      <c r="E24" s="184"/>
      <c r="F24" s="189" t="s">
        <v>237</v>
      </c>
      <c r="G24" s="198">
        <f>+'EXHIBIT C'!F22+'EXHIBIT C(2)'!E25</f>
        <v>18873</v>
      </c>
    </row>
    <row r="25" spans="1:7" ht="20.100000000000001" customHeight="1">
      <c r="A25" s="499" t="s">
        <v>215</v>
      </c>
      <c r="B25" s="184"/>
      <c r="C25" s="190" t="s">
        <v>282</v>
      </c>
      <c r="D25" s="184"/>
      <c r="E25" s="184"/>
      <c r="F25" s="189" t="s">
        <v>238</v>
      </c>
      <c r="G25" s="198">
        <f>+'EXHIBIT C'!F23+'EXHIBIT C(2)'!E26</f>
        <v>2842</v>
      </c>
    </row>
    <row r="26" spans="1:7" ht="20.100000000000001" customHeight="1">
      <c r="A26" s="499" t="s">
        <v>215</v>
      </c>
      <c r="B26" s="184"/>
      <c r="C26" s="177" t="s">
        <v>135</v>
      </c>
      <c r="D26" s="184"/>
      <c r="E26" s="184"/>
      <c r="F26" s="187">
        <v>40360</v>
      </c>
      <c r="G26" s="198">
        <f>+'EXHIBIT C'!F24+'EXHIBIT C(2)'!E27</f>
        <v>2842</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100340</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4398124</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55000</v>
      </c>
    </row>
    <row r="48" spans="1:7" ht="20.100000000000001" customHeight="1">
      <c r="A48" s="499" t="s">
        <v>296</v>
      </c>
      <c r="C48" s="199"/>
      <c r="D48" s="199"/>
      <c r="E48" s="199"/>
      <c r="F48" s="200" t="s">
        <v>297</v>
      </c>
      <c r="G48" s="448">
        <v>50000</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609500</v>
      </c>
    </row>
    <row r="51" spans="1:7" ht="20.100000000000001" customHeight="1">
      <c r="A51" s="499" t="s">
        <v>302</v>
      </c>
      <c r="B51" s="184"/>
      <c r="C51" s="184"/>
      <c r="D51" s="184"/>
      <c r="E51" s="184"/>
      <c r="F51" s="187">
        <v>40450</v>
      </c>
      <c r="G51" s="448">
        <v>300000</v>
      </c>
    </row>
    <row r="52" spans="1:7" ht="20.100000000000001" customHeight="1">
      <c r="A52" s="499" t="s">
        <v>303</v>
      </c>
      <c r="B52" s="184"/>
      <c r="C52" s="184"/>
      <c r="D52" s="184"/>
      <c r="E52" s="184"/>
      <c r="F52" s="189" t="s">
        <v>304</v>
      </c>
      <c r="G52" s="448">
        <v>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225000</v>
      </c>
    </row>
    <row r="59" spans="1:7" ht="20.100000000000001" customHeight="1">
      <c r="A59" s="499" t="s">
        <v>317</v>
      </c>
      <c r="B59" s="184"/>
      <c r="C59" s="184"/>
      <c r="D59" s="184"/>
      <c r="E59" s="184"/>
      <c r="F59" s="189" t="s">
        <v>318</v>
      </c>
      <c r="G59" s="448">
        <v>99000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5736624</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500000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500000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15047680</v>
      </c>
    </row>
    <row r="76" spans="1:7" ht="20.100000000000001" customHeight="1">
      <c r="A76" s="499" t="s">
        <v>709</v>
      </c>
      <c r="B76" s="184"/>
      <c r="C76" s="184"/>
      <c r="D76" s="184"/>
      <c r="E76" s="184"/>
      <c r="F76" s="187">
        <v>42130</v>
      </c>
      <c r="G76" s="523">
        <v>1501485</v>
      </c>
    </row>
    <row r="77" spans="1:7" ht="20.100000000000001" customHeight="1">
      <c r="A77" s="501" t="s">
        <v>335</v>
      </c>
      <c r="B77" s="502"/>
      <c r="C77" s="502"/>
      <c r="D77" s="502"/>
      <c r="E77" s="502"/>
      <c r="F77" s="203" t="s">
        <v>336</v>
      </c>
      <c r="G77" s="524">
        <v>239130</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751</v>
      </c>
      <c r="B80" s="184"/>
      <c r="C80" s="184"/>
      <c r="D80" s="184"/>
      <c r="E80" s="184"/>
      <c r="F80" s="189" t="s">
        <v>341</v>
      </c>
      <c r="G80" s="523">
        <v>455500</v>
      </c>
    </row>
    <row r="81" spans="1:10" ht="20.100000000000001" customHeight="1">
      <c r="A81" s="499" t="s">
        <v>342</v>
      </c>
      <c r="B81" s="184"/>
      <c r="C81" s="184"/>
      <c r="D81" s="184"/>
      <c r="E81" s="184"/>
      <c r="F81" s="189" t="s">
        <v>343</v>
      </c>
      <c r="G81" s="522">
        <f>'CHECK SHEET'!D86</f>
        <v>3289124</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20532919</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10000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10000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200000</v>
      </c>
    </row>
    <row r="110" spans="1:7" ht="20.100000000000001" customHeight="1">
      <c r="A110" s="499" t="s">
        <v>369</v>
      </c>
      <c r="B110" s="184"/>
      <c r="C110" s="184"/>
      <c r="D110" s="184"/>
      <c r="E110" s="184"/>
      <c r="F110" s="189" t="s">
        <v>370</v>
      </c>
      <c r="G110" s="449">
        <v>50000</v>
      </c>
    </row>
    <row r="111" spans="1:7" ht="20.100000000000001" customHeight="1">
      <c r="A111" s="499" t="s">
        <v>371</v>
      </c>
      <c r="B111" s="184"/>
      <c r="C111" s="184"/>
      <c r="D111" s="184"/>
      <c r="E111" s="184"/>
      <c r="F111" s="189" t="s">
        <v>372</v>
      </c>
      <c r="G111" s="449">
        <v>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250000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75000</v>
      </c>
    </row>
    <row r="124" spans="1:7" ht="20.100000000000001" customHeight="1">
      <c r="A124" s="499" t="s">
        <v>384</v>
      </c>
      <c r="B124" s="184"/>
      <c r="C124" s="184"/>
      <c r="D124" s="184"/>
      <c r="E124" s="184"/>
      <c r="F124" s="189" t="s">
        <v>385</v>
      </c>
      <c r="G124" s="449">
        <v>3000</v>
      </c>
    </row>
    <row r="125" spans="1:7" ht="20.100000000000001" customHeight="1">
      <c r="A125" s="499" t="s">
        <v>386</v>
      </c>
      <c r="B125" s="184"/>
      <c r="C125" s="184"/>
      <c r="D125" s="184"/>
      <c r="E125" s="184"/>
      <c r="F125" s="189" t="s">
        <v>387</v>
      </c>
      <c r="G125" s="449">
        <v>650</v>
      </c>
    </row>
    <row r="126" spans="1:7" ht="20.100000000000001" customHeight="1">
      <c r="A126" s="499" t="s">
        <v>388</v>
      </c>
      <c r="B126" s="184"/>
      <c r="C126" s="184"/>
      <c r="D126" s="184"/>
      <c r="E126" s="184"/>
      <c r="F126" s="189" t="s">
        <v>389</v>
      </c>
      <c r="G126" s="449">
        <v>55000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133650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711</v>
      </c>
      <c r="B133" s="184"/>
      <c r="C133" s="184"/>
      <c r="D133" s="508"/>
      <c r="E133" s="199"/>
      <c r="F133" s="1118">
        <v>49200</v>
      </c>
      <c r="G133" s="449">
        <v>300000</v>
      </c>
    </row>
    <row r="134" spans="1:7" ht="20.100000000000001" customHeight="1">
      <c r="A134" s="499" t="s">
        <v>394</v>
      </c>
      <c r="B134" s="184"/>
      <c r="C134" s="184"/>
      <c r="D134" s="184"/>
      <c r="E134" s="184"/>
      <c r="F134" s="1074" t="s">
        <v>395</v>
      </c>
      <c r="G134" s="449">
        <v>5000</v>
      </c>
    </row>
    <row r="135" spans="1:7" ht="20.100000000000001" customHeight="1">
      <c r="A135" s="499" t="s">
        <v>396</v>
      </c>
      <c r="B135" s="184"/>
      <c r="C135" s="184"/>
      <c r="D135" s="184"/>
      <c r="E135" s="184"/>
      <c r="F135" s="187">
        <v>49520</v>
      </c>
      <c r="G135" s="449">
        <v>0</v>
      </c>
    </row>
    <row r="136" spans="1:7" ht="20.100000000000001" customHeight="1">
      <c r="A136" s="1043" t="s">
        <v>698</v>
      </c>
      <c r="B136" s="184"/>
      <c r="C136" s="184"/>
      <c r="D136" s="184"/>
      <c r="E136" s="184"/>
      <c r="F136" s="207">
        <v>49521</v>
      </c>
      <c r="G136" s="449">
        <v>0</v>
      </c>
    </row>
    <row r="137" spans="1:7" ht="20.100000000000001" customHeight="1">
      <c r="A137" s="499" t="s">
        <v>397</v>
      </c>
      <c r="B137" s="184"/>
      <c r="C137" s="184"/>
      <c r="D137" s="184"/>
      <c r="E137" s="184"/>
      <c r="F137" s="189" t="s">
        <v>398</v>
      </c>
      <c r="G137" s="449">
        <v>100</v>
      </c>
    </row>
    <row r="138" spans="1:7" ht="20.100000000000001" customHeight="1">
      <c r="A138" s="499" t="s">
        <v>399</v>
      </c>
      <c r="B138" s="184"/>
      <c r="C138" s="184"/>
      <c r="D138" s="184"/>
      <c r="E138" s="184"/>
      <c r="F138" s="189" t="s">
        <v>400</v>
      </c>
      <c r="G138" s="449">
        <v>50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305150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27468343</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686546</v>
      </c>
    </row>
    <row r="147" spans="1:7" ht="20.100000000000001" customHeight="1">
      <c r="A147" s="499" t="s">
        <v>406</v>
      </c>
      <c r="F147" s="189" t="s">
        <v>407</v>
      </c>
      <c r="G147" s="453">
        <v>488167</v>
      </c>
    </row>
    <row r="148" spans="1:7" ht="20.100000000000001" customHeight="1">
      <c r="A148" s="499" t="s">
        <v>408</v>
      </c>
      <c r="F148" s="189" t="s">
        <v>409</v>
      </c>
      <c r="G148" s="453">
        <v>1602650</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4804459</v>
      </c>
    </row>
    <row r="152" spans="1:7" ht="20.100000000000001" customHeight="1">
      <c r="A152" s="499" t="s">
        <v>416</v>
      </c>
      <c r="B152" s="184"/>
      <c r="C152" s="184"/>
      <c r="D152" s="184"/>
      <c r="E152" s="184"/>
      <c r="F152" s="189" t="s">
        <v>417</v>
      </c>
      <c r="G152" s="453">
        <f>868486+8250+160001</f>
        <v>1036737</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f>41659</f>
        <v>41659</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f>1091486+300865</f>
        <v>1392351</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f>1682131+244273</f>
        <v>1926404</v>
      </c>
    </row>
    <row r="167" spans="1:7" ht="20.100000000000001" customHeight="1">
      <c r="A167" s="499" t="s">
        <v>445</v>
      </c>
      <c r="B167" s="184"/>
      <c r="C167" s="184"/>
      <c r="D167" s="184"/>
      <c r="E167" s="184"/>
      <c r="F167" s="189" t="s">
        <v>446</v>
      </c>
      <c r="G167" s="453">
        <v>5000</v>
      </c>
    </row>
    <row r="168" spans="1:7" ht="20.100000000000001" customHeight="1">
      <c r="A168" s="499" t="s">
        <v>447</v>
      </c>
      <c r="B168" s="184"/>
      <c r="C168" s="184"/>
      <c r="D168" s="184"/>
      <c r="E168" s="184"/>
      <c r="F168" s="189" t="s">
        <v>448</v>
      </c>
      <c r="G168" s="453">
        <v>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750</v>
      </c>
    </row>
    <row r="171" spans="1:7" ht="20.100000000000001" customHeight="1">
      <c r="A171" s="499" t="s">
        <v>453</v>
      </c>
      <c r="B171" s="184"/>
      <c r="C171" s="184"/>
      <c r="D171" s="184"/>
      <c r="E171" s="184"/>
      <c r="F171" s="187">
        <v>56001</v>
      </c>
      <c r="G171" s="453">
        <v>1562357</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f>50000+85513</f>
        <v>135513</v>
      </c>
    </row>
    <row r="177" spans="1:7" ht="20.100000000000001" customHeight="1">
      <c r="A177" s="499" t="s">
        <v>462</v>
      </c>
      <c r="B177" s="184"/>
      <c r="C177" s="184"/>
      <c r="D177" s="184"/>
      <c r="E177" s="184"/>
      <c r="F177" s="189" t="s">
        <v>463</v>
      </c>
      <c r="G177" s="453">
        <f>96649+85000+3000+3000+15000</f>
        <v>202649</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54590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850445</v>
      </c>
    </row>
    <row r="185" spans="1:7" ht="20.100000000000001" customHeight="1">
      <c r="A185" s="499" t="s">
        <v>478</v>
      </c>
      <c r="B185" s="184"/>
      <c r="C185" s="184"/>
      <c r="D185" s="184"/>
      <c r="E185" s="184"/>
      <c r="F185" s="189" t="s">
        <v>479</v>
      </c>
      <c r="G185" s="453">
        <v>1660520</v>
      </c>
    </row>
    <row r="186" spans="1:7" ht="20.100000000000001" customHeight="1">
      <c r="A186" s="499" t="s">
        <v>480</v>
      </c>
      <c r="B186" s="184"/>
      <c r="C186" s="184"/>
      <c r="D186" s="184"/>
      <c r="E186" s="184"/>
      <c r="F186" s="189" t="s">
        <v>481</v>
      </c>
      <c r="G186" s="453">
        <v>50000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57197</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2015615</v>
      </c>
    </row>
    <row r="191" spans="1:7" ht="20.100000000000001" customHeight="1">
      <c r="A191" s="499" t="s">
        <v>489</v>
      </c>
      <c r="B191" s="184"/>
      <c r="C191" s="184"/>
      <c r="D191" s="184"/>
      <c r="E191" s="184"/>
      <c r="F191" s="189" t="s">
        <v>490</v>
      </c>
      <c r="G191" s="453">
        <v>50000</v>
      </c>
    </row>
    <row r="192" spans="1:7" ht="20.100000000000001" customHeight="1">
      <c r="A192" s="499" t="s">
        <v>491</v>
      </c>
      <c r="B192" s="184"/>
      <c r="C192" s="184"/>
      <c r="D192" s="184"/>
      <c r="E192" s="184"/>
      <c r="F192" s="189" t="s">
        <v>492</v>
      </c>
      <c r="G192" s="453">
        <f>392185</f>
        <v>392185</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19015794</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405479</v>
      </c>
    </row>
    <row r="199" spans="1:7" ht="20.100000000000001" customHeight="1">
      <c r="A199" s="499" t="s">
        <v>497</v>
      </c>
      <c r="B199" s="184"/>
      <c r="C199" s="184"/>
      <c r="D199" s="184"/>
      <c r="E199" s="184"/>
      <c r="F199" s="189" t="s">
        <v>498</v>
      </c>
      <c r="G199" s="453">
        <f>39335</f>
        <v>39335</v>
      </c>
    </row>
    <row r="200" spans="1:7" ht="20.100000000000001" customHeight="1">
      <c r="A200" s="499" t="s">
        <v>499</v>
      </c>
      <c r="B200" s="184"/>
      <c r="C200" s="184"/>
      <c r="D200" s="184"/>
      <c r="E200" s="184"/>
      <c r="F200" s="189" t="s">
        <v>500</v>
      </c>
      <c r="G200" s="453">
        <f>11600+1000+140550</f>
        <v>153150</v>
      </c>
    </row>
    <row r="201" spans="1:7" ht="20.100000000000001" customHeight="1">
      <c r="A201" s="499" t="s">
        <v>501</v>
      </c>
      <c r="B201" s="184"/>
      <c r="C201" s="184"/>
      <c r="D201" s="184"/>
      <c r="E201" s="184"/>
      <c r="F201" s="189" t="s">
        <v>502</v>
      </c>
      <c r="G201" s="453">
        <f>2300+46376+48488</f>
        <v>97164</v>
      </c>
    </row>
    <row r="202" spans="1:7" ht="20.100000000000001" customHeight="1">
      <c r="A202" s="499" t="s">
        <v>503</v>
      </c>
      <c r="B202" s="184"/>
      <c r="C202" s="184"/>
      <c r="D202" s="184"/>
      <c r="E202" s="184"/>
      <c r="F202" s="189" t="s">
        <v>504</v>
      </c>
      <c r="G202" s="453">
        <f>65600+150+10900+825683+23000+6000</f>
        <v>931333</v>
      </c>
    </row>
    <row r="203" spans="1:7" ht="20.100000000000001" customHeight="1">
      <c r="A203" s="499" t="s">
        <v>505</v>
      </c>
      <c r="B203" s="184"/>
      <c r="C203" s="184"/>
      <c r="D203" s="184"/>
      <c r="E203" s="184"/>
      <c r="F203" s="189" t="s">
        <v>506</v>
      </c>
      <c r="G203" s="453">
        <f>500+42000+4775+14200+11500</f>
        <v>72975</v>
      </c>
    </row>
    <row r="204" spans="1:7" ht="20.100000000000001" customHeight="1">
      <c r="A204" s="499" t="s">
        <v>697</v>
      </c>
      <c r="B204" s="184"/>
      <c r="C204" s="184"/>
      <c r="D204" s="184"/>
      <c r="E204" s="184"/>
      <c r="F204" s="1028">
        <v>63100</v>
      </c>
      <c r="G204" s="453">
        <v>0</v>
      </c>
    </row>
    <row r="205" spans="1:7" ht="20.100000000000001" customHeight="1">
      <c r="A205" s="499" t="s">
        <v>507</v>
      </c>
      <c r="B205" s="184"/>
      <c r="C205" s="184"/>
      <c r="D205" s="184"/>
      <c r="E205" s="184"/>
      <c r="F205" s="189" t="s">
        <v>508</v>
      </c>
      <c r="G205" s="453">
        <f>532902+78000+27000+72000</f>
        <v>709902</v>
      </c>
    </row>
    <row r="206" spans="1:7" ht="20.100000000000001" customHeight="1">
      <c r="A206" s="499" t="s">
        <v>509</v>
      </c>
      <c r="B206" s="184"/>
      <c r="C206" s="184"/>
      <c r="D206" s="184"/>
      <c r="E206" s="184"/>
      <c r="F206" s="189" t="s">
        <v>510</v>
      </c>
      <c r="G206" s="453">
        <f>69250+152600+532972+25300+40300+2350</f>
        <v>822772</v>
      </c>
    </row>
    <row r="207" spans="1:7" ht="20.100000000000001" customHeight="1">
      <c r="A207" s="499" t="s">
        <v>511</v>
      </c>
      <c r="B207" s="184"/>
      <c r="C207" s="184"/>
      <c r="D207" s="184"/>
      <c r="E207" s="184"/>
      <c r="F207" s="189" t="s">
        <v>512</v>
      </c>
      <c r="G207" s="453">
        <f>1095971+1046220</f>
        <v>2142191</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f>34700+75000+39900+38477+1700+40000</f>
        <v>229777</v>
      </c>
    </row>
    <row r="211" spans="1:9" ht="20.100000000000001" customHeight="1">
      <c r="A211" s="499" t="s">
        <v>518</v>
      </c>
      <c r="B211" s="184"/>
      <c r="C211" s="184"/>
      <c r="D211" s="184"/>
      <c r="E211" s="184"/>
      <c r="F211" s="189" t="s">
        <v>519</v>
      </c>
      <c r="G211" s="453">
        <f>368797+65034+6850+60000</f>
        <v>500681</v>
      </c>
    </row>
    <row r="212" spans="1:9" ht="20.100000000000001" customHeight="1">
      <c r="A212" s="499" t="s">
        <v>520</v>
      </c>
      <c r="F212" s="207" t="s">
        <v>521</v>
      </c>
      <c r="G212" s="453">
        <f>67806+43550+2000</f>
        <v>113356</v>
      </c>
    </row>
    <row r="213" spans="1:9" ht="20.100000000000001" customHeight="1">
      <c r="A213" s="499" t="s">
        <v>522</v>
      </c>
      <c r="B213" s="184"/>
      <c r="C213" s="184"/>
      <c r="D213" s="184"/>
      <c r="E213" s="184"/>
      <c r="F213" s="189" t="s">
        <v>523</v>
      </c>
      <c r="G213" s="453">
        <f>21100+20525+5000+2500</f>
        <v>49125</v>
      </c>
    </row>
    <row r="214" spans="1:9" ht="20.100000000000001" customHeight="1">
      <c r="A214" s="499" t="s">
        <v>524</v>
      </c>
      <c r="B214" s="184"/>
      <c r="C214" s="184"/>
      <c r="D214" s="184"/>
      <c r="E214" s="184"/>
      <c r="F214" s="189" t="s">
        <v>525</v>
      </c>
      <c r="G214" s="453">
        <f>280238</f>
        <v>280238</v>
      </c>
    </row>
    <row r="215" spans="1:9" ht="20.100000000000001" customHeight="1">
      <c r="A215" s="499" t="s">
        <v>526</v>
      </c>
      <c r="B215" s="184"/>
      <c r="C215" s="184"/>
      <c r="D215" s="184"/>
      <c r="E215" s="184"/>
      <c r="F215" s="189" t="s">
        <v>527</v>
      </c>
      <c r="G215" s="453">
        <v>116585</v>
      </c>
    </row>
    <row r="216" spans="1:9" ht="20.100000000000001" customHeight="1">
      <c r="A216" s="499" t="s">
        <v>528</v>
      </c>
      <c r="B216" s="184"/>
      <c r="C216" s="184"/>
      <c r="D216" s="184"/>
      <c r="E216" s="184"/>
      <c r="F216" s="205" t="s">
        <v>529</v>
      </c>
      <c r="G216" s="453">
        <v>3000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41000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712</v>
      </c>
      <c r="B222" s="184"/>
      <c r="C222" s="184"/>
      <c r="D222" s="213"/>
      <c r="E222" s="184"/>
      <c r="F222" s="1120">
        <v>69100</v>
      </c>
      <c r="G222" s="453">
        <v>0</v>
      </c>
    </row>
    <row r="223" spans="1:9" ht="20.100000000000001" customHeight="1">
      <c r="A223" s="510" t="s">
        <v>713</v>
      </c>
      <c r="B223" s="214"/>
      <c r="C223" s="214"/>
      <c r="D223" s="215"/>
      <c r="E223" s="214"/>
      <c r="F223" s="1119">
        <v>69200</v>
      </c>
      <c r="G223" s="453">
        <v>0</v>
      </c>
    </row>
    <row r="224" spans="1:9" ht="20.100000000000001" customHeight="1">
      <c r="A224" s="499" t="s">
        <v>540</v>
      </c>
      <c r="B224" s="184"/>
      <c r="C224" s="184"/>
      <c r="D224" s="184"/>
      <c r="E224" s="184"/>
      <c r="F224" s="189" t="s">
        <v>541</v>
      </c>
      <c r="G224" s="453">
        <v>55925</v>
      </c>
      <c r="I224" s="216"/>
    </row>
    <row r="225" spans="1:7" ht="20.100000000000001" customHeight="1">
      <c r="A225" s="499" t="s">
        <v>542</v>
      </c>
      <c r="B225" s="184"/>
      <c r="C225" s="184"/>
      <c r="D225" s="184"/>
      <c r="E225" s="184"/>
      <c r="F225" s="189" t="s">
        <v>543</v>
      </c>
      <c r="G225" s="453">
        <v>100</v>
      </c>
    </row>
    <row r="226" spans="1:7" ht="20.100000000000001" customHeight="1">
      <c r="A226" s="499" t="s">
        <v>544</v>
      </c>
      <c r="B226" s="184"/>
      <c r="C226" s="184"/>
      <c r="D226" s="184"/>
      <c r="E226" s="184"/>
      <c r="F226" s="189" t="s">
        <v>545</v>
      </c>
      <c r="G226" s="1102">
        <f>733382-12909+26989-1</f>
        <v>747461</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7511549</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v>191000</v>
      </c>
    </row>
    <row r="234" spans="1:7" ht="20.100000000000001" customHeight="1">
      <c r="A234" s="499" t="s">
        <v>551</v>
      </c>
      <c r="B234" s="184"/>
      <c r="C234" s="184"/>
      <c r="D234" s="184"/>
      <c r="E234" s="184"/>
      <c r="F234" s="189" t="s">
        <v>552</v>
      </c>
      <c r="G234" s="453">
        <v>0</v>
      </c>
    </row>
    <row r="235" spans="1:7" ht="20.100000000000001" customHeight="1">
      <c r="A235" s="499" t="s">
        <v>553</v>
      </c>
      <c r="B235" s="184"/>
      <c r="C235" s="184"/>
      <c r="D235" s="184"/>
      <c r="E235" s="184"/>
      <c r="F235" s="1074" t="s">
        <v>554</v>
      </c>
      <c r="G235" s="453">
        <v>0</v>
      </c>
    </row>
    <row r="236" spans="1:7" ht="20.100000000000001" customHeight="1">
      <c r="A236" s="499" t="s">
        <v>701</v>
      </c>
      <c r="B236" s="184"/>
      <c r="C236" s="184"/>
      <c r="D236" s="184"/>
      <c r="E236" s="184"/>
      <c r="F236" s="1074">
        <v>73001</v>
      </c>
      <c r="G236" s="453">
        <v>0</v>
      </c>
    </row>
    <row r="237" spans="1:7" ht="20.100000000000001" customHeight="1">
      <c r="A237" s="499" t="s">
        <v>702</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750000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941000</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27468343</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200000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4853490.37</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5053490.37</v>
      </c>
    </row>
    <row r="263" spans="1:12" ht="20.100000000000001" customHeight="1">
      <c r="A263" s="500"/>
      <c r="B263" s="184"/>
      <c r="C263" s="184"/>
      <c r="D263" s="184"/>
      <c r="E263" s="184"/>
      <c r="F263" s="201"/>
      <c r="G263" s="217"/>
    </row>
    <row r="264" spans="1:12" ht="20.100000000000001" customHeight="1" thickBot="1">
      <c r="A264" s="511" t="s">
        <v>703</v>
      </c>
      <c r="F264" s="207">
        <v>30800</v>
      </c>
      <c r="G264" s="454">
        <v>-11829296</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-6775805.6299999999</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3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5:H245 B244:F244 H244"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2021-05-06T15:15:13Z</cp:lastPrinted>
  <dcterms:created xsi:type="dcterms:W3CDTF">2005-03-22T15:46:43Z</dcterms:created>
  <dcterms:modified xsi:type="dcterms:W3CDTF">2023-08-09T20:41:51Z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