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755CCC29-8B85-44A9-9824-9A764C302D6F}"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3" i="7"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9" i="23" s="1"/>
  <c r="D8" i="23"/>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s="1"/>
  <c r="F33" i="6"/>
  <c r="G33" i="6"/>
  <c r="H33" i="6" s="1"/>
  <c r="G31" i="7" s="1"/>
  <c r="F34" i="6"/>
  <c r="G34" i="6"/>
  <c r="H34" i="6"/>
  <c r="G32" i="7" s="1"/>
  <c r="F35" i="6"/>
  <c r="G35" i="6"/>
  <c r="H35" i="6" s="1"/>
  <c r="G33" i="7" s="1"/>
  <c r="E19" i="6"/>
  <c r="F19" i="6" s="1"/>
  <c r="G21" i="7" s="1"/>
  <c r="E20" i="6"/>
  <c r="F20" i="6" s="1"/>
  <c r="G22" i="7" s="1"/>
  <c r="E21" i="6"/>
  <c r="F21" i="6"/>
  <c r="G23" i="7" s="1"/>
  <c r="E22" i="6"/>
  <c r="F22" i="6" s="1"/>
  <c r="G24" i="7" s="1"/>
  <c r="E23" i="6"/>
  <c r="F23" i="6" s="1"/>
  <c r="G25" i="7" s="1"/>
  <c r="E24" i="6"/>
  <c r="F24" i="6" s="1"/>
  <c r="G26" i="7" s="1"/>
  <c r="B34" i="5"/>
  <c r="E39" i="6" s="1"/>
  <c r="F39" i="6" s="1"/>
  <c r="B35" i="5"/>
  <c r="H35" i="5" s="1"/>
  <c r="I35" i="5"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2" i="22" s="1"/>
  <c r="D60" i="22"/>
  <c r="B52" i="22"/>
  <c r="E33" i="22"/>
  <c r="E34" i="22" s="1"/>
  <c r="D33" i="22"/>
  <c r="D34" i="22"/>
  <c r="D26" i="22"/>
  <c r="D38" i="22"/>
  <c r="C38" i="22"/>
  <c r="E15" i="22"/>
  <c r="D15" i="22"/>
  <c r="B46" i="22"/>
  <c r="E26" i="22"/>
  <c r="E59" i="22"/>
  <c r="E61" i="22" s="1"/>
  <c r="E38" i="22"/>
  <c r="B29" i="5"/>
  <c r="H14" i="5"/>
  <c r="G246" i="7"/>
  <c r="E15" i="8"/>
  <c r="E36" i="6"/>
  <c r="F36" i="6" s="1"/>
  <c r="D36" i="6"/>
  <c r="D43" i="6"/>
  <c r="D26" i="6"/>
  <c r="E17" i="6"/>
  <c r="G20" i="5"/>
  <c r="H20" i="5" s="1"/>
  <c r="G19" i="5"/>
  <c r="H19" i="5" s="1"/>
  <c r="G22" i="5"/>
  <c r="H22" i="5" s="1"/>
  <c r="G23" i="5"/>
  <c r="H23" i="5" s="1"/>
  <c r="E20" i="12"/>
  <c r="E30" i="12" s="1"/>
  <c r="E29" i="12"/>
  <c r="G194" i="7"/>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67" i="22"/>
  <c r="D61" i="22"/>
  <c r="E14" i="8"/>
  <c r="G228" i="7"/>
  <c r="X139" i="23"/>
  <c r="D66" i="22"/>
  <c r="H34" i="5"/>
  <c r="I34" i="5" s="1"/>
  <c r="H38" i="5"/>
  <c r="I38" i="5"/>
  <c r="D17" i="6"/>
  <c r="F12" i="6"/>
  <c r="E46" i="3" s="1"/>
  <c r="F11" i="6"/>
  <c r="E45" i="3" s="1"/>
  <c r="F14" i="6"/>
  <c r="H14" i="6" s="1"/>
  <c r="G16" i="7" s="1"/>
  <c r="H13" i="6"/>
  <c r="G15" i="7" s="1"/>
  <c r="F15" i="6"/>
  <c r="E49" i="3" s="1"/>
  <c r="F10" i="6"/>
  <c r="E44" i="3" s="1"/>
  <c r="E47" i="3"/>
  <c r="E69" i="22" l="1"/>
  <c r="E70" i="22"/>
  <c r="D69" i="22"/>
  <c r="D68" i="22"/>
  <c r="D70" i="22"/>
  <c r="E40" i="6"/>
  <c r="F40" i="6" s="1"/>
  <c r="G38" i="7" s="1"/>
  <c r="C77" i="3"/>
  <c r="H15" i="6"/>
  <c r="G17" i="7" s="1"/>
  <c r="B70" i="6"/>
  <c r="C74" i="3"/>
  <c r="E48" i="3"/>
  <c r="H12" i="6"/>
  <c r="G14" i="7" s="1"/>
  <c r="H10" i="6"/>
  <c r="F17" i="6"/>
  <c r="E50" i="3" s="1"/>
  <c r="G37" i="7"/>
  <c r="G42" i="7" s="1"/>
  <c r="F43" i="6"/>
  <c r="G30" i="7"/>
  <c r="G35" i="7" s="1"/>
  <c r="H36" i="6"/>
  <c r="H11" i="6"/>
  <c r="G13" i="7" s="1"/>
  <c r="C93" i="3"/>
  <c r="C95" i="3"/>
  <c r="E60" i="22"/>
  <c r="H29" i="5"/>
  <c r="I29" i="5" s="1"/>
  <c r="E62" i="22"/>
  <c r="E21" i="8"/>
  <c r="E68" i="22"/>
  <c r="H37" i="5"/>
  <c r="I37" i="5" s="1"/>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8" i="3" l="1"/>
  <c r="G48" i="3" s="1"/>
  <c r="D118" i="15"/>
  <c r="G12" i="7"/>
  <c r="G19" i="7" s="1"/>
  <c r="G44" i="7" s="1"/>
  <c r="G63" i="7" s="1"/>
  <c r="G142" i="7" s="1"/>
  <c r="H17" i="6"/>
  <c r="H27" i="6" s="1"/>
  <c r="H44" i="6"/>
  <c r="E25" i="4"/>
  <c r="E28" i="4" s="1"/>
  <c r="F97" i="23"/>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D97" i="23"/>
  <c r="F60" i="3"/>
  <c r="G60" i="3" s="1"/>
  <c r="C126" i="3" l="1"/>
  <c r="F118" i="15"/>
  <c r="F129" i="15" s="1"/>
  <c r="C135" i="3" s="1"/>
  <c r="C119" i="3"/>
  <c r="D129" i="15"/>
  <c r="D131" i="15" s="1"/>
  <c r="H46" i="6"/>
  <c r="C34" i="3" s="1"/>
  <c r="E18" i="4"/>
  <c r="E21" i="4" s="1"/>
  <c r="E23" i="4" s="1"/>
  <c r="E44" i="4" s="1"/>
  <c r="C17" i="3" s="1"/>
  <c r="F84" i="3"/>
  <c r="F88" i="3" s="1"/>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<sst xmlns="http://schemas.openxmlformats.org/spreadsheetml/2006/main" count="1350" uniqueCount="783">
  <si>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</si>
  <si>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</si>
  <si>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</si>
  <si>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</si>
  <si>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</si>
  <si>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</si>
  <si>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</si>
  <si>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</si>
  <si>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</si>
  <si>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</si>
  <si>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</si>
  <si>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</si>
  <si>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</si>
  <si>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</si>
  <si>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</si>
  <si>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</si>
  <si>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</si>
  <si>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</si>
  <si>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</si>
  <si>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</si>
  <si>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</si>
  <si>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</si>
  <si>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</si>
  <si>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</si>
  <si>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</si>
  <si>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</si>
  <si>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</si>
  <si>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</si>
  <si>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</si>
  <si>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</si>
  <si>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</si>
  <si>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</si>
  <si>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</si>
  <si>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</si>
  <si>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</si>
  <si>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</si>
  <si>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</si>
  <si>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</si>
  <si>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</si>
  <si>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</si>
  <si>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</si>
  <si>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</si>
  <si>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</si>
  <si>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</si>
  <si>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</si>
  <si>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</si>
  <si>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</si>
  <si>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</si>
  <si>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</si>
  <si>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</si>
  <si>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</si>
  <si>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</si>
  <si>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</si>
  <si>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</si>
  <si>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</si>
  <si>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</si>
  <si>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</si>
  <si>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</si>
  <si>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</si>
  <si>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</si>
  <si>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</si>
  <si>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</si>
  <si>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</si>
  <si>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</si>
  <si>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</si>
  <si>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</si>
  <si>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</si>
  <si>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</si>
  <si>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</si>
  <si>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</si>
  <si>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</si>
  <si>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</si>
  <si>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</si>
  <si>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</si>
  <si>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</si>
  <si>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</si>
  <si>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</si>
  <si>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</si>
  <si>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</si>
  <si>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</si>
  <si>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</si>
  <si>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</si>
  <si>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</si>
  <si>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</si>
  <si>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</si>
  <si>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</si>
  <si>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</si>
  <si>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</si>
  <si>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</si>
  <si>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</si>
  <si>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</si>
  <si>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</si>
  <si>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</si>
  <si>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</si>
  <si>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</si>
  <si>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</si>
  <si>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</si>
  <si>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</si>
  <si>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</si>
  <si>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</si>
  <si>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</si>
  <si>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</si>
  <si>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</si>
  <si>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</si>
  <si>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</si>
  <si>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</si>
  <si>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</si>
  <si>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</si>
  <si>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</si>
  <si>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</si>
  <si>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</si>
  <si>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</si>
  <si>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</si>
  <si>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</si>
  <si>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</si>
  <si>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</si>
  <si>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</si>
  <si>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</si>
  <si>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</si>
  <si>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</si>
  <si>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</si>
  <si>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</si>
  <si>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</si>
  <si>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</si>
  <si>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</si>
  <si>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</si>
  <si>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</si>
  <si>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</si>
  <si>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</si>
  <si>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</si>
  <si>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</si>
  <si>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</si>
  <si>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</si>
  <si>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</si>
  <si>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</si>
  <si>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</si>
  <si>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</si>
  <si>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</si>
  <si>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</si>
  <si>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</si>
  <si>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</si>
  <si>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</si>
  <si>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</si>
  <si>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</si>
  <si>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</si>
  <si>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</si>
  <si>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</si>
  <si>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</si>
  <si>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</si>
  <si>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</si>
  <si>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</si>
  <si>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</si>
  <si>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</si>
  <si>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</si>
  <si>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</si>
  <si>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</si>
  <si>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</si>
  <si>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</si>
  <si>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</si>
  <si>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</si>
  <si>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</si>
  <si>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</si>
  <si>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</si>
  <si>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</si>
  <si>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</si>
  <si>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</si>
  <si>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</si>
  <si>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</si>
  <si>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</si>
  <si>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</si>
  <si>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</si>
  <si>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</si>
  <si>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</si>
  <si>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</si>
  <si>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</si>
  <si>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</si>
  <si>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</si>
  <si>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</si>
  <si>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</si>
  <si>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</si>
  <si>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</si>
  <si>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</si>
  <si>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</si>
  <si>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</si>
  <si>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</si>
  <si>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</si>
  <si>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</si>
  <si>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</si>
  <si>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</si>
  <si>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</si>
  <si>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</si>
  <si>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</si>
  <si>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</si>
  <si>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</si>
  <si>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</si>
  <si>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</si>
  <si>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</si>
  <si>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</si>
  <si>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</si>
  <si>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</si>
  <si>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</si>
  <si>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</si>
  <si>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</si>
  <si>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</si>
  <si>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</si>
  <si>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</si>
  <si>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</si>
  <si>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</si>
  <si>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</si>
  <si>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</si>
  <si>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</si>
  <si>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</si>
  <si>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</si>
  <si>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</si>
  <si>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</si>
  <si>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</si>
  <si>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</si>
  <si>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</si>
  <si>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</si>
  <si>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</si>
  <si>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</si>
  <si>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</si>
  <si>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</si>
  <si>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</si>
  <si>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</si>
  <si>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</si>
  <si>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</si>
  <si>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</si>
  <si>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</si>
  <si>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</si>
  <si>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</si>
  <si>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</si>
  <si>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</si>
  <si>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</si>
  <si>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</si>
  <si>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</si>
  <si>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</si>
  <si>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</si>
  <si>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</si>
  <si>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</si>
  <si>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</si>
  <si>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</si>
  <si>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</si>
  <si>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</si>
  <si>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</si>
  <si>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</si>
  <si>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</si>
  <si>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</si>
  <si>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</si>
  <si>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</si>
  <si>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</si>
  <si>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</si>
  <si>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</si>
  <si>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</si>
  <si>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</si>
  <si>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</si>
  <si>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</si>
  <si>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</si>
  <si>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</si>
  <si>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</si>
  <si>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</si>
  <si>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</si>
  <si>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</si>
  <si>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</si>
  <si>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</si>
  <si>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</si>
  <si>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</si>
  <si>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</si>
  <si>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</si>
  <si>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</si>
  <si>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</si>
  <si>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</si>
  <si>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</si>
  <si>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</si>
  <si>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</si>
  <si>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</si>
  <si>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</si>
  <si>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</si>
  <si>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</si>
  <si>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</si>
  <si>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</si>
  <si>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</si>
  <si>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</si>
  <si>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</si>
  <si>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</si>
  <si>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</si>
  <si>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</si>
  <si>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</si>
  <si>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</si>
  <si>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</si>
  <si>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</si>
  <si>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</si>
  <si>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</si>
  <si>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</si>
  <si>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</si>
  <si>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</si>
  <si>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</si>
  <si>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</si>
  <si>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</si>
  <si>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</si>
  <si>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</si>
  <si>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</si>
  <si>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</si>
  <si>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</si>
  <si>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</si>
  <si>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</si>
  <si>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</si>
  <si>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</si>
  <si>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</si>
  <si>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</si>
  <si>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</si>
  <si>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</si>
  <si>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</si>
  <si>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</si>
  <si>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</si>
  <si>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</si>
  <si>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</si>
  <si>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</si>
  <si>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</si>
  <si>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</si>
  <si>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</si>
  <si>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</si>
  <si>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</si>
  <si>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</si>
  <si>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</si>
  <si>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</si>
  <si>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</si>
  <si>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</si>
  <si>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</si>
  <si>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</si>
  <si>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</si>
  <si>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</si>
  <si>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</si>
  <si>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</si>
  <si>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</si>
  <si>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</si>
  <si>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</si>
  <si>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</si>
  <si>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</si>
  <si>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</si>
  <si>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</si>
  <si>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</si>
  <si>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</si>
  <si>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</si>
  <si>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</si>
  <si>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</si>
  <si>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</si>
  <si>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</si>
  <si>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</si>
  <si>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</si>
  <si>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</si>
  <si>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</si>
  <si>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</si>
  <si>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</si>
  <si>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</si>
  <si>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</si>
  <si>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</si>
  <si>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</si>
  <si>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</si>
  <si>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</si>
  <si>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</si>
  <si>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</si>
  <si>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</si>
  <si>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</si>
  <si>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</si>
  <si>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</si>
  <si>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</si>
  <si>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</si>
  <si>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</si>
  <si>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</si>
  <si>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</si>
  <si>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</si>
  <si>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</si>
  <si>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</si>
  <si>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</si>
  <si>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</si>
  <si>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</si>
  <si>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</si>
  <si>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</si>
  <si>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</si>
  <si>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</si>
  <si>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</si>
  <si>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</si>
  <si>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</si>
  <si>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</si>
  <si>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</si>
  <si>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</si>
  <si>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</si>
  <si>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</si>
  <si>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</si>
  <si>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</si>
  <si>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</si>
  <si>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</si>
  <si>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</si>
  <si>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</si>
  <si>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</si>
  <si>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</si>
  <si>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</si>
  <si>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</si>
  <si>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</si>
  <si>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</si>
  <si>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</si>
  <si>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</si>
  <si>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</si>
  <si>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</si>
  <si>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</si>
  <si>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</si>
  <si>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</si>
  <si>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</si>
  <si>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</si>
  <si>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</si>
  <si>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</si>
  <si>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</si>
  <si>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</si>
  <si>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</si>
  <si>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</si>
  <si>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</si>
  <si>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</si>
  <si>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</si>
  <si>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</si>
  <si>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</si>
  <si>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</si>
  <si>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</si>
  <si>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</si>
  <si>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</si>
  <si>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</si>
  <si>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</si>
  <si>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</si>
  <si>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</si>
  <si>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</si>
  <si>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</si>
  <si>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</si>
  <si>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</si>
  <si>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</si>
  <si>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</si>
  <si>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</si>
  <si>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</si>
  <si>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</si>
  <si>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</si>
  <si>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</si>
  <si>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</si>
  <si>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</si>
  <si>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</si>
  <si>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</si>
  <si>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</si>
  <si>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</si>
  <si>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</si>
  <si>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</si>
  <si>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</si>
  <si>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</si>
  <si>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</si>
  <si>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</si>
  <si>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</si>
  <si>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</si>
  <si>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</si>
  <si>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</si>
  <si>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</si>
  <si>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</si>
  <si>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</si>
  <si>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</si>
  <si>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</si>
  <si>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</si>
  <si>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</si>
  <si>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</si>
  <si>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</si>
  <si>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</si>
  <si>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</si>
  <si>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</si>
  <si>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</si>
  <si>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</si>
  <si>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</si>
  <si>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</si>
  <si>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</si>
  <si>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</si>
  <si>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</si>
  <si>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</si>
  <si>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</si>
  <si>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</si>
  <si>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</si>
  <si>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</si>
  <si>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</si>
  <si>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</si>
  <si>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</si>
  <si>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</si>
  <si>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</si>
  <si>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</si>
  <si>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</si>
  <si>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</si>
  <si>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</si>
  <si>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</si>
  <si>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</si>
  <si>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</si>
  <si>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</si>
  <si>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</si>
  <si>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</si>
  <si>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</si>
  <si>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</si>
  <si>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</si>
  <si>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</si>
  <si>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</si>
  <si>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</si>
  <si>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</si>
  <si>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</si>
  <si>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</si>
  <si>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</si>
  <si>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</si>
  <si>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</si>
  <si>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</si>
  <si>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</si>
  <si>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</si>
  <si>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</si>
  <si>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</si>
  <si>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</si>
  <si>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</si>
  <si>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</si>
  <si>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</si>
  <si>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</si>
  <si>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</si>
  <si>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</si>
  <si>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</si>
  <si>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</si>
  <si>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</si>
  <si>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</si>
  <si>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</si>
  <si>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</si>
  <si>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</si>
  <si>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</si>
  <si>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</si>
  <si>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</si>
  <si>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</si>
  <si>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</si>
  <si>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</si>
  <si>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</si>
  <si>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</si>
  <si>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</si>
  <si>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</si>
  <si>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</si>
  <si>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</si>
  <si>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</si>
  <si>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</si>
  <si>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</si>
  <si>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</si>
  <si>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</si>
  <si>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</si>
  <si>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</si>
  <si>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</si>
  <si>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</si>
  <si>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</si>
  <si>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</si>
  <si>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</si>
  <si>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</si>
  <si>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</si>
  <si>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</si>
  <si>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</si>
  <si>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</si>
  <si>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</si>
  <si>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</si>
  <si>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</si>
  <si>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</si>
  <si>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</si>
  <si>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</si>
  <si>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</si>
  <si>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</si>
  <si>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</si>
  <si>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</si>
  <si>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</si>
  <si>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</si>
  <si>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</si>
  <si>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</si>
  <si>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</si>
  <si>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</si>
  <si>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</si>
  <si>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</si>
  <si>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</si>
  <si>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</si>
  <si>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</si>
  <si>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</si>
  <si>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</si>
  <si>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</si>
  <si>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</si>
  <si>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</si>
  <si>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</si>
  <si>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</si>
  <si>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</si>
  <si>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</si>
  <si>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</si>
  <si>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</si>
  <si>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</si>
  <si>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</si>
  <si>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</si>
  <si>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</si>
  <si>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</si>
  <si>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</si>
  <si>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</si>
  <si>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</si>
  <si>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</si>
  <si>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</si>
  <si>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</si>
  <si>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</si>
  <si>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</si>
  <si>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</si>
  <si>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</si>
  <si>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</si>
  <si>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</si>
  <si>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</si>
  <si>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</si>
  <si>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</si>
  <si>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</si>
  <si>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</si>
  <si>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</si>
  <si>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</si>
  <si>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</si>
  <si>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</si>
  <si>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</si>
  <si>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</si>
  <si>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</si>
  <si>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</si>
  <si>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</si>
  <si>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</si>
  <si>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</si>
  <si>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</si>
  <si>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</si>
  <si>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</si>
  <si>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</si>
  <si>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</si>
  <si>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</si>
  <si>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</si>
  <si>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</si>
  <si>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</si>
  <si>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</si>
  <si>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</si>
  <si>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</si>
  <si>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</si>
  <si>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</si>
  <si>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</si>
  <si>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</si>
  <si>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</si>
  <si>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</si>
  <si>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</si>
  <si>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</si>
  <si>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</si>
  <si>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</si>
  <si>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</si>
  <si>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</si>
  <si>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</si>
  <si>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</si>
  <si>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</si>
  <si>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</si>
  <si>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</si>
  <si>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</si>
  <si>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</si>
  <si>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</si>
  <si>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</si>
  <si>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</si>
  <si>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</si>
  <si>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</si>
  <si>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</si>
  <si>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</si>
  <si>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</si>
  <si>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</si>
  <si>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</si>
  <si>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</si>
  <si>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</si>
  <si>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</si>
  <si>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</si>
  <si>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</si>
  <si>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</si>
  <si>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</si>
  <si>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</si>
  <si>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</si>
  <si>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</si>
  <si>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</si>
  <si>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</si>
  <si>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</si>
  <si>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</si>
  <si>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</si>
  <si>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</si>
  <si>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</si>
  <si>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</si>
  <si>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</si>
  <si>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</si>
  <si>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</si>
  <si>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</si>
  <si>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</si>
  <si>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</si>
  <si>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</si>
  <si>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</si>
  <si>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</si>
  <si>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</si>
  <si>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</si>
  <si>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</si>
  <si>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</si>
  <si>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</si>
  <si>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</si>
  <si>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</si>
  <si>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</si>
  <si>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</si>
  <si>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</si>
  <si>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</si>
  <si>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</si>
  <si>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</si>
  <si>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</si>
  <si>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</si>
  <si>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</si>
  <si>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</si>
  <si>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</si>
  <si>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</si>
  <si>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</si>
  <si>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</si>
  <si>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</si>
  <si>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</si>
  <si>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</si>
  <si>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</si>
  <si>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</si>
  <si>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</si>
  <si>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</si>
  <si>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</si>
  <si>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</si>
  <si>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</si>
  <si>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</si>
  <si>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</si>
  <si>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</si>
  <si>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</si>
  <si>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</si>
  <si>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</si>
  <si>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</si>
  <si>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</si>
  <si>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</si>
  <si>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</si>
  <si>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</si>
  <si>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</si>
  <si>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</si>
  <si>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</si>
  <si>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</si>
  <si>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</si>
  <si>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</si>
  <si>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</si>
  <si>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</si>
  <si>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</si>
  <si>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</si>
  <si>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</si>
  <si>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</si>
  <si>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</si>
  <si>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</si>
  <si>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</si>
  <si>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</si>
  <si>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</si>
  <si>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</si>
  <si>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</si>
  <si>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</si>
  <si>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</si>
  <si>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</si>
  <si>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</si>
  <si>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</si>
  <si>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</si>
  <si>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</si>
  <si>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</si>
  <si>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</si>
  <si>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</si>
  <si>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</si>
  <si>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</si>
  <si>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</si>
  <si>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</si>
  <si>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</si>
  <si>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</si>
  <si>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</si>
  <si>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</si>
  <si>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</si>
  <si>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</si>
  <si>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</si>
  <si>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</si>
  <si>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</si>
  <si>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</si>
  <si>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</si>
  <si>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</si>
  <si>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</si>
  <si>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</si>
  <si>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</si>
  <si>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</si>
  <si>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Appleton Museum Transfer</t>
  </si>
  <si>
    <t>Fund 2</t>
  </si>
  <si>
    <t>College Activity Fund</t>
  </si>
  <si>
    <t>Equine and Agribusiness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</si>
</sst>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691</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College of Central Florida</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715</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21051215</v>
      </c>
      <c r="C10" s="456">
        <v>2372569</v>
      </c>
      <c r="D10" s="456">
        <v>0</v>
      </c>
      <c r="E10" s="371">
        <f>SUM(B10:D10)</f>
        <v>23423784</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4343837</v>
      </c>
      <c r="C14" s="458">
        <v>633840</v>
      </c>
      <c r="D14" s="458">
        <v>0</v>
      </c>
      <c r="E14" s="372">
        <f t="shared" ref="E14:E20" si="0">SUM(B14:D14)</f>
        <v>4977677</v>
      </c>
      <c r="F14" s="354"/>
    </row>
    <row r="15" spans="1:8" s="17" customFormat="1" ht="20.100000000000001" customHeight="1">
      <c r="A15" s="370" t="s">
        <v>592</v>
      </c>
      <c r="B15" s="457">
        <v>168016</v>
      </c>
      <c r="C15" s="446">
        <v>277088</v>
      </c>
      <c r="D15" s="446">
        <v>0</v>
      </c>
      <c r="E15" s="372">
        <f>SUM(B15:D15)</f>
        <v>445104</v>
      </c>
      <c r="F15" s="354"/>
    </row>
    <row r="16" spans="1:8" s="17" customFormat="1" ht="20.100000000000001" customHeight="1">
      <c r="A16" s="370" t="s">
        <v>593</v>
      </c>
      <c r="B16" s="457">
        <v>4011902</v>
      </c>
      <c r="C16" s="446">
        <v>413901</v>
      </c>
      <c r="D16" s="446">
        <v>0</v>
      </c>
      <c r="E16" s="372">
        <f t="shared" si="0"/>
        <v>4425803</v>
      </c>
      <c r="F16" s="354"/>
    </row>
    <row r="17" spans="1:6" s="17" customFormat="1" ht="20.100000000000001" customHeight="1">
      <c r="A17" s="370" t="s">
        <v>594</v>
      </c>
      <c r="B17" s="457">
        <v>8507363</v>
      </c>
      <c r="C17" s="446">
        <v>6802519</v>
      </c>
      <c r="D17" s="446">
        <v>0</v>
      </c>
      <c r="E17" s="372">
        <f t="shared" si="0"/>
        <v>15309882</v>
      </c>
      <c r="F17" s="354"/>
    </row>
    <row r="18" spans="1:6" s="17" customFormat="1" ht="20.100000000000001" customHeight="1">
      <c r="A18" s="370" t="s">
        <v>595</v>
      </c>
      <c r="B18" s="457">
        <v>2831690</v>
      </c>
      <c r="C18" s="446">
        <v>5281996</v>
      </c>
      <c r="D18" s="446">
        <v>0</v>
      </c>
      <c r="E18" s="372">
        <f t="shared" si="0"/>
        <v>8113686</v>
      </c>
      <c r="F18" s="354"/>
    </row>
    <row r="19" spans="1:6" s="17" customFormat="1" ht="20.100000000000001" customHeight="1">
      <c r="A19" s="370" t="s">
        <v>596</v>
      </c>
      <c r="B19" s="457">
        <v>61469</v>
      </c>
      <c r="C19" s="446">
        <v>457196</v>
      </c>
      <c r="D19" s="446">
        <v>0</v>
      </c>
      <c r="E19" s="372">
        <f t="shared" si="0"/>
        <v>518665</v>
      </c>
      <c r="F19" s="354"/>
    </row>
    <row r="20" spans="1:6" s="17" customFormat="1" ht="20.100000000000001" customHeight="1" thickBot="1">
      <c r="A20" s="370" t="s">
        <v>597</v>
      </c>
      <c r="B20" s="457">
        <v>4098</v>
      </c>
      <c r="C20" s="447">
        <v>1078912</v>
      </c>
      <c r="D20" s="447">
        <v>750000</v>
      </c>
      <c r="E20" s="372">
        <f t="shared" si="0"/>
        <v>1833010</v>
      </c>
      <c r="F20" s="354"/>
    </row>
    <row r="21" spans="1:6" s="17" customFormat="1" ht="24" customHeight="1" thickBot="1">
      <c r="A21" s="295" t="s">
        <v>50</v>
      </c>
      <c r="B21" s="355">
        <f>SUM(B10:B20)</f>
        <v>40979590</v>
      </c>
      <c r="C21" s="358">
        <f>SUM(C10:C20)</f>
        <v>17318021</v>
      </c>
      <c r="D21" s="358">
        <f>SUM(D10:D20)</f>
        <v>750000</v>
      </c>
      <c r="E21" s="357">
        <f>SUM(E10:E20)</f>
        <v>59047611</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College of Central Florida</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715</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716</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367744</v>
      </c>
      <c r="E12" s="773">
        <v>0</v>
      </c>
      <c r="F12" s="774">
        <f t="shared" si="0"/>
        <v>367744</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0</v>
      </c>
      <c r="E15" s="773">
        <v>0</v>
      </c>
      <c r="F15" s="774">
        <f t="shared" si="0"/>
        <v>0</v>
      </c>
      <c r="I15" s="88"/>
      <c r="J15" s="29"/>
      <c r="K15" s="93"/>
      <c r="L15" s="93"/>
      <c r="M15" s="93"/>
      <c r="N15" s="93"/>
    </row>
    <row r="16" spans="1:224" s="17" customFormat="1" ht="30" customHeight="1">
      <c r="A16" s="770" t="s">
        <v>416</v>
      </c>
      <c r="B16" s="771"/>
      <c r="C16" s="772" t="s">
        <v>417</v>
      </c>
      <c r="D16" s="773">
        <v>52591</v>
      </c>
      <c r="E16" s="773">
        <v>0</v>
      </c>
      <c r="F16" s="774">
        <f t="shared" si="0"/>
        <v>52591</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708</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92325</v>
      </c>
      <c r="E25" s="773">
        <v>0</v>
      </c>
      <c r="F25" s="774">
        <f t="shared" si="0"/>
        <v>92325</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146717</v>
      </c>
      <c r="E34" s="773">
        <v>0</v>
      </c>
      <c r="F34" s="774">
        <f t="shared" si="0"/>
        <v>146717</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50276</v>
      </c>
      <c r="E48" s="773">
        <v>0</v>
      </c>
      <c r="F48" s="774">
        <f t="shared" si="0"/>
        <v>50276</v>
      </c>
    </row>
    <row r="49" spans="1:6" s="17" customFormat="1" ht="30" customHeight="1">
      <c r="A49" s="770" t="s">
        <v>478</v>
      </c>
      <c r="B49" s="771"/>
      <c r="C49" s="772" t="s">
        <v>479</v>
      </c>
      <c r="D49" s="773">
        <v>53794</v>
      </c>
      <c r="E49" s="773">
        <v>0</v>
      </c>
      <c r="F49" s="774">
        <f t="shared" si="0"/>
        <v>53794</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46754</v>
      </c>
      <c r="E54" s="773">
        <v>0</v>
      </c>
      <c r="F54" s="774">
        <f t="shared" si="0"/>
        <v>46754</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810201</v>
      </c>
      <c r="E57" s="270">
        <f>SUM(E10:E56)</f>
        <v>0</v>
      </c>
      <c r="F57" s="270">
        <f t="shared" si="0"/>
        <v>810201</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6493</v>
      </c>
      <c r="E64" s="459">
        <v>0</v>
      </c>
      <c r="F64" s="236">
        <f t="shared" si="0"/>
        <v>6493</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8855</v>
      </c>
      <c r="E67" s="773">
        <v>0</v>
      </c>
      <c r="F67" s="774">
        <f t="shared" si="0"/>
        <v>8855</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695</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712</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2952</v>
      </c>
      <c r="E76" s="773">
        <v>0</v>
      </c>
      <c r="F76" s="774">
        <f t="shared" si="1"/>
        <v>2952</v>
      </c>
    </row>
    <row r="77" spans="1:6" s="17" customFormat="1" ht="30" customHeight="1">
      <c r="A77" s="770" t="s">
        <v>518</v>
      </c>
      <c r="B77" s="771"/>
      <c r="C77" s="780" t="s">
        <v>519</v>
      </c>
      <c r="D77" s="773">
        <v>0</v>
      </c>
      <c r="E77" s="773">
        <v>0</v>
      </c>
      <c r="F77" s="774">
        <f t="shared" si="1"/>
        <v>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196</v>
      </c>
      <c r="E90" s="773">
        <v>0</v>
      </c>
      <c r="F90" s="774">
        <f t="shared" si="1"/>
        <v>196</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18496</v>
      </c>
      <c r="E93" s="266">
        <f>SUM(E64:E92)</f>
        <v>0</v>
      </c>
      <c r="F93" s="266">
        <f t="shared" si="1"/>
        <v>18496</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699</v>
      </c>
      <c r="B103" s="1122"/>
      <c r="C103" s="1123">
        <v>73001</v>
      </c>
      <c r="D103" s="1147">
        <v>0</v>
      </c>
      <c r="E103" s="1147">
        <v>0</v>
      </c>
      <c r="F103" s="1078">
        <f t="shared" si="1"/>
        <v>0</v>
      </c>
    </row>
    <row r="104" spans="1:6" s="17" customFormat="1" ht="30" customHeight="1">
      <c r="A104" s="1124" t="s">
        <v>700</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694</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828697</v>
      </c>
      <c r="E113" s="266">
        <f>+E57+E93+E111</f>
        <v>0</v>
      </c>
      <c r="F113" s="266">
        <f>SUM(D113:E113)</f>
        <v>828697</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828697</v>
      </c>
      <c r="E118" s="773">
        <v>0</v>
      </c>
      <c r="F118" s="774">
        <f t="shared" ref="F118:F128" si="3">+D118+E118</f>
        <v>828697</v>
      </c>
    </row>
    <row r="119" spans="1:6" s="69" customFormat="1" ht="30" customHeight="1">
      <c r="A119" s="770" t="s">
        <v>618</v>
      </c>
      <c r="B119" s="615"/>
      <c r="C119" s="782"/>
      <c r="D119" s="1103">
        <f>'EXHIBIT C'!F19</f>
        <v>0</v>
      </c>
      <c r="E119" s="773">
        <v>0</v>
      </c>
      <c r="F119" s="774">
        <f t="shared" si="3"/>
        <v>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692</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c r="E128" s="778">
        <v>0</v>
      </c>
      <c r="F128" s="779">
        <f t="shared" si="3"/>
        <v>0</v>
      </c>
    </row>
    <row r="129" spans="1:6" ht="110.1" customHeight="1" thickBot="1">
      <c r="A129" s="885" t="s">
        <v>627</v>
      </c>
      <c r="B129" s="886"/>
      <c r="C129" s="258"/>
      <c r="D129" s="259">
        <f>SUM(D117:D128)</f>
        <v>828697</v>
      </c>
      <c r="E129" s="260">
        <f>SUM(E117:E128)</f>
        <v>0</v>
      </c>
      <c r="F129" s="261">
        <f>SUM(F117:F128)</f>
        <v>828697</v>
      </c>
    </row>
    <row r="130" spans="1:6" ht="14.1" customHeight="1">
      <c r="A130" s="249"/>
      <c r="B130" s="249"/>
      <c r="C130" s="250"/>
      <c r="D130" s="251"/>
      <c r="E130" s="251"/>
      <c r="F130" s="251"/>
    </row>
    <row r="131" spans="1:6" ht="83.25" customHeight="1">
      <c r="A131" s="949" t="s">
        <v>713</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714</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743</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744</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37"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745</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776</v>
      </c>
      <c r="C3" s="64"/>
      <c r="D3" s="73"/>
      <c r="E3" s="72"/>
    </row>
    <row r="4" spans="1:10" ht="25.35" customHeight="1" thickBot="1">
      <c r="A4" s="62">
        <v>1</v>
      </c>
      <c r="B4" s="52">
        <v>2</v>
      </c>
      <c r="C4" s="52">
        <v>3</v>
      </c>
      <c r="D4" s="52">
        <v>4</v>
      </c>
      <c r="E4" s="19"/>
    </row>
    <row r="5" spans="1:10" ht="44.1" customHeight="1" thickBot="1">
      <c r="A5" s="38" t="s">
        <v>16</v>
      </c>
      <c r="B5" s="1090" t="s">
        <v>763</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705</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698</v>
      </c>
      <c r="B40" s="954" t="s">
        <v>777</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704</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765</v>
      </c>
      <c r="C46" s="639"/>
      <c r="D46" s="639">
        <v>650000</v>
      </c>
      <c r="E46" s="640">
        <f t="shared" si="1"/>
        <v>650000</v>
      </c>
    </row>
    <row r="47" spans="1:12" ht="84.75" customHeight="1">
      <c r="A47" s="962" t="s">
        <v>770</v>
      </c>
      <c r="B47" s="1041" t="s">
        <v>771</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768</v>
      </c>
      <c r="C49" s="1042"/>
      <c r="D49" s="1042">
        <v>500000</v>
      </c>
      <c r="E49" s="640">
        <f t="shared" si="1"/>
        <v>500000</v>
      </c>
    </row>
    <row r="50" spans="1:5" ht="62.45" customHeight="1">
      <c r="A50" s="962" t="s">
        <v>31</v>
      </c>
      <c r="B50" s="1041" t="s">
        <v>772</v>
      </c>
      <c r="C50" s="1042"/>
      <c r="D50" s="1042">
        <v>2200000</v>
      </c>
      <c r="E50" s="640">
        <f t="shared" si="1"/>
        <v>2200000</v>
      </c>
    </row>
    <row r="51" spans="1:5" ht="62.45" customHeight="1">
      <c r="A51" s="962" t="s">
        <v>774</v>
      </c>
      <c r="B51" s="1041" t="s">
        <v>775</v>
      </c>
      <c r="C51" s="1042"/>
      <c r="D51" s="1042">
        <v>3850000</v>
      </c>
      <c r="E51" s="1145">
        <f t="shared" si="1"/>
        <v>3850000</v>
      </c>
    </row>
    <row r="52" spans="1:5" ht="62.45" customHeight="1">
      <c r="A52" s="962" t="s">
        <v>37</v>
      </c>
      <c r="B52" s="1041" t="s">
        <v>769</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767</v>
      </c>
      <c r="C54" s="639"/>
      <c r="D54" s="639">
        <v>386940</v>
      </c>
      <c r="E54" s="640">
        <f t="shared" si="1"/>
        <v>386940</v>
      </c>
    </row>
    <row r="55" spans="1:5" ht="86.25" customHeight="1" thickBot="1">
      <c r="A55" s="965" t="s">
        <v>60</v>
      </c>
      <c r="B55" s="1041" t="s">
        <v>766</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716</v>
      </c>
      <c r="B60" s="394" t="s">
        <v>762</v>
      </c>
      <c r="C60" s="16" t="s">
        <v>10</v>
      </c>
      <c r="D60" s="16"/>
    </row>
    <row r="61" spans="1:5" ht="69" customHeight="1" thickBot="1">
      <c r="A61" s="1059" t="s">
        <v>773</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760</v>
      </c>
      <c r="B67" s="1061" t="s">
        <v>759</v>
      </c>
      <c r="C67" s="1062"/>
      <c r="D67" s="1062"/>
      <c r="E67" s="1063"/>
      <c r="F67" s="18"/>
      <c r="G67" s="16"/>
    </row>
    <row r="68" spans="1:7" ht="87.6" customHeight="1" thickBot="1">
      <c r="A68" s="40" t="s">
        <v>17</v>
      </c>
      <c r="B68" s="24" t="s">
        <v>761</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778</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752</v>
      </c>
      <c r="B106" s="1045" t="s">
        <v>757</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702</v>
      </c>
      <c r="U108" s="32"/>
      <c r="V108" s="33"/>
      <c r="W108" s="34"/>
      <c r="X108" s="35"/>
      <c r="Y108" s="59"/>
      <c r="Z108" s="1068"/>
      <c r="AA108" s="1069"/>
      <c r="AB108" s="1070"/>
      <c r="AC108" s="19"/>
      <c r="AD108" s="595" t="s">
        <v>754</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753</v>
      </c>
      <c r="R109" s="1084"/>
      <c r="S109" s="1085"/>
      <c r="T109" s="1144"/>
      <c r="U109" s="21"/>
      <c r="V109" s="1053" t="s">
        <v>84</v>
      </c>
      <c r="W109" s="1054"/>
      <c r="X109" s="1058"/>
      <c r="Y109" s="1088"/>
      <c r="Z109" s="1053" t="s">
        <v>85</v>
      </c>
      <c r="AA109" s="1054"/>
      <c r="AB109" s="1055"/>
      <c r="AD109" s="43" t="s">
        <v>86</v>
      </c>
      <c r="AF109" s="19"/>
      <c r="AI109" s="1089" t="s">
        <v>703</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755</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756</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693</v>
      </c>
      <c r="V141" s="53"/>
      <c r="W141" s="53"/>
      <c r="X141" s="53"/>
      <c r="Y141" s="53"/>
      <c r="Z141" s="53"/>
      <c r="AA141" s="53"/>
      <c r="AB141" s="53"/>
    </row>
    <row r="142" spans="1:44">
      <c r="A142" s="17" t="s">
        <v>758</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751</v>
      </c>
      <c r="B147" s="1051"/>
      <c r="C147" s="1133"/>
      <c r="D147" s="1133"/>
    </row>
    <row r="148" spans="1:4" ht="21.75" thickBot="1">
      <c r="A148" s="62"/>
      <c r="B148" s="63" t="s">
        <v>764</v>
      </c>
    </row>
    <row r="149" spans="1:4" ht="21.75" thickBot="1">
      <c r="A149" s="62">
        <v>1</v>
      </c>
      <c r="B149" s="52">
        <v>2</v>
      </c>
    </row>
    <row r="150" spans="1:4" ht="57" customHeight="1" thickBot="1">
      <c r="A150" s="38" t="s">
        <v>156</v>
      </c>
      <c r="B150" s="1129" t="s">
        <v>763</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751</v>
      </c>
      <c r="B182" s="1051"/>
    </row>
    <row r="183" spans="1:2" ht="21.75" thickBot="1">
      <c r="A183" s="62"/>
      <c r="B183" s="63" t="s">
        <v>764</v>
      </c>
    </row>
    <row r="184" spans="1:2" ht="21.75" thickBot="1">
      <c r="A184" s="62">
        <v>1</v>
      </c>
      <c r="B184" s="52">
        <v>2</v>
      </c>
    </row>
    <row r="185" spans="1:2" ht="54" thickBot="1">
      <c r="A185" s="1135" t="s">
        <v>706</v>
      </c>
      <c r="B185" s="1129" t="s">
        <v>763</v>
      </c>
    </row>
    <row r="186" spans="1:2" ht="42.75" thickBot="1">
      <c r="A186" s="292" t="s">
        <v>17</v>
      </c>
      <c r="B186" s="23" t="s">
        <v>706</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717</v>
      </c>
      <c r="B2" s="918"/>
      <c r="C2" s="918"/>
      <c r="D2" s="918"/>
      <c r="E2" s="918"/>
      <c r="F2" s="918"/>
      <c r="G2" s="918"/>
    </row>
    <row r="3" spans="1:9" ht="20.100000000000001" customHeight="1">
      <c r="A3" s="918"/>
      <c r="B3" s="918"/>
      <c r="C3" s="918"/>
      <c r="D3" s="918"/>
      <c r="E3" s="918"/>
      <c r="F3" s="918"/>
      <c r="G3" s="918"/>
      <c r="H3" s="88"/>
    </row>
    <row r="4" spans="1:9" ht="28.35" customHeight="1">
      <c r="A4" s="1149" t="s">
        <v>746</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23</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718</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0.16732681675333433</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716</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8430</v>
      </c>
      <c r="E44" s="114">
        <f>+'EXHIBIT C'!F10</f>
        <v>8682</v>
      </c>
      <c r="F44" s="115">
        <f t="shared" ref="F44:F50" si="0">IF(D44=0,"0",(E44/D44-1))</f>
        <v>2.9893238434163694E-2</v>
      </c>
      <c r="G44" s="116" t="str">
        <f t="shared" ref="G44:G50" si="1">IF(OR(F44&gt;3%, F44&lt;-3%),"YES","NO")</f>
        <v>NO</v>
      </c>
      <c r="H44" s="88"/>
    </row>
    <row r="45" spans="1:8" ht="20.100000000000001" customHeight="1">
      <c r="C45" s="117" t="s">
        <v>132</v>
      </c>
      <c r="D45" s="664">
        <f>VLOOKUP($D$7,VLOOKUP!$A$111:$S$139,5)*30+D60</f>
        <v>55276.785469792914</v>
      </c>
      <c r="E45" s="118">
        <f>+'EXHIBIT C'!F11</f>
        <v>56935</v>
      </c>
      <c r="F45" s="665">
        <f t="shared" si="0"/>
        <v>2.999838930780907E-2</v>
      </c>
      <c r="G45" s="666" t="str">
        <f t="shared" si="1"/>
        <v>NO</v>
      </c>
      <c r="H45" s="88"/>
    </row>
    <row r="46" spans="1:8" ht="20.100000000000001" customHeight="1">
      <c r="C46" s="667" t="s">
        <v>133</v>
      </c>
      <c r="D46" s="668">
        <f>VLOOKUP($D$7,VLOOKUP!$A$111:$S$139,8)*30</f>
        <v>32271.318887561851</v>
      </c>
      <c r="E46" s="669">
        <f>+'EXHIBIT C'!F12</f>
        <v>33231</v>
      </c>
      <c r="F46" s="665">
        <f t="shared" si="0"/>
        <v>2.973789561504514E-2</v>
      </c>
      <c r="G46" s="666" t="str">
        <f t="shared" si="1"/>
        <v>NO</v>
      </c>
      <c r="H46" s="88"/>
    </row>
    <row r="47" spans="1:8" ht="20.100000000000001" customHeight="1">
      <c r="C47" s="667" t="s">
        <v>82</v>
      </c>
      <c r="D47" s="668">
        <f>VLOOKUP($D$7,VLOOKUP!$A$111:$S$139,17)*30</f>
        <v>3190.0171673819741</v>
      </c>
      <c r="E47" s="669">
        <f>+'EXHIBIT C'!F13</f>
        <v>3283</v>
      </c>
      <c r="F47" s="665">
        <f t="shared" si="0"/>
        <v>2.9148066527283412E-2</v>
      </c>
      <c r="G47" s="666" t="str">
        <f t="shared" si="1"/>
        <v>NO</v>
      </c>
      <c r="H47" s="88"/>
    </row>
    <row r="48" spans="1:8" ht="20.100000000000001" customHeight="1">
      <c r="C48" s="667" t="s">
        <v>134</v>
      </c>
      <c r="D48" s="668">
        <f>VLOOKUP($D$7,VLOOKUP!$A$111:$S$139,11)*30</f>
        <v>2374.9078341013824</v>
      </c>
      <c r="E48" s="669">
        <f>+'EXHIBIT C'!F14</f>
        <v>2446</v>
      </c>
      <c r="F48" s="665">
        <f t="shared" si="0"/>
        <v>2.9934705203209511E-2</v>
      </c>
      <c r="G48" s="666" t="str">
        <f t="shared" si="1"/>
        <v>NO</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101543.02935883812</v>
      </c>
      <c r="E50" s="121">
        <f>+'EXHIBIT C'!F17</f>
        <v>104577</v>
      </c>
      <c r="F50" s="122">
        <f t="shared" si="0"/>
        <v>2.9878669765112775E-2</v>
      </c>
      <c r="G50" s="123" t="str">
        <f t="shared" si="1"/>
        <v>NO</v>
      </c>
      <c r="H50" s="88"/>
    </row>
    <row r="51" spans="3:8" ht="46.5" customHeight="1" thickBot="1">
      <c r="C51" s="922" t="s">
        <v>136</v>
      </c>
      <c r="D51" s="923"/>
      <c r="E51" s="923"/>
      <c r="F51" s="923"/>
      <c r="G51" s="924"/>
      <c r="H51" s="88"/>
    </row>
    <row r="52" spans="3:8" ht="24.6" customHeight="1" thickBot="1">
      <c r="C52" s="845" t="s">
        <v>747</v>
      </c>
      <c r="D52" s="846"/>
      <c r="E52" s="846"/>
      <c r="F52" s="846"/>
      <c r="G52" s="847"/>
      <c r="H52" s="124"/>
    </row>
    <row r="53" spans="3:8" ht="205.5" customHeight="1" thickBot="1">
      <c r="C53" s="1109"/>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0</v>
      </c>
      <c r="F59" s="676" t="str">
        <f t="shared" ref="F59:F65" si="2">IF(D59=0,"0",(E59/D59-1))</f>
        <v>0</v>
      </c>
      <c r="G59" s="677" t="str">
        <f>IF(OR(F59&gt;5%, F59&lt;-5%),"YES","NO")</f>
        <v>NO</v>
      </c>
    </row>
    <row r="60" spans="3:8" ht="20.100000000000001" customHeight="1">
      <c r="C60" s="117" t="s">
        <v>132</v>
      </c>
      <c r="D60" s="675">
        <f>VLOOKUP($D$7,VLOOKUP!$A$111:$S$139,6)*30</f>
        <v>2080.82064008215</v>
      </c>
      <c r="E60" s="131">
        <f>+'EXHIBIT C'!D20</f>
        <v>2184</v>
      </c>
      <c r="F60" s="676">
        <f t="shared" si="2"/>
        <v>4.958589795311541E-2</v>
      </c>
      <c r="G60" s="677" t="str">
        <f t="shared" ref="G60:G65" si="3">IF(OR(F60&gt;5%, F60&lt;-5%),"YES","NO")</f>
        <v>NO</v>
      </c>
      <c r="H60" s="88"/>
    </row>
    <row r="61" spans="3:8" ht="20.100000000000001" customHeight="1">
      <c r="C61" s="667" t="s">
        <v>133</v>
      </c>
      <c r="D61" s="678">
        <f>VLOOKUP($D$7,VLOOKUP!$A$111:$S$139,9)*30</f>
        <v>1084.1665244838764</v>
      </c>
      <c r="E61" s="679">
        <f>+'EXHIBIT C'!D21</f>
        <v>1137</v>
      </c>
      <c r="F61" s="676">
        <f t="shared" si="2"/>
        <v>4.873188234738679E-2</v>
      </c>
      <c r="G61" s="677" t="str">
        <f t="shared" si="3"/>
        <v>NO</v>
      </c>
      <c r="H61" s="88"/>
    </row>
    <row r="62" spans="3:8" ht="20.100000000000001" customHeight="1">
      <c r="C62" s="667" t="s">
        <v>82</v>
      </c>
      <c r="D62" s="678">
        <f>VLOOKUP($D$7,VLOOKUP!$A$111:$S$139,18)*30</f>
        <v>88.866952789699567</v>
      </c>
      <c r="E62" s="679">
        <f>+'EXHIBIT C'!D22</f>
        <v>93</v>
      </c>
      <c r="F62" s="676">
        <f t="shared" si="2"/>
        <v>4.6508258475804087E-2</v>
      </c>
      <c r="G62" s="677" t="str">
        <f t="shared" si="3"/>
        <v>NO</v>
      </c>
      <c r="H62" s="88"/>
    </row>
    <row r="63" spans="3:8" ht="20.100000000000001" customHeight="1">
      <c r="C63" s="667" t="s">
        <v>134</v>
      </c>
      <c r="D63" s="678">
        <f>VLOOKUP($D$7,VLOOKUP!$A$111:$S$139,12)*30</f>
        <v>445.09216589861757</v>
      </c>
      <c r="E63" s="679">
        <f>+'EXHIBIT C'!D23</f>
        <v>467</v>
      </c>
      <c r="F63" s="676">
        <f t="shared" si="2"/>
        <v>4.9220893513485464E-2</v>
      </c>
      <c r="G63" s="677" t="str">
        <f t="shared" si="3"/>
        <v>NO</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3698.9462832543436</v>
      </c>
      <c r="E65" s="133">
        <f>SUM(E59:E64)</f>
        <v>3881</v>
      </c>
      <c r="F65" s="134">
        <f t="shared" si="2"/>
        <v>4.9217723860938367E-2</v>
      </c>
      <c r="G65" s="135" t="str">
        <f t="shared" si="3"/>
        <v>NO</v>
      </c>
      <c r="H65" s="88"/>
    </row>
    <row r="66" spans="1:8" ht="42" customHeight="1" thickBot="1">
      <c r="C66" s="922" t="s">
        <v>141</v>
      </c>
      <c r="D66" s="923"/>
      <c r="E66" s="923"/>
      <c r="F66" s="923"/>
      <c r="G66" s="924"/>
      <c r="H66" s="88"/>
    </row>
    <row r="67" spans="1:8" ht="24.6" customHeight="1" thickBot="1">
      <c r="A67" s="98"/>
      <c r="B67" s="98"/>
      <c r="C67" s="842" t="s">
        <v>747</v>
      </c>
      <c r="D67" s="843"/>
      <c r="E67" s="843"/>
      <c r="F67" s="843"/>
      <c r="G67" s="844"/>
      <c r="H67" s="88"/>
    </row>
    <row r="68" spans="1:8" ht="227.25" customHeight="1" thickBot="1">
      <c r="A68" s="98"/>
      <c r="B68" s="98"/>
      <c r="C68" s="1112"/>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36495661</v>
      </c>
      <c r="E84" s="1150">
        <f>+'EXHIBIT D'!G75</f>
        <v>36495661</v>
      </c>
      <c r="F84" s="1150">
        <f>D84-E84</f>
        <v>0</v>
      </c>
      <c r="G84" s="88"/>
      <c r="H84" s="88"/>
    </row>
    <row r="85" spans="1:8" ht="20.100000000000001" customHeight="1">
      <c r="A85" s="98"/>
      <c r="B85" s="98"/>
      <c r="C85" s="688" t="s">
        <v>156</v>
      </c>
      <c r="D85" s="687">
        <f>VLOOKUP($D$7,VLOOKUP!$A$152:$B$180,2)</f>
        <v>609302</v>
      </c>
      <c r="E85" s="1150">
        <f>'EXHIBIT D'!G77</f>
        <v>609302</v>
      </c>
      <c r="F85" s="1150">
        <f>D85-E85</f>
        <v>0</v>
      </c>
      <c r="G85" s="88"/>
      <c r="H85" s="88"/>
    </row>
    <row r="86" spans="1:8" ht="20.100000000000001" customHeight="1">
      <c r="A86" s="98"/>
      <c r="B86" s="98"/>
      <c r="C86" s="688" t="s">
        <v>157</v>
      </c>
      <c r="D86" s="687">
        <f>VLOOKUP($D$7,VLOOKUP!$A$7:$E$35,3)</f>
        <v>5863289</v>
      </c>
      <c r="E86" s="1150">
        <f>'EXHIBIT D'!G81</f>
        <v>5863289</v>
      </c>
      <c r="F86" s="1150">
        <f>D86-E86</f>
        <v>0</v>
      </c>
      <c r="G86" s="88"/>
      <c r="H86" s="88"/>
    </row>
    <row r="87" spans="1:8" ht="20.100000000000001" customHeight="1" thickBot="1">
      <c r="A87" s="97"/>
      <c r="B87" s="97"/>
      <c r="C87" s="143" t="s">
        <v>706</v>
      </c>
      <c r="D87" s="687">
        <f>VLOOKUP($D$7,VLOOKUP!$A$187:$B$215,2)</f>
        <v>814514</v>
      </c>
      <c r="E87" s="1151">
        <f>'EXHIBIT D'!G76</f>
        <v>814514</v>
      </c>
      <c r="F87" s="1150">
        <f>D87-E87</f>
        <v>0</v>
      </c>
      <c r="G87" s="88"/>
      <c r="H87" s="88"/>
    </row>
    <row r="88" spans="1:8" ht="20.100000000000001" customHeight="1" thickBot="1">
      <c r="A88" s="97"/>
      <c r="B88" s="97"/>
      <c r="C88" s="144" t="s">
        <v>158</v>
      </c>
      <c r="D88" s="145">
        <f>SUM(D84:D87)</f>
        <v>43782766</v>
      </c>
      <c r="E88" s="145">
        <f>SUM(E84:E87)</f>
        <v>43782766</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724</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11863689</v>
      </c>
      <c r="D101" s="836" t="s">
        <v>719</v>
      </c>
      <c r="E101" s="836"/>
      <c r="F101" s="836"/>
      <c r="G101" s="88"/>
      <c r="H101" s="88"/>
    </row>
    <row r="102" spans="1:8" ht="20.100000000000001" customHeight="1">
      <c r="A102" s="95"/>
      <c r="B102" s="95"/>
      <c r="C102" s="691">
        <f>'EXHIBIT D'!G266-'EXHIBIT D'!G252-'EXHIBIT D'!G264</f>
        <v>11863689</v>
      </c>
      <c r="D102" s="838" t="s">
        <v>720</v>
      </c>
      <c r="E102" s="838"/>
      <c r="F102" s="838"/>
      <c r="G102" s="88"/>
      <c r="H102" s="88"/>
    </row>
    <row r="103" spans="1:8" ht="66.599999999999994" customHeight="1">
      <c r="A103" s="151"/>
      <c r="B103" s="151"/>
      <c r="C103" s="692">
        <f>C101-C102</f>
        <v>0</v>
      </c>
      <c r="D103" s="927" t="s">
        <v>723</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729</v>
      </c>
      <c r="D106" s="920"/>
      <c r="E106" s="920"/>
      <c r="F106" s="920"/>
      <c r="G106" s="920"/>
      <c r="H106" s="837"/>
    </row>
    <row r="107" spans="1:8" ht="20.100000000000001" customHeight="1">
      <c r="A107" s="151"/>
      <c r="B107" s="151"/>
    </row>
    <row r="108" spans="1:8" ht="24.75" customHeight="1">
      <c r="A108" s="151"/>
      <c r="B108" s="151"/>
      <c r="C108" s="154">
        <f>'EXHIBIT A'!E14</f>
        <v>23101563</v>
      </c>
      <c r="D108" s="17" t="s">
        <v>721</v>
      </c>
    </row>
    <row r="109" spans="1:8" ht="26.25" customHeight="1">
      <c r="A109" s="151"/>
      <c r="B109" s="151"/>
      <c r="C109" s="693">
        <f>'EXHIBIT A'!E36</f>
        <v>23111563</v>
      </c>
      <c r="D109" s="17" t="s">
        <v>722</v>
      </c>
    </row>
    <row r="110" spans="1:8" ht="26.1" customHeight="1">
      <c r="A110" s="151"/>
      <c r="B110" s="151"/>
      <c r="C110" s="694">
        <f>C108-C109</f>
        <v>-10000</v>
      </c>
      <c r="D110" s="89" t="s">
        <v>166</v>
      </c>
      <c r="E110" s="89"/>
      <c r="F110" s="89"/>
      <c r="G110" s="89"/>
    </row>
    <row r="111" spans="1:8" ht="20.100000000000001" customHeight="1">
      <c r="A111" s="151"/>
      <c r="B111" s="151"/>
      <c r="C111" s="154"/>
    </row>
    <row r="112" spans="1:8" ht="26.1" customHeight="1">
      <c r="A112" s="151"/>
      <c r="B112" s="151"/>
      <c r="C112" s="692">
        <f>'EXHIBIT D'!G186</f>
        <v>10000</v>
      </c>
      <c r="D112" s="148" t="s">
        <v>167</v>
      </c>
      <c r="E112" s="92"/>
      <c r="F112" s="92"/>
    </row>
    <row r="113" spans="1:8" ht="20.100000000000001" customHeight="1"/>
    <row r="114" spans="1:8" ht="38.450000000000003" customHeight="1">
      <c r="C114" s="155">
        <f>C110+C112</f>
        <v>0</v>
      </c>
      <c r="D114" s="927" t="s">
        <v>725</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95.450011518083386</v>
      </c>
      <c r="D119" s="17" t="s">
        <v>87</v>
      </c>
    </row>
    <row r="120" spans="1:8" ht="20.100000000000001" customHeight="1">
      <c r="C120" s="158"/>
    </row>
    <row r="121" spans="1:8" ht="20.100000000000001" customHeight="1">
      <c r="C121" s="159" t="str">
        <f>IF('EXHIBIT G'!D119=0,"No Credit Hours or Not Applicable",('EXHIBIT G'!D119/'EXHIBIT C'!D19))</f>
        <v>No Credit Hours or Not Applicable</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726</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727</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728</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748</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3l2aui00NY20bRNmNn2YOxg3dEEYtYGHAMSBLATVDDuH+5yiyBeskuR3H+BX79V9bVIRoWRkAgBZ/OhvGwK1Wg==" saltValue="WdrQf8jwynmbMFS+3dhmc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730</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College of Central Florida</v>
      </c>
      <c r="D8" s="853"/>
      <c r="E8" s="853"/>
      <c r="F8" s="285"/>
      <c r="G8" s="285"/>
    </row>
    <row r="9" spans="2:7" ht="25.35" customHeight="1"/>
    <row r="10" spans="2:7" ht="41.45" customHeight="1">
      <c r="E10" s="584" t="s">
        <v>179</v>
      </c>
    </row>
    <row r="11" spans="2:7" ht="25.35" customHeight="1">
      <c r="B11" s="28" t="s">
        <v>731</v>
      </c>
      <c r="D11" s="28"/>
      <c r="E11" s="163"/>
    </row>
    <row r="12" spans="2:7" ht="25.35" customHeight="1">
      <c r="B12" s="28"/>
      <c r="C12" s="28"/>
      <c r="D12" s="28"/>
    </row>
    <row r="13" spans="2:7" ht="25.35" customHeight="1">
      <c r="B13" s="17" t="s">
        <v>732</v>
      </c>
      <c r="C13" s="28"/>
      <c r="D13" s="28"/>
      <c r="E13" s="460">
        <v>-11247873</v>
      </c>
    </row>
    <row r="14" spans="2:7" ht="25.35" customHeight="1">
      <c r="B14" s="17" t="s">
        <v>180</v>
      </c>
      <c r="D14" s="28"/>
      <c r="E14" s="585">
        <v>23101563</v>
      </c>
    </row>
    <row r="15" spans="2:7" ht="25.35" customHeight="1">
      <c r="B15" s="28"/>
      <c r="D15" s="28"/>
      <c r="E15" s="164"/>
    </row>
    <row r="16" spans="2:7" ht="25.35" customHeight="1">
      <c r="B16" s="17" t="s">
        <v>733</v>
      </c>
      <c r="C16" s="28"/>
      <c r="D16" s="28"/>
      <c r="E16" s="586">
        <f>+E14+E13</f>
        <v>11853690</v>
      </c>
    </row>
    <row r="17" spans="2:7" ht="25.35" customHeight="1">
      <c r="B17" s="28"/>
      <c r="C17" s="28"/>
      <c r="D17" s="28"/>
      <c r="E17" s="165"/>
    </row>
    <row r="18" spans="2:7" ht="25.35" customHeight="1">
      <c r="B18" s="17" t="s">
        <v>181</v>
      </c>
      <c r="C18" s="28"/>
      <c r="D18" s="28"/>
      <c r="E18" s="175">
        <f>+'EXHIBIT D'!G142-SUM(+'EXHIBIT D'!G132+'EXHIBIT D'!G133)</f>
        <v>58702611</v>
      </c>
      <c r="G18" s="138"/>
    </row>
    <row r="19" spans="2:7" ht="25.35" customHeight="1">
      <c r="B19" s="17" t="s">
        <v>182</v>
      </c>
      <c r="D19" s="28"/>
      <c r="E19" s="586">
        <f>+'EXHIBIT D'!G132+'EXHIBIT D'!G133</f>
        <v>345000</v>
      </c>
    </row>
    <row r="20" spans="2:7" ht="25.35" customHeight="1">
      <c r="B20" s="28"/>
      <c r="D20" s="28"/>
      <c r="E20" s="170"/>
    </row>
    <row r="21" spans="2:7" ht="25.35" customHeight="1">
      <c r="B21" s="17" t="s">
        <v>183</v>
      </c>
      <c r="C21" s="28"/>
      <c r="D21" s="28"/>
      <c r="E21" s="587">
        <f>+E19+E18</f>
        <v>59047611</v>
      </c>
    </row>
    <row r="22" spans="2:7" ht="25.35" customHeight="1">
      <c r="B22" s="28"/>
      <c r="C22" s="28"/>
      <c r="D22" s="28"/>
      <c r="E22" s="170"/>
    </row>
    <row r="23" spans="2:7" ht="25.35" customHeight="1">
      <c r="B23" s="28" t="s">
        <v>184</v>
      </c>
      <c r="C23" s="28"/>
      <c r="D23" s="28"/>
      <c r="E23" s="587">
        <f>+E21+E16</f>
        <v>70901301</v>
      </c>
    </row>
    <row r="24" spans="2:7" ht="25.35" customHeight="1">
      <c r="B24" s="28"/>
      <c r="C24" s="28"/>
      <c r="D24" s="28"/>
      <c r="E24" s="170"/>
    </row>
    <row r="25" spans="2:7" ht="25.35" customHeight="1">
      <c r="B25" s="17" t="s">
        <v>185</v>
      </c>
      <c r="C25" s="28"/>
      <c r="D25" s="28"/>
      <c r="E25" s="176">
        <f>'EXHIBIT D'!G248-SUM(+'EXHIBIT D'!G222+'EXHIBIT D'!G223)</f>
        <v>56147811</v>
      </c>
    </row>
    <row r="26" spans="2:7" ht="25.35" customHeight="1">
      <c r="B26" s="17" t="s">
        <v>186</v>
      </c>
      <c r="D26" s="28"/>
      <c r="E26" s="586">
        <f>'EXHIBIT D'!G222+'EXHIBIT D'!G223</f>
        <v>2899800</v>
      </c>
    </row>
    <row r="27" spans="2:7" ht="25.35" customHeight="1">
      <c r="B27" s="28"/>
      <c r="D27" s="28"/>
      <c r="E27" s="170"/>
    </row>
    <row r="28" spans="2:7" ht="25.35" customHeight="1">
      <c r="B28" s="28" t="s">
        <v>187</v>
      </c>
      <c r="C28" s="28"/>
      <c r="D28" s="28"/>
      <c r="E28" s="588">
        <f>+E26+E25</f>
        <v>59047611</v>
      </c>
    </row>
    <row r="29" spans="2:7" ht="25.35" customHeight="1">
      <c r="B29" s="28"/>
      <c r="C29" s="28"/>
      <c r="D29" s="28"/>
      <c r="E29" s="166"/>
    </row>
    <row r="30" spans="2:7" ht="25.35" customHeight="1">
      <c r="B30" s="28" t="s">
        <v>697</v>
      </c>
      <c r="C30" s="28"/>
      <c r="D30" s="28"/>
      <c r="E30" s="166"/>
    </row>
    <row r="31" spans="2:7" ht="25.35" customHeight="1">
      <c r="B31" s="28"/>
      <c r="C31" s="28"/>
      <c r="D31" s="28"/>
      <c r="E31" s="166"/>
    </row>
    <row r="32" spans="2:7" ht="25.35" customHeight="1">
      <c r="B32" s="17" t="s">
        <v>188</v>
      </c>
      <c r="C32" s="28"/>
      <c r="D32" s="167">
        <f>+E23-E28</f>
        <v>11853690</v>
      </c>
      <c r="E32" s="166"/>
    </row>
    <row r="33" spans="2:10" ht="25.35" customHeight="1">
      <c r="B33" s="17" t="s">
        <v>189</v>
      </c>
      <c r="C33" s="28"/>
      <c r="D33" s="589">
        <f>+'EXHIBIT D'!G186</f>
        <v>10000</v>
      </c>
      <c r="E33" s="166"/>
    </row>
    <row r="34" spans="2:10" ht="25.35" customHeight="1">
      <c r="B34" s="28"/>
      <c r="D34" s="28"/>
      <c r="E34" s="166"/>
      <c r="J34" s="168"/>
    </row>
    <row r="35" spans="2:10" ht="25.35" customHeight="1">
      <c r="B35" s="17" t="s">
        <v>734</v>
      </c>
      <c r="C35" s="28"/>
      <c r="D35" s="28"/>
      <c r="E35" s="169">
        <f>+D32+D33</f>
        <v>11863690</v>
      </c>
    </row>
    <row r="36" spans="2:10" ht="25.35" customHeight="1">
      <c r="B36" s="17" t="s">
        <v>735</v>
      </c>
      <c r="C36" s="28"/>
      <c r="D36" s="28"/>
      <c r="E36" s="587">
        <f>-'EXHIBIT D'!G264</f>
        <v>23111563</v>
      </c>
      <c r="J36" s="48"/>
    </row>
    <row r="37" spans="2:10" ht="25.35" customHeight="1">
      <c r="D37" s="28"/>
      <c r="E37" s="169"/>
    </row>
    <row r="38" spans="2:10" ht="25.35" customHeight="1">
      <c r="B38" s="28" t="s">
        <v>736</v>
      </c>
      <c r="D38" s="28"/>
      <c r="E38" s="586">
        <f>+E35-E36</f>
        <v>-11247873</v>
      </c>
    </row>
    <row r="39" spans="2:10" ht="25.35" customHeight="1">
      <c r="B39" s="28"/>
      <c r="C39" s="28"/>
      <c r="D39" s="28"/>
      <c r="E39" s="170"/>
    </row>
    <row r="40" spans="2:10" ht="25.35" customHeight="1">
      <c r="B40" s="17" t="s">
        <v>737</v>
      </c>
      <c r="C40" s="28"/>
      <c r="D40" s="28"/>
      <c r="E40" s="588">
        <f>'EXHIBIT D'!G253+'EXHIBIT D'!G254+'EXHIBIT D'!G255+'EXHIBIT D'!G256+'EXHIBIT D'!G257+'EXHIBIT D'!G258+'EXHIBIT D'!G259+'EXHIBIT D'!G260</f>
        <v>11863689</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738</v>
      </c>
      <c r="C44" s="28"/>
      <c r="D44" s="28"/>
      <c r="E44" s="590">
        <f>+E40/E23</f>
        <v>0.16732681675333433</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70" zoomScaleNormal="7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739</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College of Central Florida</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95.45</v>
      </c>
      <c r="C14" s="983">
        <v>4.7699999999999996</v>
      </c>
      <c r="D14" s="983">
        <v>9.5399999999999991</v>
      </c>
      <c r="E14" s="983">
        <v>14.74</v>
      </c>
      <c r="F14" s="983">
        <v>4.7699999999999996</v>
      </c>
      <c r="G14" s="696">
        <f>SUM(B14:F14)</f>
        <v>129.26999999999998</v>
      </c>
      <c r="H14" s="367">
        <f>G14*30</f>
        <v>3878.0999999999995</v>
      </c>
    </row>
    <row r="15" spans="1:18" s="17" customFormat="1" ht="20.100000000000001" customHeight="1">
      <c r="A15" s="28" t="s">
        <v>207</v>
      </c>
      <c r="B15" s="984">
        <v>82.78</v>
      </c>
      <c r="C15" s="984">
        <v>4.1399999999999997</v>
      </c>
      <c r="D15" s="984">
        <v>8.2799999999999994</v>
      </c>
      <c r="E15" s="984">
        <v>13.58</v>
      </c>
      <c r="F15" s="984">
        <v>4.1399999999999997</v>
      </c>
      <c r="G15" s="696">
        <f>SUM(B15:F15)</f>
        <v>112.92</v>
      </c>
      <c r="H15" s="340">
        <f>G15*30</f>
        <v>3387.6</v>
      </c>
    </row>
    <row r="16" spans="1:18" s="17" customFormat="1" ht="20.100000000000001" customHeight="1" thickBot="1">
      <c r="A16" s="28" t="s">
        <v>82</v>
      </c>
      <c r="B16" s="985">
        <v>73.400000000000006</v>
      </c>
      <c r="C16" s="985">
        <v>7.34</v>
      </c>
      <c r="D16" s="986"/>
      <c r="E16" s="985">
        <v>3.67</v>
      </c>
      <c r="F16" s="985">
        <v>3.67</v>
      </c>
      <c r="G16" s="341">
        <f>SUM(B16:F16)</f>
        <v>88.080000000000013</v>
      </c>
      <c r="H16" s="697">
        <f>G16*30</f>
        <v>2642.4000000000005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95.45</v>
      </c>
      <c r="C29" s="983">
        <v>353.16</v>
      </c>
      <c r="D29" s="983">
        <v>22.42</v>
      </c>
      <c r="E29" s="543">
        <f>D14</f>
        <v>9.5399999999999991</v>
      </c>
      <c r="F29" s="983">
        <v>88.4</v>
      </c>
      <c r="G29" s="983">
        <v>22.42</v>
      </c>
      <c r="H29" s="348">
        <f>SUM(B29:G29)</f>
        <v>591.39</v>
      </c>
      <c r="I29" s="361">
        <f>H29*30</f>
        <v>17741.7</v>
      </c>
    </row>
    <row r="30" spans="1:11" s="17" customFormat="1" ht="20.100000000000001" customHeight="1">
      <c r="A30" s="28" t="str">
        <f t="shared" si="0"/>
        <v>LOWER LEVEL - CREDIT (A &amp; P, PSV, DEVELOPMENTAL EDUCATION AND EPI)</v>
      </c>
      <c r="B30" s="700">
        <f t="shared" si="0"/>
        <v>82.78</v>
      </c>
      <c r="C30" s="987">
        <v>248.34</v>
      </c>
      <c r="D30" s="987">
        <v>16.559999999999999</v>
      </c>
      <c r="E30" s="701">
        <f>D15</f>
        <v>8.2799999999999994</v>
      </c>
      <c r="F30" s="987">
        <v>65.680000000000007</v>
      </c>
      <c r="G30" s="987">
        <v>16.559999999999999</v>
      </c>
      <c r="H30" s="696">
        <f>SUM(B30:G30)</f>
        <v>438.2</v>
      </c>
      <c r="I30" s="340">
        <f>H30*30</f>
        <v>13146</v>
      </c>
    </row>
    <row r="31" spans="1:11" s="17" customFormat="1" ht="20.100000000000001" customHeight="1" thickBot="1">
      <c r="A31" s="28" t="str">
        <f t="shared" si="0"/>
        <v>CAREER CERTIFICATE AND APPLIED TECHNOLOGY DIPLOMA</v>
      </c>
      <c r="B31" s="411">
        <f t="shared" si="0"/>
        <v>73.400000000000006</v>
      </c>
      <c r="C31" s="984">
        <v>220.19</v>
      </c>
      <c r="D31" s="984">
        <v>29.36</v>
      </c>
      <c r="E31" s="322"/>
      <c r="F31" s="984">
        <v>14.68</v>
      </c>
      <c r="G31" s="984">
        <v>14.68</v>
      </c>
      <c r="H31" s="341">
        <f>SUM(B31:G31)</f>
        <v>352.31000000000006</v>
      </c>
      <c r="I31" s="697">
        <f>H31*30</f>
        <v>10569.300000000001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740</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741</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College of Central Florida</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8721</v>
      </c>
      <c r="E10" s="546">
        <v>39</v>
      </c>
      <c r="F10" s="547">
        <f t="shared" ref="F10:F15" si="0">+D10-E10</f>
        <v>8682</v>
      </c>
      <c r="G10" s="547">
        <f>'EXHIBIT B'!B14</f>
        <v>95.45</v>
      </c>
      <c r="H10" s="548">
        <f>ROUND(+F10*G10,0)</f>
        <v>828697</v>
      </c>
    </row>
    <row r="11" spans="1:9" ht="20.100000000000001" customHeight="1">
      <c r="A11" s="707" t="s">
        <v>200</v>
      </c>
      <c r="B11" s="707" t="s">
        <v>132</v>
      </c>
      <c r="C11" s="708" t="s">
        <v>228</v>
      </c>
      <c r="D11" s="706">
        <v>63439</v>
      </c>
      <c r="E11" s="706">
        <v>6504</v>
      </c>
      <c r="F11" s="709">
        <f t="shared" si="0"/>
        <v>56935</v>
      </c>
      <c r="G11" s="709">
        <f>+'EXHIBIT B'!B15</f>
        <v>82.78</v>
      </c>
      <c r="H11" s="710">
        <f t="shared" ref="H11:H15" si="1">ROUND(+F11*G11,0)</f>
        <v>4713079</v>
      </c>
    </row>
    <row r="12" spans="1:9" ht="20.100000000000001" customHeight="1">
      <c r="A12" s="707" t="s">
        <v>200</v>
      </c>
      <c r="B12" s="707" t="s">
        <v>133</v>
      </c>
      <c r="C12" s="708" t="s">
        <v>229</v>
      </c>
      <c r="D12" s="706">
        <v>34829</v>
      </c>
      <c r="E12" s="706">
        <v>1598</v>
      </c>
      <c r="F12" s="709">
        <f t="shared" si="0"/>
        <v>33231</v>
      </c>
      <c r="G12" s="709">
        <f>+'EXHIBIT B'!B15</f>
        <v>82.78</v>
      </c>
      <c r="H12" s="710">
        <f t="shared" si="1"/>
        <v>2750862</v>
      </c>
    </row>
    <row r="13" spans="1:9" ht="20.100000000000001" customHeight="1">
      <c r="A13" s="707" t="s">
        <v>200</v>
      </c>
      <c r="B13" s="707" t="s">
        <v>82</v>
      </c>
      <c r="C13" s="708" t="s">
        <v>230</v>
      </c>
      <c r="D13" s="711">
        <v>4140</v>
      </c>
      <c r="E13" s="711">
        <v>857</v>
      </c>
      <c r="F13" s="709">
        <f t="shared" si="0"/>
        <v>3283</v>
      </c>
      <c r="G13" s="709">
        <f>+'EXHIBIT B'!B16</f>
        <v>73.400000000000006</v>
      </c>
      <c r="H13" s="710">
        <f t="shared" si="1"/>
        <v>240972</v>
      </c>
    </row>
    <row r="14" spans="1:9" ht="20.100000000000001" customHeight="1">
      <c r="A14" s="707" t="s">
        <v>200</v>
      </c>
      <c r="B14" s="707" t="s">
        <v>134</v>
      </c>
      <c r="C14" s="708" t="s">
        <v>231</v>
      </c>
      <c r="D14" s="706">
        <v>3673</v>
      </c>
      <c r="E14" s="706">
        <v>1227</v>
      </c>
      <c r="F14" s="709">
        <f t="shared" si="0"/>
        <v>2446</v>
      </c>
      <c r="G14" s="709">
        <f>+'EXHIBIT B'!B15</f>
        <v>82.78</v>
      </c>
      <c r="H14" s="710">
        <f t="shared" si="1"/>
        <v>202480</v>
      </c>
    </row>
    <row r="15" spans="1:9" ht="20.100000000000001" customHeight="1" thickBot="1">
      <c r="A15" s="712" t="s">
        <v>200</v>
      </c>
      <c r="B15" s="712" t="s">
        <v>135</v>
      </c>
      <c r="C15" s="713">
        <v>40160</v>
      </c>
      <c r="D15" s="714">
        <v>0</v>
      </c>
      <c r="E15" s="714">
        <v>0</v>
      </c>
      <c r="F15" s="715">
        <f t="shared" si="0"/>
        <v>0</v>
      </c>
      <c r="G15" s="715">
        <f>+'EXHIBIT B'!B15</f>
        <v>82.78</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114802</v>
      </c>
      <c r="E17" s="304">
        <f>SUM(E10:E15)</f>
        <v>10225</v>
      </c>
      <c r="F17" s="305">
        <f>SUM(F10:F15)</f>
        <v>104577</v>
      </c>
      <c r="G17" s="305"/>
      <c r="H17" s="306">
        <f>SUM(H10:H15)</f>
        <v>8736090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0</v>
      </c>
      <c r="E19" s="718">
        <f>'EXHIBIT B'!C29</f>
        <v>353.16</v>
      </c>
      <c r="F19" s="719">
        <f t="shared" ref="F19:F24" si="2">ROUND(+D19*E19,0)</f>
        <v>0</v>
      </c>
      <c r="G19" s="308"/>
      <c r="H19" s="308"/>
    </row>
    <row r="20" spans="1:9" ht="20.100000000000001" customHeight="1">
      <c r="A20" s="654" t="s">
        <v>215</v>
      </c>
      <c r="B20" s="654" t="s">
        <v>132</v>
      </c>
      <c r="C20" s="720" t="s">
        <v>235</v>
      </c>
      <c r="D20" s="727">
        <v>2184</v>
      </c>
      <c r="E20" s="721">
        <f>+'EXHIBIT B'!C30</f>
        <v>248.34</v>
      </c>
      <c r="F20" s="722">
        <f t="shared" si="2"/>
        <v>542375</v>
      </c>
      <c r="G20" s="48"/>
      <c r="H20" s="48"/>
    </row>
    <row r="21" spans="1:9" ht="20.100000000000001" customHeight="1">
      <c r="A21" s="654" t="s">
        <v>215</v>
      </c>
      <c r="B21" s="654" t="s">
        <v>133</v>
      </c>
      <c r="C21" s="720" t="s">
        <v>236</v>
      </c>
      <c r="D21" s="727">
        <v>1137</v>
      </c>
      <c r="E21" s="721">
        <f>+'EXHIBIT B'!C30</f>
        <v>248.34</v>
      </c>
      <c r="F21" s="722">
        <f t="shared" si="2"/>
        <v>282363</v>
      </c>
      <c r="G21" s="48"/>
      <c r="H21" s="48"/>
    </row>
    <row r="22" spans="1:9" ht="20.100000000000001" customHeight="1">
      <c r="A22" s="654" t="s">
        <v>215</v>
      </c>
      <c r="B22" s="654" t="s">
        <v>82</v>
      </c>
      <c r="C22" s="720" t="s">
        <v>237</v>
      </c>
      <c r="D22" s="727">
        <v>93</v>
      </c>
      <c r="E22" s="721">
        <f>+'EXHIBIT B'!C31</f>
        <v>220.19</v>
      </c>
      <c r="F22" s="722">
        <f t="shared" si="2"/>
        <v>20478</v>
      </c>
      <c r="G22" s="48"/>
      <c r="H22" s="48"/>
    </row>
    <row r="23" spans="1:9" ht="20.100000000000001" customHeight="1">
      <c r="A23" s="654" t="s">
        <v>215</v>
      </c>
      <c r="B23" s="654" t="s">
        <v>134</v>
      </c>
      <c r="C23" s="720" t="s">
        <v>238</v>
      </c>
      <c r="D23" s="727">
        <v>467</v>
      </c>
      <c r="E23" s="721">
        <f>+'EXHIBIT B'!C30</f>
        <v>248.34</v>
      </c>
      <c r="F23" s="722">
        <f t="shared" si="2"/>
        <v>115975</v>
      </c>
      <c r="G23" s="48"/>
      <c r="H23" s="48"/>
    </row>
    <row r="24" spans="1:9" ht="20.100000000000001" customHeight="1" thickBot="1">
      <c r="A24" s="606" t="s">
        <v>215</v>
      </c>
      <c r="B24" s="606" t="s">
        <v>135</v>
      </c>
      <c r="C24" s="607">
        <v>40360</v>
      </c>
      <c r="D24" s="989">
        <v>0</v>
      </c>
      <c r="E24" s="608">
        <f>+'EXHIBIT B'!C30</f>
        <v>248.34</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3881</v>
      </c>
      <c r="E26" s="725"/>
      <c r="F26" s="726">
        <f>SUM(F19:F24)</f>
        <v>961191</v>
      </c>
      <c r="G26" s="312"/>
      <c r="H26" s="312"/>
    </row>
    <row r="27" spans="1:9" ht="20.100000000000001" customHeight="1" thickBot="1">
      <c r="A27" s="313" t="s">
        <v>239</v>
      </c>
      <c r="B27" s="313"/>
      <c r="C27" s="313"/>
      <c r="D27" s="313"/>
      <c r="E27" s="313"/>
      <c r="F27" s="314"/>
      <c r="G27" s="549"/>
      <c r="H27" s="315">
        <f>H17+F26</f>
        <v>9697281</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490</v>
      </c>
      <c r="E33" s="727">
        <v>0</v>
      </c>
      <c r="F33" s="721">
        <f>D33-E33</f>
        <v>490</v>
      </c>
      <c r="G33" s="721">
        <f>'EXHIBIT B'!B20</f>
        <v>30</v>
      </c>
      <c r="H33" s="722">
        <f>ROUND(+F33*G33,0)</f>
        <v>14700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490</v>
      </c>
      <c r="E36" s="318">
        <f>SUM(E32:E35)</f>
        <v>0</v>
      </c>
      <c r="F36" s="319">
        <f>D36-E36</f>
        <v>490</v>
      </c>
      <c r="G36" s="319"/>
      <c r="H36" s="320">
        <f>SUM(H32:H35)</f>
        <v>14700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14700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9711981</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750</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779</v>
      </c>
      <c r="B54" s="990">
        <v>1250000</v>
      </c>
      <c r="C54" s="992">
        <v>42110</v>
      </c>
      <c r="D54" s="993"/>
      <c r="E54" s="992" t="s">
        <v>780</v>
      </c>
      <c r="F54" s="993"/>
    </row>
    <row r="55" spans="1:10" ht="24.95" customHeight="1">
      <c r="A55" s="733" t="s">
        <v>782</v>
      </c>
      <c r="B55" s="727">
        <v>1649800</v>
      </c>
      <c r="C55" s="994">
        <v>42110</v>
      </c>
      <c r="D55" s="995"/>
      <c r="E55" s="994" t="s">
        <v>780</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2899800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781</v>
      </c>
      <c r="B63" s="991">
        <v>345000</v>
      </c>
      <c r="C63" s="992">
        <v>69210</v>
      </c>
      <c r="D63" s="993"/>
      <c r="E63" s="992">
        <v>49230</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345000</v>
      </c>
      <c r="C69" s="1002"/>
      <c r="D69" s="1003"/>
      <c r="E69" s="1002"/>
      <c r="F69" s="1003"/>
    </row>
    <row r="70" spans="1:6" ht="24.95" customHeight="1" thickBot="1">
      <c r="A70" s="292" t="s">
        <v>264</v>
      </c>
      <c r="B70" s="293">
        <f>+B69+B60</f>
        <v>3244800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70" zoomScaleNormal="7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College of Central Florida</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College of Central Florida</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742</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828697</v>
      </c>
    </row>
    <row r="13" spans="1:8" ht="20.100000000000001" customHeight="1">
      <c r="A13" s="499" t="s">
        <v>200</v>
      </c>
      <c r="B13" s="184"/>
      <c r="C13" s="177" t="s">
        <v>132</v>
      </c>
      <c r="D13" s="184"/>
      <c r="E13" s="184"/>
      <c r="F13" s="189" t="s">
        <v>228</v>
      </c>
      <c r="G13" s="188">
        <f>+'EXHIBIT C'!H11+'EXHIBIT C(2)'!E14</f>
        <v>4713079</v>
      </c>
    </row>
    <row r="14" spans="1:8" ht="20.100000000000001" customHeight="1">
      <c r="A14" s="499" t="s">
        <v>200</v>
      </c>
      <c r="B14" s="184"/>
      <c r="C14" s="184" t="s">
        <v>133</v>
      </c>
      <c r="D14" s="184"/>
      <c r="E14" s="184"/>
      <c r="F14" s="189" t="s">
        <v>229</v>
      </c>
      <c r="G14" s="520">
        <f>+'EXHIBIT C'!H12+'EXHIBIT C(2)'!E15</f>
        <v>2750862</v>
      </c>
    </row>
    <row r="15" spans="1:8" ht="20.100000000000001" customHeight="1">
      <c r="A15" s="499" t="s">
        <v>200</v>
      </c>
      <c r="B15" s="184"/>
      <c r="C15" s="190" t="s">
        <v>281</v>
      </c>
      <c r="D15" s="184"/>
      <c r="E15" s="184"/>
      <c r="F15" s="189" t="s">
        <v>230</v>
      </c>
      <c r="G15" s="520">
        <f>+'EXHIBIT C'!H13+'EXHIBIT C(2)'!E16</f>
        <v>240972</v>
      </c>
    </row>
    <row r="16" spans="1:8" ht="20.100000000000001" customHeight="1">
      <c r="A16" s="499" t="s">
        <v>200</v>
      </c>
      <c r="B16" s="184"/>
      <c r="C16" s="190" t="s">
        <v>282</v>
      </c>
      <c r="D16" s="184"/>
      <c r="E16" s="184"/>
      <c r="F16" s="189" t="s">
        <v>231</v>
      </c>
      <c r="G16" s="521">
        <f>+'EXHIBIT C'!H14+'EXHIBIT C(2)'!E17</f>
        <v>202480</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8736090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0</v>
      </c>
    </row>
    <row r="22" spans="1:7" ht="20.100000000000001" customHeight="1">
      <c r="A22" s="499" t="s">
        <v>215</v>
      </c>
      <c r="B22" s="184"/>
      <c r="C22" s="177" t="s">
        <v>132</v>
      </c>
      <c r="D22" s="184"/>
      <c r="E22" s="184"/>
      <c r="F22" s="189" t="s">
        <v>235</v>
      </c>
      <c r="G22" s="193">
        <f>+'EXHIBIT C'!F20+'EXHIBIT C(2)'!E23</f>
        <v>542375</v>
      </c>
    </row>
    <row r="23" spans="1:7" ht="20.100000000000001" customHeight="1">
      <c r="A23" s="499" t="s">
        <v>215</v>
      </c>
      <c r="B23" s="184"/>
      <c r="C23" s="184" t="s">
        <v>133</v>
      </c>
      <c r="D23" s="184"/>
      <c r="E23" s="184"/>
      <c r="F23" s="189" t="s">
        <v>236</v>
      </c>
      <c r="G23" s="198">
        <f>+'EXHIBIT C'!F21+'EXHIBIT C(2)'!E24</f>
        <v>282363</v>
      </c>
    </row>
    <row r="24" spans="1:7" ht="20.100000000000001" customHeight="1">
      <c r="A24" s="499" t="s">
        <v>215</v>
      </c>
      <c r="B24" s="184"/>
      <c r="C24" s="190" t="s">
        <v>281</v>
      </c>
      <c r="D24" s="184"/>
      <c r="E24" s="184"/>
      <c r="F24" s="189" t="s">
        <v>237</v>
      </c>
      <c r="G24" s="198">
        <f>+'EXHIBIT C'!F22+'EXHIBIT C(2)'!E25</f>
        <v>20478</v>
      </c>
    </row>
    <row r="25" spans="1:7" ht="20.100000000000001" customHeight="1">
      <c r="A25" s="499" t="s">
        <v>215</v>
      </c>
      <c r="B25" s="184"/>
      <c r="C25" s="190" t="s">
        <v>282</v>
      </c>
      <c r="D25" s="184"/>
      <c r="E25" s="184"/>
      <c r="F25" s="189" t="s">
        <v>238</v>
      </c>
      <c r="G25" s="198">
        <f>+'EXHIBIT C'!F23+'EXHIBIT C(2)'!E26</f>
        <v>115975</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961191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14700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14700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9711981</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250000</v>
      </c>
    </row>
    <row r="48" spans="1:7" ht="20.100000000000001" customHeight="1">
      <c r="A48" s="499" t="s">
        <v>296</v>
      </c>
      <c r="C48" s="199"/>
      <c r="D48" s="199"/>
      <c r="E48" s="199"/>
      <c r="F48" s="200" t="s">
        <v>297</v>
      </c>
      <c r="G48" s="448">
        <v>125000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700000</v>
      </c>
    </row>
    <row r="51" spans="1:7" ht="20.100000000000001" customHeight="1">
      <c r="A51" s="499" t="s">
        <v>302</v>
      </c>
      <c r="B51" s="184"/>
      <c r="C51" s="184"/>
      <c r="D51" s="184"/>
      <c r="E51" s="184"/>
      <c r="F51" s="187">
        <v>40450</v>
      </c>
      <c r="G51" s="448">
        <v>622864</v>
      </c>
    </row>
    <row r="52" spans="1:7" ht="20.100000000000001" customHeight="1">
      <c r="A52" s="499" t="s">
        <v>303</v>
      </c>
      <c r="B52" s="184"/>
      <c r="C52" s="184"/>
      <c r="D52" s="184"/>
      <c r="E52" s="184"/>
      <c r="F52" s="189" t="s">
        <v>304</v>
      </c>
      <c r="G52" s="448">
        <v>150000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80000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500000</v>
      </c>
    </row>
    <row r="59" spans="1:7" ht="20.100000000000001" customHeight="1">
      <c r="A59" s="499" t="s">
        <v>317</v>
      </c>
      <c r="B59" s="184"/>
      <c r="C59" s="184"/>
      <c r="D59" s="184"/>
      <c r="E59" s="184"/>
      <c r="F59" s="189" t="s">
        <v>318</v>
      </c>
      <c r="G59" s="448">
        <v>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125000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12264845</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400000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400000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36495661</v>
      </c>
    </row>
    <row r="76" spans="1:7" ht="20.100000000000001" customHeight="1">
      <c r="A76" s="499" t="s">
        <v>707</v>
      </c>
      <c r="B76" s="184"/>
      <c r="C76" s="184"/>
      <c r="D76" s="184"/>
      <c r="E76" s="184"/>
      <c r="F76" s="187">
        <v>42130</v>
      </c>
      <c r="G76" s="523">
        <v>814514</v>
      </c>
    </row>
    <row r="77" spans="1:7" ht="20.100000000000001" customHeight="1">
      <c r="A77" s="501" t="s">
        <v>335</v>
      </c>
      <c r="B77" s="502"/>
      <c r="C77" s="502"/>
      <c r="D77" s="502"/>
      <c r="E77" s="502"/>
      <c r="F77" s="203" t="s">
        <v>336</v>
      </c>
      <c r="G77" s="524">
        <v>609302</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749</v>
      </c>
      <c r="B80" s="184"/>
      <c r="C80" s="184"/>
      <c r="D80" s="184"/>
      <c r="E80" s="184"/>
      <c r="F80" s="189" t="s">
        <v>341</v>
      </c>
      <c r="G80" s="523">
        <v>300000</v>
      </c>
    </row>
    <row r="81" spans="1:10" ht="20.100000000000001" customHeight="1">
      <c r="A81" s="499" t="s">
        <v>342</v>
      </c>
      <c r="B81" s="184"/>
      <c r="C81" s="184"/>
      <c r="D81" s="184"/>
      <c r="E81" s="184"/>
      <c r="F81" s="189" t="s">
        <v>343</v>
      </c>
      <c r="G81" s="522">
        <f>'CHECK SHEET'!D86</f>
        <v>5863289</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44082766</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75000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75000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100000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250000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350000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140000</v>
      </c>
    </row>
    <row r="110" spans="1:7" ht="20.100000000000001" customHeight="1">
      <c r="A110" s="499" t="s">
        <v>369</v>
      </c>
      <c r="B110" s="184"/>
      <c r="C110" s="184"/>
      <c r="D110" s="184"/>
      <c r="E110" s="184"/>
      <c r="F110" s="189" t="s">
        <v>370</v>
      </c>
      <c r="G110" s="449">
        <v>400000</v>
      </c>
    </row>
    <row r="111" spans="1:7" ht="20.100000000000001" customHeight="1">
      <c r="A111" s="499" t="s">
        <v>371</v>
      </c>
      <c r="B111" s="184"/>
      <c r="C111" s="184"/>
      <c r="D111" s="184"/>
      <c r="E111" s="184"/>
      <c r="F111" s="189" t="s">
        <v>372</v>
      </c>
      <c r="G111" s="449">
        <v>500000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1040000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350000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row>
    <row r="126" spans="1:7" ht="20.100000000000001" customHeight="1">
      <c r="A126" s="499" t="s">
        <v>388</v>
      </c>
      <c r="B126" s="184"/>
      <c r="C126" s="184"/>
      <c r="D126" s="184"/>
      <c r="E126" s="184"/>
      <c r="F126" s="189" t="s">
        <v>389</v>
      </c>
      <c r="G126" s="449">
        <v>140000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490000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709</v>
      </c>
      <c r="B133" s="184"/>
      <c r="C133" s="184"/>
      <c r="D133" s="508"/>
      <c r="E133" s="199"/>
      <c r="F133" s="1118">
        <v>49200</v>
      </c>
      <c r="G133" s="449">
        <v>345000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696</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345000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59047611</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1293659</v>
      </c>
    </row>
    <row r="147" spans="1:7" ht="20.100000000000001" customHeight="1">
      <c r="A147" s="499" t="s">
        <v>406</v>
      </c>
      <c r="F147" s="189" t="s">
        <v>407</v>
      </c>
      <c r="G147" s="453">
        <v>814306</v>
      </c>
    </row>
    <row r="148" spans="1:7" ht="20.100000000000001" customHeight="1">
      <c r="A148" s="499" t="s">
        <v>408</v>
      </c>
      <c r="F148" s="189" t="s">
        <v>409</v>
      </c>
      <c r="G148" s="453">
        <v>1145087</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9272740</v>
      </c>
    </row>
    <row r="152" spans="1:7" ht="20.100000000000001" customHeight="1">
      <c r="A152" s="499" t="s">
        <v>416</v>
      </c>
      <c r="B152" s="184"/>
      <c r="C152" s="184"/>
      <c r="D152" s="184"/>
      <c r="E152" s="184"/>
      <c r="F152" s="189" t="s">
        <v>417</v>
      </c>
      <c r="G152" s="453">
        <v>2093274</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5247675</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489061</v>
      </c>
    </row>
    <row r="165" spans="1:7" ht="20.100000000000001" customHeight="1">
      <c r="A165" s="499" t="s">
        <v>441</v>
      </c>
      <c r="B165" s="184"/>
      <c r="C165" s="184"/>
      <c r="D165" s="184"/>
      <c r="E165" s="184"/>
      <c r="F165" s="189" t="s">
        <v>442</v>
      </c>
      <c r="G165" s="453">
        <v>140747</v>
      </c>
    </row>
    <row r="166" spans="1:7" ht="20.100000000000001" customHeight="1">
      <c r="A166" s="499" t="s">
        <v>443</v>
      </c>
      <c r="B166" s="184"/>
      <c r="C166" s="184"/>
      <c r="D166" s="184"/>
      <c r="E166" s="184"/>
      <c r="F166" s="189" t="s">
        <v>444</v>
      </c>
      <c r="G166" s="453">
        <v>4761009</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2893997</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2409192</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288171</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1988689</v>
      </c>
    </row>
    <row r="185" spans="1:7" ht="20.100000000000001" customHeight="1">
      <c r="A185" s="499" t="s">
        <v>478</v>
      </c>
      <c r="B185" s="184"/>
      <c r="C185" s="184"/>
      <c r="D185" s="184"/>
      <c r="E185" s="184"/>
      <c r="F185" s="189" t="s">
        <v>479</v>
      </c>
      <c r="G185" s="453">
        <v>3624989</v>
      </c>
    </row>
    <row r="186" spans="1:7" ht="20.100000000000001" customHeight="1">
      <c r="A186" s="499" t="s">
        <v>480</v>
      </c>
      <c r="B186" s="184"/>
      <c r="C186" s="184"/>
      <c r="D186" s="184"/>
      <c r="E186" s="184"/>
      <c r="F186" s="189" t="s">
        <v>481</v>
      </c>
      <c r="G186" s="453">
        <v>10000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27400</v>
      </c>
    </row>
    <row r="190" spans="1:7" ht="20.100000000000001" customHeight="1">
      <c r="A190" s="499" t="s">
        <v>487</v>
      </c>
      <c r="B190" s="184"/>
      <c r="C190" s="184"/>
      <c r="D190" s="184"/>
      <c r="E190" s="184"/>
      <c r="F190" s="189" t="s">
        <v>488</v>
      </c>
      <c r="G190" s="453">
        <v>3279343</v>
      </c>
    </row>
    <row r="191" spans="1:7" ht="20.100000000000001" customHeight="1">
      <c r="A191" s="499" t="s">
        <v>489</v>
      </c>
      <c r="B191" s="184"/>
      <c r="C191" s="184"/>
      <c r="D191" s="184"/>
      <c r="E191" s="184"/>
      <c r="F191" s="189" t="s">
        <v>490</v>
      </c>
      <c r="G191" s="453">
        <v>43800</v>
      </c>
    </row>
    <row r="192" spans="1:7" ht="20.100000000000001" customHeight="1">
      <c r="A192" s="499" t="s">
        <v>491</v>
      </c>
      <c r="B192" s="184"/>
      <c r="C192" s="184"/>
      <c r="D192" s="184"/>
      <c r="E192" s="184"/>
      <c r="F192" s="189" t="s">
        <v>492</v>
      </c>
      <c r="G192" s="453">
        <v>1156451</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40979590</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629101</v>
      </c>
    </row>
    <row r="199" spans="1:7" ht="20.100000000000001" customHeight="1">
      <c r="A199" s="499" t="s">
        <v>497</v>
      </c>
      <c r="B199" s="184"/>
      <c r="C199" s="184"/>
      <c r="D199" s="184"/>
      <c r="E199" s="184"/>
      <c r="F199" s="189" t="s">
        <v>498</v>
      </c>
      <c r="G199" s="453">
        <v>87566</v>
      </c>
    </row>
    <row r="200" spans="1:7" ht="20.100000000000001" customHeight="1">
      <c r="A200" s="499" t="s">
        <v>499</v>
      </c>
      <c r="B200" s="184"/>
      <c r="C200" s="184"/>
      <c r="D200" s="184"/>
      <c r="E200" s="184"/>
      <c r="F200" s="189" t="s">
        <v>500</v>
      </c>
      <c r="G200" s="453">
        <v>217267</v>
      </c>
    </row>
    <row r="201" spans="1:7" ht="20.100000000000001" customHeight="1">
      <c r="A201" s="499" t="s">
        <v>501</v>
      </c>
      <c r="B201" s="184"/>
      <c r="C201" s="184"/>
      <c r="D201" s="184"/>
      <c r="E201" s="184"/>
      <c r="F201" s="189" t="s">
        <v>502</v>
      </c>
      <c r="G201" s="453">
        <v>145750</v>
      </c>
    </row>
    <row r="202" spans="1:7" ht="20.100000000000001" customHeight="1">
      <c r="A202" s="499" t="s">
        <v>503</v>
      </c>
      <c r="B202" s="184"/>
      <c r="C202" s="184"/>
      <c r="D202" s="184"/>
      <c r="E202" s="184"/>
      <c r="F202" s="189" t="s">
        <v>504</v>
      </c>
      <c r="G202" s="453">
        <v>2443065</v>
      </c>
    </row>
    <row r="203" spans="1:7" ht="20.100000000000001" customHeight="1">
      <c r="A203" s="499" t="s">
        <v>505</v>
      </c>
      <c r="B203" s="184"/>
      <c r="C203" s="184"/>
      <c r="D203" s="184"/>
      <c r="E203" s="184"/>
      <c r="F203" s="189" t="s">
        <v>506</v>
      </c>
      <c r="G203" s="453">
        <v>276199</v>
      </c>
    </row>
    <row r="204" spans="1:7" ht="20.100000000000001" customHeight="1">
      <c r="A204" s="499" t="s">
        <v>695</v>
      </c>
      <c r="B204" s="184"/>
      <c r="C204" s="184"/>
      <c r="D204" s="184"/>
      <c r="E204" s="184"/>
      <c r="F204" s="1028">
        <v>63100</v>
      </c>
      <c r="G204" s="453">
        <v>0</v>
      </c>
    </row>
    <row r="205" spans="1:7" ht="20.100000000000001" customHeight="1">
      <c r="A205" s="499" t="s">
        <v>507</v>
      </c>
      <c r="B205" s="184"/>
      <c r="C205" s="184"/>
      <c r="D205" s="184"/>
      <c r="E205" s="184"/>
      <c r="F205" s="189" t="s">
        <v>508</v>
      </c>
      <c r="G205" s="453">
        <v>1384955</v>
      </c>
    </row>
    <row r="206" spans="1:7" ht="20.100000000000001" customHeight="1">
      <c r="A206" s="499" t="s">
        <v>509</v>
      </c>
      <c r="B206" s="184"/>
      <c r="C206" s="184"/>
      <c r="D206" s="184"/>
      <c r="E206" s="184"/>
      <c r="F206" s="189" t="s">
        <v>510</v>
      </c>
      <c r="G206" s="453">
        <v>2469599</v>
      </c>
    </row>
    <row r="207" spans="1:7" ht="20.100000000000001" customHeight="1">
      <c r="A207" s="499" t="s">
        <v>511</v>
      </c>
      <c r="B207" s="184"/>
      <c r="C207" s="184"/>
      <c r="D207" s="184"/>
      <c r="E207" s="184"/>
      <c r="F207" s="189" t="s">
        <v>512</v>
      </c>
      <c r="G207" s="453">
        <v>2842827</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541090</v>
      </c>
    </row>
    <row r="211" spans="1:9" ht="20.100000000000001" customHeight="1">
      <c r="A211" s="499" t="s">
        <v>518</v>
      </c>
      <c r="B211" s="184"/>
      <c r="C211" s="184"/>
      <c r="D211" s="184"/>
      <c r="E211" s="184"/>
      <c r="F211" s="189" t="s">
        <v>519</v>
      </c>
      <c r="G211" s="453">
        <v>758841</v>
      </c>
    </row>
    <row r="212" spans="1:9" ht="20.100000000000001" customHeight="1">
      <c r="A212" s="499" t="s">
        <v>520</v>
      </c>
      <c r="F212" s="207" t="s">
        <v>521</v>
      </c>
      <c r="G212" s="453">
        <v>32962</v>
      </c>
    </row>
    <row r="213" spans="1:9" ht="20.100000000000001" customHeight="1">
      <c r="A213" s="499" t="s">
        <v>522</v>
      </c>
      <c r="B213" s="184"/>
      <c r="C213" s="184"/>
      <c r="D213" s="184"/>
      <c r="E213" s="184"/>
      <c r="F213" s="189" t="s">
        <v>523</v>
      </c>
      <c r="G213" s="453">
        <v>154005</v>
      </c>
    </row>
    <row r="214" spans="1:9" ht="20.100000000000001" customHeight="1">
      <c r="A214" s="499" t="s">
        <v>524</v>
      </c>
      <c r="B214" s="184"/>
      <c r="C214" s="184"/>
      <c r="D214" s="184"/>
      <c r="E214" s="184"/>
      <c r="F214" s="189" t="s">
        <v>525</v>
      </c>
      <c r="G214" s="453">
        <v>319186</v>
      </c>
    </row>
    <row r="215" spans="1:9" ht="20.100000000000001" customHeight="1">
      <c r="A215" s="499" t="s">
        <v>526</v>
      </c>
      <c r="B215" s="184"/>
      <c r="C215" s="184"/>
      <c r="D215" s="184"/>
      <c r="E215" s="184"/>
      <c r="F215" s="189" t="s">
        <v>527</v>
      </c>
      <c r="G215" s="453">
        <v>122100</v>
      </c>
    </row>
    <row r="216" spans="1:9" ht="20.100000000000001" customHeight="1">
      <c r="A216" s="499" t="s">
        <v>528</v>
      </c>
      <c r="B216" s="184"/>
      <c r="C216" s="184"/>
      <c r="D216" s="184"/>
      <c r="E216" s="184"/>
      <c r="F216" s="205" t="s">
        <v>529</v>
      </c>
      <c r="G216" s="453">
        <v>2300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37600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710</v>
      </c>
      <c r="B222" s="184"/>
      <c r="C222" s="184"/>
      <c r="D222" s="213"/>
      <c r="E222" s="184"/>
      <c r="F222" s="1120">
        <v>69100</v>
      </c>
      <c r="G222" s="453">
        <v>0</v>
      </c>
    </row>
    <row r="223" spans="1:9" ht="20.100000000000001" customHeight="1">
      <c r="A223" s="510" t="s">
        <v>711</v>
      </c>
      <c r="B223" s="214"/>
      <c r="C223" s="214"/>
      <c r="D223" s="215"/>
      <c r="E223" s="214"/>
      <c r="F223" s="1119">
        <v>69200</v>
      </c>
      <c r="G223" s="453">
        <f>1250000+1649800</f>
        <v>2899800</v>
      </c>
    </row>
    <row r="224" spans="1:9" ht="20.100000000000001" customHeight="1">
      <c r="A224" s="499" t="s">
        <v>540</v>
      </c>
      <c r="B224" s="184"/>
      <c r="C224" s="184"/>
      <c r="D224" s="184"/>
      <c r="E224" s="184"/>
      <c r="F224" s="189" t="s">
        <v>541</v>
      </c>
      <c r="G224" s="453">
        <v>458484</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1495324</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17318021</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699</v>
      </c>
      <c r="B236" s="184"/>
      <c r="C236" s="184"/>
      <c r="D236" s="184"/>
      <c r="E236" s="184"/>
      <c r="F236" s="1074">
        <v>73001</v>
      </c>
      <c r="G236" s="453">
        <v>0</v>
      </c>
    </row>
    <row r="237" spans="1:7" ht="20.100000000000001" customHeight="1">
      <c r="A237" s="499" t="s">
        <v>700</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694</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750000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750000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59047611</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11863689</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11863689</v>
      </c>
    </row>
    <row r="263" spans="1:12" ht="20.100000000000001" customHeight="1">
      <c r="A263" s="500"/>
      <c r="B263" s="184"/>
      <c r="C263" s="184"/>
      <c r="D263" s="184"/>
      <c r="E263" s="184"/>
      <c r="F263" s="201"/>
      <c r="G263" s="217"/>
    </row>
    <row r="264" spans="1:12" ht="20.100000000000001" customHeight="1" thickBot="1">
      <c r="A264" s="511" t="s">
        <v>701</v>
      </c>
      <c r="F264" s="207">
        <v>30800</v>
      </c>
      <c r="G264" s="454">
        <v>-23111563</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-11247874</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ee822479-6e51-4d14-b6b0-2c589e913e66"/>
    <ds:schemaRef ds:uri="http://schemas.openxmlformats.org/package/2006/metadata/core-properties"/>
    <ds:schemaRef ds:uri="http://purl.org/dc/elements/1.1/"/>
    <ds:schemaRef ds:uri="http://purl.org/dc/dcmitype/"/>
    <ds:schemaRef ds:uri="http://purl.org/dc/term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