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2-2023 Operating Budget\Received from Colleges\St. Pete\"/>
    </mc:Choice>
  </mc:AlternateContent>
  <bookViews>
    <workbookView xWindow="0" yWindow="0" windowWidth="23640" windowHeight="12285" tabRatio="769" firstSheet="1" activeTab="3"/>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D80" i="15" l="1"/>
  <c r="D54" i="15"/>
  <c r="D48" i="15"/>
  <c r="D25" i="15"/>
  <c r="G272" i="7"/>
  <c r="G223" i="7"/>
  <c r="G216" i="7"/>
  <c r="G126" i="7"/>
  <c r="G123" i="7"/>
  <c r="G111" i="7"/>
  <c r="G103" i="7"/>
  <c r="G100" i="7"/>
  <c r="G68" i="7"/>
  <c r="G59" i="7"/>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H32" i="6" s="1"/>
  <c r="G32" i="6"/>
  <c r="F33" i="6"/>
  <c r="G33" i="6"/>
  <c r="F34" i="6"/>
  <c r="G34" i="6"/>
  <c r="H34" i="6"/>
  <c r="G32" i="7"/>
  <c r="F35" i="6"/>
  <c r="G35" i="6"/>
  <c r="E19" i="6"/>
  <c r="F19" i="6" s="1"/>
  <c r="G21" i="7" s="1"/>
  <c r="E20" i="6"/>
  <c r="F20" i="6" s="1"/>
  <c r="G22" i="7" s="1"/>
  <c r="E21" i="6"/>
  <c r="F21" i="6" s="1"/>
  <c r="G23" i="7" s="1"/>
  <c r="E22" i="6"/>
  <c r="F22" i="6"/>
  <c r="G24" i="7" s="1"/>
  <c r="E23" i="6"/>
  <c r="F23" i="6" s="1"/>
  <c r="G25" i="7" s="1"/>
  <c r="E24" i="6"/>
  <c r="F24" i="6" s="1"/>
  <c r="G26" i="7" s="1"/>
  <c r="B34" i="5"/>
  <c r="E39" i="6"/>
  <c r="F39" i="6" s="1"/>
  <c r="B35" i="5"/>
  <c r="H35" i="5" s="1"/>
  <c r="I35" i="5" s="1"/>
  <c r="E40" i="6"/>
  <c r="F40" i="6" s="1"/>
  <c r="G38" i="7" s="1"/>
  <c r="B37" i="5"/>
  <c r="E41" i="6"/>
  <c r="F41" i="6"/>
  <c r="G39" i="7"/>
  <c r="B38" i="5"/>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c r="D62" i="22"/>
  <c r="B52" i="22"/>
  <c r="E33" i="22"/>
  <c r="E34" i="22" s="1"/>
  <c r="D33" i="22"/>
  <c r="D34" i="22"/>
  <c r="D26" i="22"/>
  <c r="D38" i="22"/>
  <c r="C38" i="22"/>
  <c r="E15" i="22"/>
  <c r="D15" i="22"/>
  <c r="B46" i="22"/>
  <c r="E26" i="22"/>
  <c r="E59" i="22"/>
  <c r="E62" i="22" s="1"/>
  <c r="E38" i="22"/>
  <c r="B29" i="5"/>
  <c r="G14" i="5"/>
  <c r="H14" i="5" s="1"/>
  <c r="G258" i="7"/>
  <c r="E15" i="8"/>
  <c r="E36" i="6"/>
  <c r="D36" i="6"/>
  <c r="F36" i="6" s="1"/>
  <c r="D43" i="6"/>
  <c r="D26" i="6"/>
  <c r="E17" i="6"/>
  <c r="G20" i="5"/>
  <c r="H20" i="5"/>
  <c r="G19" i="5"/>
  <c r="H19" i="5" s="1"/>
  <c r="G22" i="5"/>
  <c r="H22" i="5" s="1"/>
  <c r="G23" i="5"/>
  <c r="H23" i="5"/>
  <c r="E20" i="12"/>
  <c r="E30" i="12" s="1"/>
  <c r="E29" i="12"/>
  <c r="G196" i="7"/>
  <c r="D21" i="8"/>
  <c r="E68" i="3"/>
  <c r="C94" i="12"/>
  <c r="B31" i="5"/>
  <c r="H31" i="5"/>
  <c r="I31" i="5" s="1"/>
  <c r="B30" i="5"/>
  <c r="H30" i="5" s="1"/>
  <c r="I30" i="5" s="1"/>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G274" i="7"/>
  <c r="G278" i="7" s="1"/>
  <c r="C120" i="3" s="1"/>
  <c r="E67" i="22"/>
  <c r="D61" i="22"/>
  <c r="E14" i="8"/>
  <c r="G240" i="7"/>
  <c r="X147" i="23"/>
  <c r="D66" i="22"/>
  <c r="D68" i="22"/>
  <c r="H35" i="6"/>
  <c r="G33" i="7"/>
  <c r="H33" i="6"/>
  <c r="H34" i="5"/>
  <c r="I34" i="5"/>
  <c r="H38" i="5"/>
  <c r="I38" i="5"/>
  <c r="H37" i="5"/>
  <c r="I37" i="5"/>
  <c r="G31" i="7"/>
  <c r="D17" i="6"/>
  <c r="F12" i="6"/>
  <c r="H12" i="6"/>
  <c r="G14" i="7" s="1"/>
  <c r="F11" i="6"/>
  <c r="F14" i="6"/>
  <c r="H14" i="6" s="1"/>
  <c r="G16" i="7" s="1"/>
  <c r="F15" i="6"/>
  <c r="E49" i="3"/>
  <c r="F10" i="6"/>
  <c r="E44" i="3"/>
  <c r="E47" i="3"/>
  <c r="E46" i="3"/>
  <c r="E45" i="3"/>
  <c r="H15" i="6"/>
  <c r="G17" i="7" s="1"/>
  <c r="C113" i="3" l="1"/>
  <c r="C111" i="3"/>
  <c r="C93" i="3"/>
  <c r="H11" i="6"/>
  <c r="G13" i="7" s="1"/>
  <c r="H10" i="6"/>
  <c r="H17" i="6" s="1"/>
  <c r="F43" i="6"/>
  <c r="G37" i="7"/>
  <c r="G30" i="7"/>
  <c r="H36" i="6"/>
  <c r="E68" i="22"/>
  <c r="E69" i="22"/>
  <c r="E70" i="22"/>
  <c r="D70" i="22"/>
  <c r="H29" i="5"/>
  <c r="I29" i="5" s="1"/>
  <c r="E60" i="22"/>
  <c r="C95" i="3"/>
  <c r="E74" i="3"/>
  <c r="E61" i="22"/>
  <c r="G75" i="7"/>
  <c r="G85" i="7" s="1"/>
  <c r="D106" i="3"/>
  <c r="E48" i="3"/>
  <c r="F17" i="6"/>
  <c r="E50" i="3" s="1"/>
  <c r="B70" i="6"/>
  <c r="E21" i="8"/>
  <c r="F121" i="15"/>
  <c r="G260" i="7"/>
  <c r="E25" i="4" s="1"/>
  <c r="E28" i="4" s="1"/>
  <c r="G35" i="7"/>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G12" i="7" l="1"/>
  <c r="G19" i="7" s="1"/>
  <c r="D128" i="15"/>
  <c r="H27" i="6"/>
  <c r="E102" i="3"/>
  <c r="E106" i="3" s="1"/>
  <c r="H44" i="6"/>
  <c r="F123" i="15"/>
  <c r="C114" i="3"/>
  <c r="G44" i="7"/>
  <c r="G63" i="7" s="1"/>
  <c r="G144" i="7" s="1"/>
  <c r="E18" i="4" s="1"/>
  <c r="E21" i="4" s="1"/>
  <c r="E23" i="4" s="1"/>
  <c r="E44" i="4" s="1"/>
  <c r="C17" i="3" s="1"/>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144" i="3" l="1"/>
  <c r="F128" i="15"/>
  <c r="F139" i="15" s="1"/>
  <c r="C137" i="3"/>
  <c r="D139" i="15"/>
  <c r="D141" i="15" s="1"/>
  <c r="H46" i="6"/>
  <c r="C34" i="3" s="1"/>
  <c r="D32" i="4"/>
  <c r="E35" i="4" s="1"/>
  <c r="E38" i="4" s="1"/>
  <c r="C153" i="3" l="1"/>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A119 to S147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<sst xmlns="http://schemas.openxmlformats.org/spreadsheetml/2006/main" count="1348" uniqueCount="818">
  <si>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</si>
  <si>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</si>
  <si>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</si>
  <si>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</si>
  <si>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</si>
  <si>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</si>
  <si>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</si>
  <si>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</si>
  <si>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</si>
  <si>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</si>
  <si>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</si>
  <si>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</si>
  <si>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</si>
  <si>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</si>
  <si>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</si>
  <si>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</si>
  <si>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</si>
  <si>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</si>
  <si>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</si>
  <si>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</si>
  <si>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</si>
  <si>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</si>
  <si>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</si>
  <si>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</si>
  <si>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</si>
  <si>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</si>
  <si>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</si>
  <si>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</si>
  <si>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</si>
  <si>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</si>
  <si>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</si>
  <si>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</si>
  <si>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</si>
  <si>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</si>
  <si>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</si>
  <si>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</si>
  <si>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</si>
  <si>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</si>
  <si>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</si>
  <si>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</si>
  <si>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</si>
  <si>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</si>
  <si>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</si>
  <si>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</si>
  <si>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</si>
  <si>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</si>
  <si>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</si>
  <si>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</si>
  <si>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</si>
  <si>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</si>
  <si>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</si>
  <si>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</si>
  <si>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</si>
  <si>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</si>
  <si>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</si>
  <si>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</si>
  <si>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</si>
  <si>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</si>
  <si>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</si>
  <si>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</si>
  <si>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</si>
  <si>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</si>
  <si>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</si>
  <si>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</si>
  <si>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</si>
  <si>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</si>
  <si>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</si>
  <si>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</si>
  <si>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</si>
  <si>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</si>
  <si>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</si>
  <si>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</si>
  <si>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</si>
  <si>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</si>
  <si>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</si>
  <si>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</si>
  <si>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</si>
  <si>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</si>
  <si>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</si>
  <si>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</si>
  <si>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</si>
  <si>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</si>
  <si>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</si>
  <si>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</si>
  <si>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</si>
  <si>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</si>
  <si>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</si>
  <si>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</si>
  <si>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</si>
  <si>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</si>
  <si>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</si>
  <si>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</si>
  <si>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</si>
  <si>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</si>
  <si>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</si>
  <si>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</si>
  <si>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</si>
  <si>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</si>
  <si>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</si>
  <si>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</si>
  <si>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</si>
  <si>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</si>
  <si>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</si>
  <si>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</si>
  <si>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</si>
  <si>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</si>
  <si>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</si>
  <si>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</si>
  <si>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</si>
  <si>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</si>
  <si>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</si>
  <si>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</si>
  <si>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</si>
  <si>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</si>
  <si>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</si>
  <si>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</si>
  <si>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</si>
  <si>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</si>
  <si>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</si>
  <si>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</si>
  <si>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</si>
  <si>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</si>
  <si>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</si>
  <si>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</si>
  <si>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</si>
  <si>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</si>
  <si>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</si>
  <si>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</si>
  <si>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</si>
  <si>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</si>
  <si>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</si>
  <si>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</si>
  <si>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</si>
  <si>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</si>
  <si>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</si>
  <si>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</si>
  <si>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</si>
  <si>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</si>
  <si>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</si>
  <si>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</si>
  <si>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</si>
  <si>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</si>
  <si>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</si>
  <si>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</si>
  <si>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</si>
  <si>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</si>
  <si>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</si>
  <si>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</si>
  <si>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</si>
  <si>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</si>
  <si>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</si>
  <si>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</si>
  <si>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</si>
  <si>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</si>
  <si>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</si>
  <si>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</si>
  <si>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</si>
  <si>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</si>
  <si>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</si>
  <si>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</si>
  <si>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</si>
  <si>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</si>
  <si>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</si>
  <si>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</si>
  <si>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</si>
  <si>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</si>
  <si>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</si>
  <si>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</si>
  <si>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</si>
  <si>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</si>
  <si>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</si>
  <si>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</si>
  <si>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</si>
  <si>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</si>
  <si>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</si>
  <si>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</si>
  <si>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</si>
  <si>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</si>
  <si>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</si>
  <si>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</si>
  <si>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</si>
  <si>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</si>
  <si>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</si>
  <si>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</si>
  <si>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</si>
  <si>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</si>
  <si>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</si>
  <si>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</si>
  <si>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</si>
  <si>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</si>
  <si>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</si>
  <si>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</si>
  <si>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</si>
  <si>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</si>
  <si>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</si>
  <si>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</si>
  <si>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</si>
  <si>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</si>
  <si>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</si>
  <si>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</si>
  <si>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</si>
  <si>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</si>
  <si>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</si>
  <si>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</si>
  <si>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</si>
  <si>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</si>
  <si>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</si>
  <si>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</si>
  <si>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</si>
  <si>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</si>
  <si>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</si>
  <si>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</si>
  <si>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</si>
  <si>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</si>
  <si>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</si>
  <si>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</si>
  <si>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</si>
  <si>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</si>
  <si>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</si>
  <si>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</si>
  <si>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</si>
  <si>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</si>
  <si>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</si>
  <si>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</si>
  <si>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</si>
  <si>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</si>
  <si>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</si>
  <si>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</si>
  <si>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</si>
  <si>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</si>
  <si>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</si>
  <si>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</si>
  <si>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</si>
  <si>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</si>
  <si>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</si>
  <si>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</si>
  <si>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</si>
  <si>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</si>
  <si>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</si>
  <si>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</si>
  <si>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</si>
  <si>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</si>
  <si>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</si>
  <si>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</si>
  <si>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</si>
  <si>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</si>
  <si>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</si>
  <si>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</si>
  <si>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</si>
  <si>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</si>
  <si>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</si>
  <si>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</si>
  <si>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</si>
  <si>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</si>
  <si>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</si>
  <si>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</si>
  <si>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</si>
  <si>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</si>
  <si>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</si>
  <si>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</si>
  <si>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</si>
  <si>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</si>
  <si>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</si>
  <si>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</si>
  <si>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</si>
  <si>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</si>
  <si>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</si>
  <si>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</si>
  <si>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</si>
  <si>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</si>
  <si>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</si>
  <si>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</si>
  <si>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</si>
  <si>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</si>
  <si>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</si>
  <si>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</si>
  <si>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</si>
  <si>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</si>
  <si>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</si>
  <si>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</si>
  <si>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</si>
  <si>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</si>
  <si>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</si>
  <si>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</si>
  <si>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</si>
  <si>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</si>
  <si>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</si>
  <si>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</si>
  <si>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</si>
  <si>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</si>
  <si>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</si>
  <si>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</si>
  <si>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</si>
  <si>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</si>
  <si>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</si>
  <si>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</si>
  <si>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</si>
  <si>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</si>
  <si>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</si>
  <si>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</si>
  <si>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</si>
  <si>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</si>
  <si>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</si>
  <si>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</si>
  <si>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</si>
  <si>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</si>
  <si>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</si>
  <si>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</si>
  <si>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</si>
  <si>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</si>
  <si>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</si>
  <si>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</si>
  <si>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</si>
  <si>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</si>
  <si>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</si>
  <si>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</si>
  <si>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</si>
  <si>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</si>
  <si>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</si>
  <si>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</si>
  <si>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</si>
  <si>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</si>
  <si>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</si>
  <si>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</si>
  <si>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</si>
  <si>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</si>
  <si>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</si>
  <si>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</si>
  <si>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</si>
  <si>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</si>
  <si>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</si>
  <si>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</si>
  <si>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</si>
  <si>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</si>
  <si>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</si>
  <si>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</si>
  <si>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</si>
  <si>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</si>
  <si>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</si>
  <si>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</si>
  <si>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</si>
  <si>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</si>
  <si>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</si>
  <si>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</si>
  <si>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</si>
  <si>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</si>
  <si>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</si>
  <si>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</si>
  <si>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</si>
  <si>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</si>
  <si>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</si>
  <si>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</si>
  <si>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</si>
  <si>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</si>
  <si>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</si>
  <si>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</si>
  <si>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</si>
  <si>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</si>
  <si>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</si>
  <si>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</si>
  <si>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</si>
  <si>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</si>
  <si>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</si>
  <si>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</si>
  <si>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</si>
  <si>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</si>
  <si>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</si>
  <si>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</si>
  <si>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</si>
  <si>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</si>
  <si>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</si>
  <si>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</si>
  <si>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</si>
  <si>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</si>
  <si>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</si>
  <si>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</si>
  <si>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</si>
  <si>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</si>
  <si>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</si>
  <si>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</si>
  <si>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</si>
  <si>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</si>
  <si>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</si>
  <si>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</si>
  <si>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</si>
  <si>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</si>
  <si>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</si>
  <si>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</si>
  <si>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</si>
  <si>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</si>
  <si>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</si>
  <si>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</si>
  <si>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</si>
  <si>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</si>
  <si>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</si>
  <si>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</si>
  <si>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</si>
  <si>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</si>
  <si>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</si>
  <si>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</si>
  <si>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</si>
  <si>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</si>
  <si>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</si>
  <si>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</si>
  <si>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</si>
  <si>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</si>
  <si>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</si>
  <si>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</si>
  <si>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</si>
  <si>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</si>
  <si>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</si>
  <si>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</si>
  <si>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</si>
  <si>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</si>
  <si>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</si>
  <si>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</si>
  <si>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</si>
  <si>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</si>
  <si>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</si>
  <si>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</si>
  <si>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</si>
  <si>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</si>
  <si>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</si>
  <si>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</si>
  <si>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</si>
  <si>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</si>
  <si>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</si>
  <si>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</si>
  <si>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</si>
  <si>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</si>
  <si>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</si>
  <si>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</si>
  <si>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</si>
  <si>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</si>
  <si>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</si>
  <si>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</si>
  <si>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</si>
  <si>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</si>
  <si>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</si>
  <si>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</si>
  <si>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</si>
  <si>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</si>
  <si>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</si>
  <si>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</si>
  <si>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</si>
  <si>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</si>
  <si>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</si>
  <si>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</si>
  <si>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</si>
  <si>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</si>
  <si>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</si>
  <si>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</si>
  <si>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</si>
  <si>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</si>
  <si>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</si>
  <si>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</si>
  <si>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</si>
  <si>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</si>
  <si>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</si>
  <si>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</si>
  <si>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</si>
  <si>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</si>
  <si>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</si>
  <si>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</si>
  <si>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</si>
  <si>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</si>
  <si>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</si>
  <si>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</si>
  <si>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</si>
  <si>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</si>
  <si>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</si>
  <si>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</si>
  <si>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</si>
  <si>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</si>
  <si>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</si>
  <si>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</si>
  <si>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</si>
  <si>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</si>
  <si>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</si>
  <si>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</si>
  <si>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</si>
  <si>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</si>
  <si>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</si>
  <si>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</si>
  <si>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</si>
  <si>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</si>
  <si>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</si>
  <si>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</si>
  <si>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</si>
  <si>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</si>
  <si>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</si>
  <si>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</si>
  <si>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</si>
  <si>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</si>
  <si>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</si>
  <si>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</si>
  <si>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</si>
  <si>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</si>
  <si>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</si>
  <si>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</si>
  <si>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</si>
  <si>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</si>
  <si>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</si>
  <si>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</si>
  <si>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</si>
  <si>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</si>
  <si>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</si>
  <si>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</si>
  <si>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</si>
  <si>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</si>
  <si>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</si>
  <si>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</si>
  <si>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</si>
  <si>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</si>
  <si>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</si>
  <si>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</si>
  <si>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</si>
  <si>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</si>
  <si>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</si>
  <si>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</si>
  <si>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</si>
  <si>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</si>
  <si>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</si>
  <si>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</si>
  <si>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</si>
  <si>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</si>
  <si>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</si>
  <si>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</si>
  <si>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</si>
  <si>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</si>
  <si>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</si>
  <si>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</si>
  <si>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</si>
  <si>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</si>
  <si>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</si>
  <si>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</si>
  <si>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</si>
  <si>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</si>
  <si>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</si>
  <si>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</si>
  <si>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</si>
  <si>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</si>
  <si>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</si>
  <si>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</si>
  <si>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</si>
  <si>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</si>
  <si>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</si>
  <si>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</si>
  <si>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</si>
  <si>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</si>
  <si>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</si>
  <si>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</si>
  <si>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</si>
  <si>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</si>
  <si>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</si>
  <si>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</si>
  <si>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</si>
  <si>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</si>
  <si>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</si>
  <si>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</si>
  <si>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</si>
  <si>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</si>
  <si>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</si>
  <si>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</si>
  <si>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</si>
  <si>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</si>
  <si>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</si>
  <si>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</si>
  <si>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</si>
  <si>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</si>
  <si>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</si>
  <si>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</si>
  <si>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</si>
  <si>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</si>
  <si>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</si>
  <si>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</si>
  <si>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</si>
  <si>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</si>
  <si>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</si>
  <si>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</si>
  <si>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</si>
  <si>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</si>
  <si>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</si>
  <si>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</si>
  <si>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</si>
  <si>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</si>
  <si>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</si>
  <si>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</si>
  <si>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</si>
  <si>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</si>
  <si>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</si>
  <si>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</si>
  <si>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</si>
  <si>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</si>
  <si>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</si>
  <si>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</si>
  <si>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</si>
  <si>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</si>
  <si>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</si>
  <si>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</si>
  <si>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</si>
  <si>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</si>
  <si>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</si>
  <si>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</si>
  <si>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</si>
  <si>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</si>
  <si>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</si>
  <si>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</si>
  <si>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</si>
  <si>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</si>
  <si>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</si>
  <si>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</si>
  <si>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</si>
  <si>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</si>
  <si>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</si>
  <si>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</si>
  <si>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</si>
  <si>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</si>
  <si>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</si>
  <si>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</si>
  <si>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</si>
  <si>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</si>
  <si>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</si>
  <si>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</si>
  <si>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</si>
  <si>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</si>
  <si>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</si>
  <si>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</si>
  <si>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</si>
  <si>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</si>
  <si>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</si>
  <si>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</si>
  <si>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</si>
  <si>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</si>
  <si>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</si>
  <si>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</si>
  <si>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</si>
  <si>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</si>
  <si>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</si>
  <si>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</si>
  <si>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</si>
  <si>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</si>
  <si>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</si>
  <si>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</si>
  <si>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</si>
  <si>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</si>
  <si>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</si>
  <si>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</si>
  <si>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</si>
  <si>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</si>
  <si>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</si>
  <si>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</si>
  <si>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</si>
  <si>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</si>
  <si>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</si>
  <si>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</si>
  <si>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</si>
  <si>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</si>
  <si>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</si>
  <si>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</si>
  <si>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</si>
  <si>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</si>
  <si>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</si>
  <si>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</si>
  <si>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</si>
  <si>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</si>
  <si>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</si>
  <si>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</si>
  <si>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</si>
  <si>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</si>
  <si>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</si>
  <si>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</si>
  <si>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</si>
  <si>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</si>
  <si>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</si>
  <si>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</si>
  <si>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</si>
  <si>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</si>
  <si>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</si>
  <si>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</si>
  <si>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</si>
  <si>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</si>
  <si>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</si>
  <si>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</si>
  <si>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</si>
  <si>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</si>
  <si>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</si>
  <si>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</si>
  <si>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</si>
  <si>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</si>
  <si>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</si>
  <si>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</si>
  <si>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</si>
  <si>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</si>
  <si>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</si>
  <si>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</si>
  <si>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</si>
  <si>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</si>
  <si>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</si>
  <si>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</si>
  <si>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</si>
  <si>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</si>
  <si>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</si>
  <si>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</si>
  <si>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</si>
  <si>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</si>
  <si>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</si>
  <si>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</si>
  <si>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</si>
  <si>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</si>
  <si>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</si>
  <si>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</si>
  <si>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</si>
  <si>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</si>
  <si>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</si>
  <si>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</si>
  <si>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</si>
  <si>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</si>
  <si>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</si>
  <si>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</si>
  <si>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</si>
  <si>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</si>
  <si>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</si>
  <si>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</si>
  <si>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</si>
  <si>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</si>
  <si>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</si>
  <si>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</si>
  <si>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</si>
  <si>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</si>
  <si>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</si>
  <si>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</si>
  <si>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</si>
  <si>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</si>
  <si>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</si>
  <si>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</si>
  <si>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</si>
  <si>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</si>
  <si>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</si>
  <si>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</si>
  <si>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</si>
  <si>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</si>
  <si>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</si>
  <si>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</si>
  <si>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</si>
  <si>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</si>
  <si>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</si>
  <si>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</si>
  <si>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</si>
  <si>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</si>
  <si>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</si>
  <si>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</si>
  <si>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</si>
  <si>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</si>
  <si>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</si>
  <si>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</si>
  <si>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</si>
  <si>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</si>
  <si>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</si>
  <si>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</si>
  <si>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</si>
  <si>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</si>
  <si>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</si>
  <si>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</si>
  <si>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</si>
  <si>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</si>
  <si>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</si>
  <si>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</si>
  <si>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</si>
  <si>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</si>
  <si>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</si>
  <si>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</si>
  <si>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</si>
  <si>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</si>
  <si>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</si>
  <si>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</si>
  <si>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</si>
  <si>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</si>
  <si>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</si>
  <si>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</si>
  <si>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</si>
  <si>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</si>
  <si>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</si>
  <si>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</si>
  <si>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</si>
  <si>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</si>
  <si>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</si>
  <si>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</si>
  <si>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</si>
  <si>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</si>
  <si>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</si>
  <si>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</si>
  <si>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</si>
  <si>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</si>
  <si>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</si>
  <si>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</si>
  <si>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</si>
  <si>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</si>
  <si>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</si>
  <si>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</si>
  <si>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</si>
  <si>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</si>
  <si>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</si>
  <si>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</si>
  <si>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</si>
  <si>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</si>
  <si>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</si>
  <si>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Facilties </t>
  </si>
  <si>
    <t>Fund 1</t>
  </si>
  <si>
    <t>Fund 7</t>
  </si>
  <si>
    <t xml:space="preserve">Tarpon Springs Incubator </t>
  </si>
  <si>
    <t>GASB lease requierements</t>
  </si>
  <si>
    <t xml:space="preserve">Fund 8 </t>
  </si>
  <si>
    <t xml:space="preserve">   Student direct costs, instruction &amp; instiutional support</t>
  </si>
  <si>
    <t>Fund 3</t>
  </si>
  <si>
    <t xml:space="preserve">Transfer in (1013.841, F.S) and Reserve </t>
  </si>
  <si>
    <t>Fund1</t>
  </si>
  <si>
    <t>St. Petersburg College uses a conservative approach when assessing expenditures to the projected tuition revenue, but the strategic plan and FTE goal focus on enrollment growth. St. Petersburg College continuously monitors its FTE and accepts the overall -9.0% decline estimated for 2021-22. Enrollment trends for Fall and Spring, however, shows a positive direction (attachment 2).  Total FTE comparison for year over year terms show that enrollment decreases have begun to abate (0.1% in fall and 1.8% in spring).  In addition, the College’s student body has seen an annual increase of 4.5% year over year of students attending full-time and a 1.7% year over year increase of continuing students. Both of these trends point to increased retention and improvements in the amount of courses those students who remain at the college take. These ongoing shifts, combined with new program FTE discussed below and ongoing recruitment measures discussed previously, leads the College to believe that next year’s FTE enrollment losses will only be -2.0% before hitting our new baseline in 2024-25 and beginning to increase 0.5% in subsequent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</si>
</sst>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indexed="8"/>
      </left>
      <right style="medium">
        <color indexed="8"/>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9">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9" xfId="0" applyNumberFormat="1" applyFont="1" applyFill="1" applyBorder="1"/>
    <xf numFmtId="166" fontId="72" fillId="36" borderId="202" xfId="0" applyNumberFormat="1" applyFont="1" applyFill="1" applyBorder="1"/>
    <xf numFmtId="166" fontId="72" fillId="32" borderId="209" xfId="0" applyNumberFormat="1" applyFont="1" applyFill="1" applyBorder="1"/>
    <xf numFmtId="169" fontId="72" fillId="32" borderId="210" xfId="17654" applyNumberFormat="1" applyFont="1" applyFill="1" applyBorder="1"/>
    <xf numFmtId="171" fontId="72" fillId="32" borderId="209" xfId="17654" applyNumberFormat="1" applyFont="1" applyFill="1" applyBorder="1"/>
    <xf numFmtId="171" fontId="72" fillId="32" borderId="209" xfId="182" applyNumberFormat="1" applyFont="1" applyFill="1" applyBorder="1"/>
    <xf numFmtId="166" fontId="72" fillId="36" borderId="211" xfId="0" applyNumberFormat="1" applyFont="1" applyFill="1" applyBorder="1"/>
    <xf numFmtId="0" fontId="100" fillId="0" borderId="211" xfId="0" applyFont="1" applyBorder="1" applyAlignment="1">
      <alignment horizontal="center"/>
    </xf>
    <xf numFmtId="37" fontId="100" fillId="75" borderId="207"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8" xfId="0" applyNumberFormat="1" applyFont="1" applyFill="1" applyBorder="1" applyProtection="1"/>
    <xf numFmtId="0" fontId="72" fillId="32" borderId="222" xfId="495" applyFont="1" applyFill="1" applyBorder="1" applyAlignment="1">
      <alignment horizontal="center" wrapText="1"/>
    </xf>
    <xf numFmtId="3" fontId="72" fillId="32" borderId="223" xfId="181" applyNumberFormat="1" applyFont="1" applyFill="1" applyBorder="1"/>
    <xf numFmtId="3" fontId="72" fillId="36" borderId="223" xfId="0" applyNumberFormat="1" applyFont="1" applyFill="1" applyBorder="1" applyAlignment="1" applyProtection="1">
      <alignment horizontal="right"/>
    </xf>
    <xf numFmtId="0" fontId="72" fillId="32" borderId="223" xfId="495" applyFont="1" applyFill="1" applyBorder="1" applyAlignment="1">
      <alignment horizontal="center" wrapText="1"/>
    </xf>
    <xf numFmtId="168" fontId="72" fillId="32" borderId="222" xfId="0" applyNumberFormat="1" applyFont="1" applyFill="1" applyBorder="1" applyAlignment="1"/>
    <xf numFmtId="0" fontId="72" fillId="0" borderId="226" xfId="0" applyFont="1" applyFill="1" applyBorder="1"/>
    <xf numFmtId="0" fontId="72" fillId="0" borderId="227" xfId="0" applyFont="1" applyFill="1" applyBorder="1"/>
    <xf numFmtId="0" fontId="72" fillId="78" borderId="227" xfId="0" applyFont="1" applyFill="1" applyBorder="1"/>
    <xf numFmtId="3" fontId="74" fillId="0" borderId="225" xfId="0" applyNumberFormat="1" applyFont="1" applyFill="1" applyBorder="1" applyAlignment="1">
      <alignment horizontal="center"/>
    </xf>
    <xf numFmtId="166" fontId="72" fillId="36" borderId="228" xfId="0" applyNumberFormat="1" applyFont="1" applyFill="1" applyBorder="1"/>
    <xf numFmtId="166" fontId="72" fillId="36" borderId="222" xfId="0" applyNumberFormat="1" applyFont="1" applyFill="1" applyBorder="1"/>
    <xf numFmtId="0" fontId="72" fillId="0" borderId="222" xfId="0" applyFont="1" applyFill="1" applyBorder="1"/>
    <xf numFmtId="171" fontId="72" fillId="32" borderId="206" xfId="182" applyNumberFormat="1" applyFont="1" applyFill="1" applyBorder="1"/>
    <xf numFmtId="166" fontId="72" fillId="36" borderId="223" xfId="0" applyNumberFormat="1" applyFont="1" applyFill="1" applyBorder="1"/>
    <xf numFmtId="169" fontId="78" fillId="32" borderId="223" xfId="17654" applyNumberFormat="1" applyFont="1" applyFill="1" applyBorder="1" applyAlignment="1"/>
    <xf numFmtId="166" fontId="72" fillId="32" borderId="223" xfId="182" applyNumberFormat="1" applyFont="1" applyFill="1" applyBorder="1"/>
    <xf numFmtId="166" fontId="78" fillId="32" borderId="223" xfId="17654" applyNumberFormat="1" applyFont="1" applyFill="1" applyBorder="1" applyAlignment="1"/>
    <xf numFmtId="0" fontId="72" fillId="0" borderId="223" xfId="0" applyFont="1" applyFill="1" applyBorder="1"/>
    <xf numFmtId="0" fontId="72" fillId="0" borderId="225" xfId="0" applyFont="1" applyFill="1" applyBorder="1"/>
    <xf numFmtId="169" fontId="72" fillId="32" borderId="229" xfId="17654" applyNumberFormat="1" applyFont="1" applyFill="1" applyBorder="1"/>
    <xf numFmtId="171" fontId="72" fillId="32" borderId="230" xfId="17654" applyNumberFormat="1" applyFont="1" applyFill="1" applyBorder="1"/>
    <xf numFmtId="166" fontId="72" fillId="36" borderId="231" xfId="0" applyNumberFormat="1" applyFont="1" applyFill="1" applyBorder="1"/>
    <xf numFmtId="171" fontId="72" fillId="32" borderId="232" xfId="182" applyNumberFormat="1" applyFont="1" applyFill="1" applyBorder="1"/>
    <xf numFmtId="171" fontId="72" fillId="32" borderId="233" xfId="182" applyNumberFormat="1" applyFont="1" applyFill="1" applyBorder="1"/>
    <xf numFmtId="166" fontId="72" fillId="36" borderId="225" xfId="0" applyNumberFormat="1" applyFont="1" applyFill="1" applyBorder="1"/>
    <xf numFmtId="171" fontId="72" fillId="32" borderId="230" xfId="182" applyNumberFormat="1" applyFont="1" applyFill="1" applyBorder="1"/>
    <xf numFmtId="166" fontId="72" fillId="36" borderId="234" xfId="0" applyNumberFormat="1" applyFont="1" applyFill="1" applyBorder="1"/>
    <xf numFmtId="166" fontId="72" fillId="32" borderId="225" xfId="182" applyNumberFormat="1" applyFont="1" applyFill="1" applyBorder="1"/>
    <xf numFmtId="0" fontId="76" fillId="0" borderId="235" xfId="0" quotePrefix="1" applyFont="1" applyBorder="1" applyAlignment="1" applyProtection="1">
      <alignment horizontal="left"/>
    </xf>
    <xf numFmtId="3" fontId="78" fillId="0" borderId="236" xfId="181" quotePrefix="1" applyNumberFormat="1" applyFont="1" applyFill="1" applyBorder="1" applyAlignment="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applyProtection="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3" fontId="78" fillId="0" borderId="247" xfId="181" applyNumberFormat="1" applyFont="1" applyBorder="1" applyAlignment="1" applyProtection="1"/>
    <xf numFmtId="10" fontId="78" fillId="0" borderId="241"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3" fontId="78" fillId="0" borderId="249" xfId="181" applyNumberFormat="1" applyFont="1" applyBorder="1" applyProtection="1"/>
    <xf numFmtId="3" fontId="78" fillId="0" borderId="250" xfId="181" applyNumberFormat="1" applyFont="1" applyBorder="1" applyAlignment="1" applyProtection="1"/>
    <xf numFmtId="3" fontId="78" fillId="0" borderId="250"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0" fontId="76" fillId="0" borderId="235" xfId="0" applyFont="1" applyFill="1" applyBorder="1" applyProtection="1"/>
    <xf numFmtId="0" fontId="76" fillId="0" borderId="252" xfId="0" applyFont="1" applyFill="1" applyBorder="1" applyProtection="1"/>
    <xf numFmtId="37" fontId="78" fillId="0" borderId="253" xfId="0" applyNumberFormat="1" applyFont="1" applyBorder="1" applyAlignment="1" applyProtection="1">
      <alignment horizontal="left"/>
    </xf>
    <xf numFmtId="3" fontId="78" fillId="0" borderId="254" xfId="181" applyNumberFormat="1" applyFont="1" applyBorder="1" applyAlignment="1" applyProtection="1">
      <alignment horizontal="right"/>
    </xf>
    <xf numFmtId="37" fontId="120" fillId="0" borderId="253" xfId="0" applyNumberFormat="1" applyFont="1" applyBorder="1" applyAlignment="1" applyProtection="1">
      <alignment horizontal="right"/>
    </xf>
    <xf numFmtId="37" fontId="78" fillId="0" borderId="253" xfId="0" applyNumberFormat="1" applyFont="1" applyBorder="1" applyProtection="1"/>
    <xf numFmtId="0" fontId="71" fillId="0" borderId="235" xfId="0" applyNumberFormat="1" applyFont="1" applyBorder="1" applyProtection="1"/>
    <xf numFmtId="0" fontId="71" fillId="0" borderId="235" xfId="0" applyFont="1" applyBorder="1" applyProtection="1"/>
    <xf numFmtId="0" fontId="74" fillId="0" borderId="235" xfId="0" applyFont="1" applyBorder="1" applyProtection="1"/>
    <xf numFmtId="37" fontId="78" fillId="0" borderId="235" xfId="0" quotePrefix="1" applyNumberFormat="1" applyFont="1" applyFill="1" applyBorder="1" applyProtection="1"/>
    <xf numFmtId="37" fontId="74" fillId="0" borderId="235" xfId="0" applyNumberFormat="1" applyFont="1" applyFill="1" applyBorder="1" applyProtection="1"/>
    <xf numFmtId="37" fontId="72" fillId="0" borderId="255" xfId="0" applyNumberFormat="1" applyFont="1" applyBorder="1" applyProtection="1"/>
    <xf numFmtId="37" fontId="74" fillId="0" borderId="252" xfId="0" applyNumberFormat="1" applyFont="1" applyBorder="1" applyProtection="1"/>
    <xf numFmtId="37" fontId="74" fillId="0" borderId="235" xfId="0" applyNumberFormat="1" applyFont="1" applyBorder="1" applyProtection="1"/>
    <xf numFmtId="4" fontId="156" fillId="32" borderId="222" xfId="0" applyNumberFormat="1" applyFont="1" applyFill="1" applyBorder="1" applyProtection="1">
      <protection locked="0"/>
    </xf>
    <xf numFmtId="4" fontId="72" fillId="0" borderId="222" xfId="181" applyNumberFormat="1" applyFont="1" applyBorder="1" applyProtection="1"/>
    <xf numFmtId="4" fontId="72" fillId="0" borderId="231" xfId="181"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8" fillId="0" borderId="223" xfId="0" applyNumberFormat="1" applyFont="1" applyBorder="1" applyProtection="1"/>
    <xf numFmtId="4" fontId="149" fillId="0" borderId="223" xfId="0" applyNumberFormat="1" applyFont="1" applyBorder="1" applyProtection="1"/>
    <xf numFmtId="4" fontId="72" fillId="0" borderId="222" xfId="181" applyNumberFormat="1" applyFont="1" applyFill="1" applyBorder="1" applyProtection="1"/>
    <xf numFmtId="4" fontId="149" fillId="0" borderId="225" xfId="0" applyNumberFormat="1" applyFont="1" applyFill="1" applyBorder="1" applyProtection="1"/>
    <xf numFmtId="4" fontId="72" fillId="0" borderId="231" xfId="181" applyNumberFormat="1" applyFont="1" applyFill="1" applyBorder="1" applyProtection="1"/>
    <xf numFmtId="4" fontId="72" fillId="0" borderId="225" xfId="181" applyNumberFormat="1" applyFont="1" applyFill="1" applyBorder="1" applyProtection="1"/>
    <xf numFmtId="3" fontId="156" fillId="32" borderId="256" xfId="0" applyNumberFormat="1" applyFont="1" applyFill="1" applyBorder="1" applyAlignment="1" applyProtection="1">
      <alignment horizontal="right"/>
      <protection locked="0"/>
    </xf>
    <xf numFmtId="0" fontId="72" fillId="0" borderId="256" xfId="0" applyFont="1" applyBorder="1"/>
    <xf numFmtId="0" fontId="72" fillId="0" borderId="256" xfId="0" applyFont="1" applyBorder="1" applyAlignment="1">
      <alignment horizontal="center"/>
    </xf>
    <xf numFmtId="4" fontId="72" fillId="0" borderId="256" xfId="0" applyNumberFormat="1" applyFont="1" applyBorder="1"/>
    <xf numFmtId="3" fontId="72" fillId="0" borderId="256" xfId="0" applyNumberFormat="1" applyFont="1" applyBorder="1"/>
    <xf numFmtId="3" fontId="156" fillId="32" borderId="257"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3" fontId="156" fillId="32" borderId="258" xfId="0" applyNumberFormat="1" applyFont="1" applyFill="1" applyBorder="1" applyAlignment="1" applyProtection="1">
      <alignment horizontal="right"/>
      <protection locked="0"/>
    </xf>
    <xf numFmtId="4" fontId="72" fillId="0" borderId="258" xfId="0" applyNumberFormat="1" applyFont="1" applyBorder="1"/>
    <xf numFmtId="3" fontId="72" fillId="0" borderId="258"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168" fontId="72" fillId="0" borderId="222"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3" fontId="72" fillId="0" borderId="223" xfId="0" applyNumberFormat="1" applyFont="1" applyBorder="1"/>
    <xf numFmtId="0" fontId="74" fillId="0" borderId="225" xfId="0" applyFont="1" applyFill="1" applyBorder="1"/>
    <xf numFmtId="3" fontId="74" fillId="0" borderId="225" xfId="0" applyNumberFormat="1" applyFont="1" applyFill="1" applyBorder="1"/>
    <xf numFmtId="4" fontId="74" fillId="0" borderId="225" xfId="0" applyNumberFormat="1" applyFont="1" applyFill="1" applyBorder="1"/>
    <xf numFmtId="168" fontId="74" fillId="0" borderId="225" xfId="0" applyNumberFormat="1" applyFont="1" applyFill="1" applyBorder="1"/>
    <xf numFmtId="3" fontId="156" fillId="32" borderId="223" xfId="0" applyNumberFormat="1" applyFont="1" applyFill="1" applyBorder="1" applyAlignment="1" applyProtection="1">
      <alignment horizontal="right"/>
      <protection locked="0"/>
    </xf>
    <xf numFmtId="0" fontId="72" fillId="0" borderId="225" xfId="0" applyFont="1" applyBorder="1"/>
    <xf numFmtId="0" fontId="72" fillId="0" borderId="225" xfId="0" applyFont="1" applyBorder="1" applyAlignment="1">
      <alignment horizontal="center"/>
    </xf>
    <xf numFmtId="3" fontId="156" fillId="32" borderId="225" xfId="0" applyNumberFormat="1" applyFont="1" applyFill="1" applyBorder="1" applyAlignment="1" applyProtection="1">
      <alignment horizontal="right"/>
      <protection locked="0"/>
    </xf>
    <xf numFmtId="4" fontId="72" fillId="0" borderId="225" xfId="0" applyNumberFormat="1" applyFont="1" applyBorder="1"/>
    <xf numFmtId="3" fontId="72" fillId="0" borderId="225" xfId="0" applyNumberFormat="1" applyFont="1" applyBorder="1"/>
    <xf numFmtId="0" fontId="156" fillId="32" borderId="222" xfId="0" applyFont="1" applyFill="1" applyBorder="1" applyProtection="1">
      <protection locked="0"/>
    </xf>
    <xf numFmtId="0" fontId="156" fillId="32" borderId="223" xfId="0" applyFont="1" applyFill="1" applyBorder="1" applyProtection="1">
      <protection locked="0"/>
    </xf>
    <xf numFmtId="0" fontId="100" fillId="0" borderId="223" xfId="0" applyFont="1" applyBorder="1"/>
    <xf numFmtId="0" fontId="100" fillId="0" borderId="223" xfId="0" applyFont="1" applyBorder="1" applyAlignment="1">
      <alignment horizontal="center"/>
    </xf>
    <xf numFmtId="0" fontId="108" fillId="0" borderId="225" xfId="0" applyFont="1" applyBorder="1"/>
    <xf numFmtId="0" fontId="108" fillId="0" borderId="225" xfId="0" applyFont="1" applyFill="1" applyBorder="1"/>
    <xf numFmtId="168" fontId="108" fillId="0" borderId="225" xfId="0" applyNumberFormat="1" applyFont="1" applyFill="1" applyBorder="1"/>
    <xf numFmtId="3" fontId="157" fillId="32" borderId="223" xfId="0" applyNumberFormat="1" applyFont="1" applyFill="1" applyBorder="1" applyProtection="1">
      <protection locked="0"/>
    </xf>
    <xf numFmtId="168" fontId="130" fillId="75" borderId="259"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5" fontId="130" fillId="30" borderId="260" xfId="0" quotePrefix="1" applyNumberFormat="1" applyFont="1" applyFill="1" applyBorder="1" applyAlignment="1" applyProtection="1">
      <alignment horizontal="right"/>
    </xf>
    <xf numFmtId="37" fontId="100" fillId="24" borderId="261"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37" fontId="100" fillId="30" borderId="206" xfId="0" applyNumberFormat="1" applyFont="1" applyFill="1" applyBorder="1" applyAlignment="1" applyProtection="1">
      <alignment horizontal="right"/>
    </xf>
    <xf numFmtId="37" fontId="100" fillId="0" borderId="262" xfId="0" applyNumberFormat="1" applyFont="1" applyBorder="1" applyProtection="1"/>
    <xf numFmtId="37" fontId="100" fillId="24" borderId="206" xfId="0"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47" xfId="0" applyNumberFormat="1" applyFont="1" applyFill="1" applyBorder="1" applyAlignment="1" applyProtection="1">
      <alignment horizontal="right"/>
    </xf>
    <xf numFmtId="37" fontId="129" fillId="75" borderId="206" xfId="0" applyNumberFormat="1" applyFont="1" applyFill="1" applyBorder="1" applyAlignment="1" applyProtection="1">
      <alignment horizontal="right"/>
    </xf>
    <xf numFmtId="37" fontId="129" fillId="24" borderId="263" xfId="0" applyNumberFormat="1" applyFont="1" applyFill="1" applyBorder="1" applyAlignment="1" applyProtection="1">
      <alignment horizontal="right"/>
    </xf>
    <xf numFmtId="37" fontId="129" fillId="75" borderId="267" xfId="0" applyNumberFormat="1" applyFont="1" applyFill="1" applyBorder="1" applyAlignment="1" applyProtection="1">
      <alignment horizontal="right"/>
    </xf>
    <xf numFmtId="37" fontId="108" fillId="0" borderId="268" xfId="0" applyNumberFormat="1" applyFont="1" applyBorder="1" applyProtection="1"/>
    <xf numFmtId="37" fontId="100" fillId="0" borderId="235" xfId="0" applyNumberFormat="1" applyFont="1" applyBorder="1" applyProtection="1"/>
    <xf numFmtId="37" fontId="100" fillId="0" borderId="247" xfId="0" applyNumberFormat="1" applyFont="1" applyBorder="1" applyAlignment="1" applyProtection="1">
      <alignment horizontal="right"/>
    </xf>
    <xf numFmtId="37" fontId="108" fillId="0" borderId="262" xfId="0" applyNumberFormat="1" applyFont="1" applyBorder="1" applyProtection="1"/>
    <xf numFmtId="5" fontId="157" fillId="33" borderId="247" xfId="0" applyNumberFormat="1" applyFont="1" applyFill="1" applyBorder="1" applyAlignment="1" applyProtection="1">
      <alignment horizontal="right"/>
      <protection locked="0"/>
    </xf>
    <xf numFmtId="37" fontId="129" fillId="75" borderId="219" xfId="0" applyNumberFormat="1" applyFont="1" applyFill="1" applyBorder="1" applyProtection="1"/>
    <xf numFmtId="37" fontId="129" fillId="24" borderId="263" xfId="0" applyNumberFormat="1" applyFont="1" applyFill="1" applyBorder="1" applyProtection="1"/>
    <xf numFmtId="37" fontId="108" fillId="30" borderId="269" xfId="0" applyNumberFormat="1" applyFont="1" applyFill="1" applyBorder="1" applyProtection="1"/>
    <xf numFmtId="37" fontId="129" fillId="75" borderId="267" xfId="0" applyNumberFormat="1" applyFont="1" applyFill="1" applyBorder="1" applyProtection="1"/>
    <xf numFmtId="37" fontId="100" fillId="75" borderId="267" xfId="0" applyNumberFormat="1" applyFont="1" applyFill="1" applyBorder="1" applyProtection="1"/>
    <xf numFmtId="37" fontId="100" fillId="0" borderId="263" xfId="0" applyNumberFormat="1" applyFont="1" applyFill="1" applyBorder="1" applyProtection="1"/>
    <xf numFmtId="0" fontId="100" fillId="0" borderId="216" xfId="0" applyFont="1" applyBorder="1" applyProtection="1"/>
    <xf numFmtId="0" fontId="100" fillId="0" borderId="217" xfId="0" applyFont="1" applyBorder="1" applyProtection="1"/>
    <xf numFmtId="0" fontId="100" fillId="0" borderId="213" xfId="0" applyFont="1" applyBorder="1" applyAlignment="1" applyProtection="1">
      <alignment horizontal="right"/>
    </xf>
    <xf numFmtId="37" fontId="100" fillId="24" borderId="215" xfId="0" applyNumberFormat="1" applyFont="1" applyFill="1" applyBorder="1" applyProtection="1"/>
    <xf numFmtId="37" fontId="100" fillId="75" borderId="273" xfId="0" applyNumberFormat="1" applyFont="1" applyFill="1" applyBorder="1" applyProtection="1"/>
    <xf numFmtId="37" fontId="100" fillId="24" borderId="263" xfId="0" applyNumberFormat="1" applyFont="1" applyFill="1" applyBorder="1" applyProtection="1"/>
    <xf numFmtId="5" fontId="108" fillId="75" borderId="215" xfId="0" applyNumberFormat="1" applyFont="1" applyFill="1" applyBorder="1" applyProtection="1"/>
    <xf numFmtId="0" fontId="106" fillId="0" borderId="274" xfId="0" applyFont="1" applyBorder="1"/>
    <xf numFmtId="0" fontId="106" fillId="0" borderId="275" xfId="0" applyFont="1" applyBorder="1"/>
    <xf numFmtId="0" fontId="106" fillId="0" borderId="275" xfId="0" applyFont="1" applyBorder="1" applyAlignment="1">
      <alignment horizontal="center"/>
    </xf>
    <xf numFmtId="3" fontId="158" fillId="32" borderId="276" xfId="0" applyNumberFormat="1" applyFont="1" applyFill="1" applyBorder="1" applyProtection="1">
      <protection locked="0"/>
    </xf>
    <xf numFmtId="3" fontId="106" fillId="0" borderId="276" xfId="0" applyNumberFormat="1" applyFont="1" applyBorder="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8" fillId="32" borderId="279" xfId="0" applyNumberFormat="1" applyFont="1" applyFill="1" applyBorder="1" applyProtection="1">
      <protection locked="0"/>
    </xf>
    <xf numFmtId="3" fontId="106" fillId="0" borderId="279" xfId="0" applyNumberFormat="1" applyFont="1" applyBorder="1"/>
    <xf numFmtId="0" fontId="106" fillId="0" borderId="276" xfId="0" applyFont="1" applyBorder="1" applyAlignment="1">
      <alignment horizontal="center"/>
    </xf>
    <xf numFmtId="0" fontId="106" fillId="0" borderId="279" xfId="0" applyFont="1" applyBorder="1" applyAlignment="1">
      <alignment horizontal="center"/>
    </xf>
    <xf numFmtId="0" fontId="106" fillId="76" borderId="276" xfId="0" applyFont="1" applyFill="1" applyBorder="1"/>
    <xf numFmtId="0" fontId="106" fillId="0" borderId="280" xfId="0" applyFont="1" applyBorder="1"/>
    <xf numFmtId="0" fontId="106" fillId="76" borderId="279" xfId="0" applyFont="1" applyFill="1" applyBorder="1"/>
    <xf numFmtId="0" fontId="145" fillId="0" borderId="267" xfId="663" applyFont="1" applyFill="1" applyBorder="1" applyAlignment="1" applyProtection="1">
      <alignment horizontal="center" wrapText="1"/>
    </xf>
    <xf numFmtId="0" fontId="145" fillId="0" borderId="281" xfId="663" applyFont="1" applyFill="1" applyBorder="1" applyAlignment="1" applyProtection="1">
      <alignment horizontal="center" wrapText="1"/>
    </xf>
    <xf numFmtId="9" fontId="126" fillId="0" borderId="267" xfId="663" applyNumberFormat="1" applyFont="1" applyFill="1" applyBorder="1" applyAlignment="1">
      <alignment horizontal="center" wrapText="1"/>
    </xf>
    <xf numFmtId="9" fontId="145" fillId="0" borderId="281" xfId="663" applyNumberFormat="1" applyFont="1" applyFill="1" applyBorder="1" applyAlignment="1" applyProtection="1">
      <alignment horizontal="center" wrapText="1"/>
    </xf>
    <xf numFmtId="0" fontId="124" fillId="0" borderId="283" xfId="663" applyFont="1" applyFill="1" applyBorder="1" applyProtection="1"/>
    <xf numFmtId="44" fontId="109" fillId="0" borderId="282" xfId="378" applyFont="1" applyFill="1" applyBorder="1" applyProtection="1"/>
    <xf numFmtId="44" fontId="109" fillId="0" borderId="284" xfId="378" applyFont="1" applyFill="1" applyBorder="1" applyProtection="1"/>
    <xf numFmtId="0" fontId="109" fillId="0" borderId="283" xfId="663" applyFont="1" applyFill="1" applyBorder="1" applyProtection="1"/>
    <xf numFmtId="44" fontId="109" fillId="0" borderId="267" xfId="378" applyFont="1" applyFill="1" applyBorder="1" applyProtection="1"/>
    <xf numFmtId="44" fontId="109" fillId="0" borderId="281" xfId="378" applyFont="1" applyFill="1" applyBorder="1" applyProtection="1"/>
    <xf numFmtId="0" fontId="109" fillId="0" borderId="283" xfId="663" applyFont="1" applyFill="1" applyBorder="1" applyAlignment="1" applyProtection="1">
      <alignment horizontal="left"/>
    </xf>
    <xf numFmtId="0" fontId="109" fillId="0" borderId="285" xfId="663" applyFont="1" applyFill="1" applyBorder="1" applyProtection="1"/>
    <xf numFmtId="0" fontId="124" fillId="0" borderId="267" xfId="663" applyFont="1" applyFill="1" applyBorder="1"/>
    <xf numFmtId="0" fontId="124" fillId="0" borderId="281" xfId="663" applyFont="1" applyFill="1" applyBorder="1"/>
    <xf numFmtId="0" fontId="145" fillId="0" borderId="282"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0" fontId="124" fillId="0" borderId="285" xfId="663" applyFont="1" applyFill="1" applyBorder="1" applyProtection="1"/>
    <xf numFmtId="0" fontId="109" fillId="0" borderId="285" xfId="663" applyFont="1" applyFill="1" applyBorder="1" applyAlignment="1" applyProtection="1">
      <alignment horizontal="left"/>
    </xf>
    <xf numFmtId="0" fontId="109" fillId="0" borderId="286" xfId="663" applyFont="1" applyFill="1" applyBorder="1" applyProtection="1"/>
    <xf numFmtId="44" fontId="109" fillId="0" borderId="287" xfId="378" applyFont="1" applyFill="1" applyBorder="1" applyProtection="1"/>
    <xf numFmtId="44" fontId="109" fillId="0" borderId="288" xfId="378" applyFont="1" applyFill="1" applyBorder="1" applyProtection="1"/>
    <xf numFmtId="0" fontId="145" fillId="0" borderId="289" xfId="663" applyFont="1" applyFill="1" applyBorder="1" applyAlignment="1" applyProtection="1">
      <alignment horizontal="center" wrapText="1"/>
    </xf>
    <xf numFmtId="9" fontId="145" fillId="0" borderId="289" xfId="663" applyNumberFormat="1" applyFont="1" applyFill="1" applyBorder="1" applyAlignment="1" applyProtection="1">
      <alignment horizontal="center" wrapText="1"/>
    </xf>
    <xf numFmtId="0" fontId="124" fillId="0" borderId="290" xfId="663" applyFont="1" applyFill="1" applyBorder="1" applyProtection="1"/>
    <xf numFmtId="44" fontId="109" fillId="0" borderId="289" xfId="378" applyFont="1" applyFill="1" applyBorder="1" applyProtection="1"/>
    <xf numFmtId="0" fontId="109" fillId="0" borderId="290" xfId="663" applyFont="1" applyFill="1" applyBorder="1" applyProtection="1"/>
    <xf numFmtId="0" fontId="109" fillId="0" borderId="290" xfId="663" applyFont="1" applyFill="1" applyBorder="1" applyAlignment="1" applyProtection="1">
      <alignment horizontal="left"/>
    </xf>
    <xf numFmtId="0" fontId="124" fillId="0" borderId="289" xfId="663" applyFont="1" applyFill="1" applyBorder="1"/>
    <xf numFmtId="44" fontId="109" fillId="0" borderId="267" xfId="378" applyFont="1" applyFill="1" applyBorder="1" applyAlignment="1" applyProtection="1">
      <alignment horizontal="right"/>
    </xf>
    <xf numFmtId="44" fontId="109" fillId="0" borderId="289" xfId="378" applyFont="1" applyFill="1" applyBorder="1" applyAlignment="1" applyProtection="1">
      <alignment horizontal="right"/>
    </xf>
    <xf numFmtId="0" fontId="109" fillId="0" borderId="291" xfId="663" applyFont="1" applyFill="1" applyBorder="1" applyProtection="1"/>
    <xf numFmtId="44" fontId="109" fillId="0" borderId="292" xfId="378" applyFont="1" applyFill="1" applyBorder="1" applyAlignment="1" applyProtection="1">
      <alignment horizontal="right"/>
    </xf>
    <xf numFmtId="44" fontId="109" fillId="0" borderId="293" xfId="378" applyFont="1" applyFill="1" applyBorder="1" applyAlignment="1" applyProtection="1">
      <alignment horizontal="right"/>
    </xf>
    <xf numFmtId="44" fontId="109" fillId="0" borderId="267" xfId="378" quotePrefix="1" applyFont="1" applyFill="1" applyBorder="1" applyProtection="1"/>
    <xf numFmtId="44" fontId="109" fillId="0" borderId="292" xfId="378" applyFont="1" applyFill="1" applyBorder="1" applyProtection="1"/>
    <xf numFmtId="44" fontId="109" fillId="0" borderId="292" xfId="378" quotePrefix="1" applyFont="1" applyFill="1" applyBorder="1" applyProtection="1"/>
    <xf numFmtId="44" fontId="109" fillId="0" borderId="293" xfId="378" applyFont="1" applyFill="1" applyBorder="1" applyProtection="1"/>
    <xf numFmtId="44" fontId="109" fillId="0" borderId="289" xfId="378" quotePrefix="1" applyFont="1" applyFill="1" applyBorder="1" applyProtection="1"/>
    <xf numFmtId="0" fontId="78" fillId="27" borderId="294" xfId="663" applyFont="1" applyFill="1" applyBorder="1" applyAlignment="1" applyProtection="1">
      <alignment wrapText="1"/>
    </xf>
    <xf numFmtId="9" fontId="72" fillId="27" borderId="295" xfId="663" applyNumberFormat="1" applyFont="1" applyFill="1" applyBorder="1" applyAlignment="1" applyProtection="1">
      <alignment horizontal="center"/>
    </xf>
    <xf numFmtId="0" fontId="72" fillId="27" borderId="296" xfId="663" applyFont="1" applyFill="1" applyBorder="1" applyProtection="1"/>
    <xf numFmtId="0" fontId="78" fillId="28" borderId="294" xfId="663" applyFont="1" applyFill="1" applyBorder="1" applyAlignment="1" applyProtection="1">
      <alignment wrapText="1"/>
    </xf>
    <xf numFmtId="9" fontId="72" fillId="28" borderId="295" xfId="663" applyNumberFormat="1" applyFont="1" applyFill="1" applyBorder="1" applyAlignment="1" applyProtection="1">
      <alignment horizontal="center"/>
    </xf>
    <xf numFmtId="0" fontId="72" fillId="28" borderId="296" xfId="663" applyFont="1" applyFill="1" applyBorder="1" applyProtection="1"/>
    <xf numFmtId="0" fontId="78" fillId="27" borderId="294" xfId="663" applyFont="1" applyFill="1" applyBorder="1" applyProtection="1"/>
    <xf numFmtId="0" fontId="72" fillId="27" borderId="296" xfId="663" applyFont="1" applyFill="1" applyBorder="1" applyAlignment="1" applyProtection="1">
      <alignment wrapText="1"/>
    </xf>
    <xf numFmtId="0" fontId="72" fillId="28" borderId="296" xfId="663" applyFont="1" applyFill="1" applyBorder="1" applyAlignment="1" applyProtection="1">
      <alignment horizontal="left"/>
    </xf>
    <xf numFmtId="0" fontId="78" fillId="28" borderId="299" xfId="663" applyFont="1" applyFill="1" applyBorder="1" applyAlignment="1" applyProtection="1">
      <alignment wrapText="1"/>
    </xf>
    <xf numFmtId="9" fontId="72" fillId="28" borderId="300" xfId="663" applyNumberFormat="1" applyFont="1" applyFill="1" applyBorder="1" applyAlignment="1" applyProtection="1">
      <alignment horizontal="center"/>
    </xf>
    <xf numFmtId="0" fontId="72" fillId="28" borderId="301"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4"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6"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8" xfId="0" applyFont="1" applyBorder="1" applyAlignment="1">
      <alignment wrapText="1"/>
    </xf>
    <xf numFmtId="0" fontId="126" fillId="0" borderId="184" xfId="0" applyFont="1" applyBorder="1" applyAlignment="1">
      <alignment horizontal="center"/>
    </xf>
    <xf numFmtId="0" fontId="126" fillId="0" borderId="282"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2"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8"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3"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8"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5" xfId="181" applyNumberFormat="1" applyFont="1" applyFill="1" applyBorder="1" applyAlignment="1">
      <alignment horizontal="right"/>
    </xf>
    <xf numFmtId="5" fontId="168" fillId="32" borderId="219" xfId="49334" applyNumberFormat="1" applyFont="1" applyFill="1" applyBorder="1" applyAlignment="1">
      <alignment horizontal="right"/>
    </xf>
    <xf numFmtId="165" fontId="72" fillId="32" borderId="290" xfId="181" applyNumberFormat="1" applyFont="1" applyFill="1" applyBorder="1" applyAlignment="1">
      <alignment horizontal="right"/>
    </xf>
    <xf numFmtId="165" fontId="168" fillId="32" borderId="220" xfId="49334" applyNumberFormat="1" applyFont="1" applyFill="1" applyBorder="1" applyAlignment="1">
      <alignment horizontal="right"/>
    </xf>
    <xf numFmtId="0" fontId="72" fillId="79" borderId="43" xfId="0" applyFont="1" applyFill="1" applyBorder="1"/>
    <xf numFmtId="0" fontId="72" fillId="79" borderId="221" xfId="0" applyFont="1" applyFill="1" applyBorder="1"/>
    <xf numFmtId="0" fontId="72" fillId="79" borderId="224"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2" xfId="0" applyNumberFormat="1" applyFont="1" applyFill="1" applyBorder="1" applyProtection="1">
      <protection locked="0"/>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168" fontId="156" fillId="32" borderId="222"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4" xfId="0" applyFont="1" applyBorder="1" applyAlignment="1"/>
    <xf numFmtId="0" fontId="106" fillId="0" borderId="193" xfId="0" applyFont="1" applyBorder="1" applyAlignment="1"/>
    <xf numFmtId="0" fontId="126" fillId="0" borderId="204" xfId="0" applyFont="1" applyBorder="1" applyAlignment="1">
      <alignment horizontal="centerContinuous" wrapText="1"/>
    </xf>
    <xf numFmtId="0" fontId="126" fillId="0" borderId="187" xfId="0" applyFont="1" applyBorder="1" applyAlignment="1">
      <alignment horizontal="centerContinuous" wrapText="1"/>
    </xf>
    <xf numFmtId="0" fontId="126" fillId="0" borderId="205"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7" xfId="663" applyFont="1" applyBorder="1" applyAlignment="1" applyProtection="1">
      <alignment horizontal="centerContinuous"/>
    </xf>
    <xf numFmtId="0" fontId="75" fillId="0" borderId="271" xfId="663" applyFont="1" applyBorder="1" applyAlignment="1" applyProtection="1">
      <alignment horizontal="centerContinuous"/>
    </xf>
    <xf numFmtId="0" fontId="75" fillId="0" borderId="298"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1" xfId="663" applyNumberFormat="1" applyFont="1" applyBorder="1" applyAlignment="1" applyProtection="1">
      <alignment horizontal="centerContinuous"/>
    </xf>
    <xf numFmtId="0" fontId="72" fillId="0" borderId="298"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3" xfId="495" applyFont="1" applyFill="1" applyBorder="1" applyAlignment="1">
      <alignment horizontal="center" wrapText="1"/>
    </xf>
    <xf numFmtId="3" fontId="72" fillId="32" borderId="303"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2" xfId="0" applyNumberFormat="1" applyFont="1" applyFill="1" applyBorder="1"/>
    <xf numFmtId="169" fontId="72" fillId="32" borderId="267" xfId="0" applyNumberFormat="1" applyFont="1" applyFill="1" applyBorder="1"/>
    <xf numFmtId="169" fontId="72" fillId="32" borderId="292" xfId="0" applyNumberFormat="1" applyFont="1" applyFill="1" applyBorder="1"/>
    <xf numFmtId="172" fontId="100" fillId="0" borderId="10" xfId="0" applyNumberFormat="1" applyFont="1" applyFill="1" applyBorder="1" applyAlignment="1" applyProtection="1">
      <alignment horizontal="right"/>
    </xf>
    <xf numFmtId="0" fontId="106" fillId="0" borderId="302" xfId="0" applyFont="1" applyBorder="1" applyAlignment="1">
      <alignment horizontal="center"/>
    </xf>
    <xf numFmtId="3" fontId="158" fillId="32" borderId="302" xfId="0" applyNumberFormat="1" applyFont="1" applyFill="1" applyBorder="1" applyProtection="1">
      <protection locked="0"/>
    </xf>
    <xf numFmtId="3" fontId="106" fillId="0" borderId="302" xfId="0" applyNumberFormat="1" applyFont="1" applyBorder="1"/>
    <xf numFmtId="0" fontId="72" fillId="0" borderId="302" xfId="0" applyNumberFormat="1" applyFont="1" applyBorder="1" applyAlignment="1" applyProtection="1"/>
    <xf numFmtId="0" fontId="72" fillId="0" borderId="303" xfId="0" applyNumberFormat="1" applyFont="1" applyBorder="1" applyAlignment="1" applyProtection="1"/>
    <xf numFmtId="37" fontId="180" fillId="32" borderId="302" xfId="0" applyNumberFormat="1" applyFont="1" applyFill="1" applyBorder="1" applyAlignment="1" applyProtection="1">
      <alignment horizontal="right"/>
    </xf>
    <xf numFmtId="37" fontId="180" fillId="32" borderId="303" xfId="0" applyNumberFormat="1" applyFont="1" applyFill="1" applyBorder="1" applyAlignment="1" applyProtection="1">
      <alignment horizontal="right"/>
    </xf>
    <xf numFmtId="37" fontId="181" fillId="0" borderId="306" xfId="0" applyNumberFormat="1" applyFont="1" applyFill="1" applyBorder="1" applyProtection="1"/>
    <xf numFmtId="37" fontId="181" fillId="0" borderId="307" xfId="0" applyNumberFormat="1" applyFont="1" applyFill="1" applyBorder="1" applyProtection="1"/>
    <xf numFmtId="172" fontId="181" fillId="0" borderId="302" xfId="0" applyNumberFormat="1" applyFont="1" applyFill="1" applyBorder="1" applyAlignment="1" applyProtection="1">
      <alignment horizontal="center"/>
    </xf>
    <xf numFmtId="37" fontId="181" fillId="0" borderId="308" xfId="0" applyNumberFormat="1" applyFont="1" applyFill="1" applyBorder="1" applyProtection="1"/>
    <xf numFmtId="37" fontId="181" fillId="0" borderId="309" xfId="0" applyNumberFormat="1" applyFont="1" applyFill="1" applyBorder="1" applyProtection="1"/>
    <xf numFmtId="172" fontId="181" fillId="0" borderId="303"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2"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79" xfId="0" applyNumberFormat="1" applyFont="1" applyFill="1" applyBorder="1" applyAlignment="1" applyProtection="1">
      <alignment horizontal="right"/>
    </xf>
    <xf numFmtId="0" fontId="72" fillId="79" borderId="310"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1" xfId="0" applyNumberFormat="1" applyFont="1" applyFill="1" applyBorder="1" applyProtection="1">
      <protection locked="0"/>
    </xf>
    <xf numFmtId="37" fontId="157" fillId="33" borderId="312" xfId="0" applyNumberFormat="1" applyFont="1" applyFill="1" applyBorder="1" applyProtection="1">
      <protection locked="0"/>
    </xf>
    <xf numFmtId="172" fontId="182" fillId="0" borderId="10" xfId="0" applyNumberFormat="1" applyFont="1" applyFill="1" applyBorder="1" applyAlignment="1" applyProtection="1"/>
    <xf numFmtId="3" fontId="159" fillId="0" borderId="276" xfId="0" applyNumberFormat="1" applyFont="1" applyFill="1" applyBorder="1" applyProtection="1"/>
    <xf numFmtId="0" fontId="106" fillId="0" borderId="274" xfId="0" applyFont="1" applyBorder="1" applyAlignment="1">
      <alignment horizontal="centerContinuous" wrapText="1"/>
    </xf>
    <xf numFmtId="0" fontId="106" fillId="0" borderId="275" xfId="0" applyFont="1" applyBorder="1" applyAlignment="1">
      <alignment horizontal="centerContinuous"/>
    </xf>
    <xf numFmtId="168" fontId="106" fillId="0" borderId="34" xfId="0" applyNumberFormat="1" applyFont="1" applyFill="1" applyBorder="1" applyProtection="1"/>
    <xf numFmtId="3" fontId="156" fillId="32" borderId="313" xfId="0" applyNumberFormat="1" applyFont="1" applyFill="1" applyBorder="1" applyAlignment="1" applyProtection="1">
      <alignment horizontal="right"/>
      <protection locked="0"/>
    </xf>
    <xf numFmtId="0" fontId="156" fillId="32" borderId="303" xfId="0" applyFont="1" applyFill="1" applyBorder="1" applyProtection="1">
      <protection locked="0"/>
    </xf>
    <xf numFmtId="3" fontId="156" fillId="32" borderId="303" xfId="0" applyNumberFormat="1" applyFont="1" applyFill="1" applyBorder="1" applyAlignment="1" applyProtection="1">
      <alignment horizontal="right"/>
      <protection locked="0"/>
    </xf>
    <xf numFmtId="37" fontId="157" fillId="33" borderId="311" xfId="0" applyNumberFormat="1" applyFont="1" applyFill="1" applyBorder="1" applyProtection="1">
      <protection locked="0"/>
    </xf>
    <xf numFmtId="168" fontId="157" fillId="32" borderId="0" xfId="0" applyNumberFormat="1" applyFont="1" applyFill="1" applyProtection="1">
      <protection locked="0"/>
    </xf>
    <xf numFmtId="3" fontId="157" fillId="32" borderId="0" xfId="0" applyNumberFormat="1" applyFont="1" applyFill="1" applyProtection="1">
      <protection locked="0"/>
    </xf>
    <xf numFmtId="0" fontId="72" fillId="0" borderId="0" xfId="0" applyFont="1" applyProtection="1">
      <protection locked="0"/>
    </xf>
    <xf numFmtId="49" fontId="72" fillId="32" borderId="39" xfId="0" applyNumberFormat="1" applyFont="1" applyFill="1" applyBorder="1" applyAlignment="1" applyProtection="1">
      <alignment horizontal="centerContinuous" vertical="top" wrapText="1"/>
      <protection locked="0"/>
    </xf>
    <xf numFmtId="49" fontId="72" fillId="32" borderId="47"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0" fontId="72" fillId="32" borderId="133" xfId="0" applyFont="1" applyFill="1" applyBorder="1" applyAlignment="1" applyProtection="1">
      <alignment horizontal="centerContinuous" vertical="top" wrapText="1"/>
      <protection locked="0"/>
    </xf>
    <xf numFmtId="0" fontId="72" fillId="32" borderId="67" xfId="0"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4" t="s">
        <v>0</v>
      </c>
      <c r="B1" s="754"/>
      <c r="C1" s="754"/>
      <c r="D1" s="754"/>
      <c r="E1" s="754"/>
    </row>
    <row r="2" spans="1:5" ht="23.25">
      <c r="A2" s="754" t="s">
        <v>728</v>
      </c>
      <c r="B2" s="754"/>
      <c r="C2" s="754"/>
      <c r="D2" s="754"/>
      <c r="E2" s="754"/>
    </row>
    <row r="3" spans="1:5" ht="21" customHeight="1">
      <c r="A3" s="754" t="s">
        <v>1</v>
      </c>
      <c r="B3" s="754"/>
      <c r="C3" s="754"/>
      <c r="D3" s="754"/>
      <c r="E3" s="754"/>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4"/>
      <c r="B7" s="735"/>
      <c r="C7" s="736"/>
      <c r="D7" s="738"/>
      <c r="E7" s="737"/>
    </row>
    <row r="8" spans="1:5" s="4" customFormat="1" ht="20.100000000000001" customHeight="1">
      <c r="A8" s="734"/>
      <c r="B8" s="735"/>
      <c r="C8" s="736"/>
      <c r="D8" s="738"/>
      <c r="E8" s="737"/>
    </row>
    <row r="9" spans="1:5" s="4" customFormat="1" ht="20.100000000000001" customHeight="1">
      <c r="A9" s="738"/>
      <c r="B9" s="11"/>
      <c r="C9" s="736"/>
      <c r="D9" s="985"/>
      <c r="E9" s="737"/>
    </row>
    <row r="10" spans="1:5" s="4" customFormat="1" ht="20.100000000000001" customHeight="1">
      <c r="A10" s="755" t="s">
        <v>9</v>
      </c>
      <c r="B10" s="13"/>
      <c r="C10" s="14" t="s">
        <v>10</v>
      </c>
      <c r="D10" s="15"/>
      <c r="E10" s="12" t="s">
        <v>10</v>
      </c>
    </row>
    <row r="11" spans="1:5" s="4" customFormat="1" ht="20.100000000000001" customHeight="1">
      <c r="A11" s="755"/>
      <c r="B11" s="13"/>
      <c r="C11" s="13"/>
      <c r="D11" s="15"/>
      <c r="E11" s="13"/>
    </row>
    <row r="12" spans="1:5" ht="20.100000000000001" customHeight="1">
      <c r="A12" s="16"/>
      <c r="B12" s="16"/>
      <c r="C12" s="16"/>
      <c r="D12" s="17"/>
      <c r="E12" s="16"/>
    </row>
    <row r="13" spans="1:5" ht="20.100000000000001" customHeight="1">
      <c r="A13" s="756" t="s">
        <v>10</v>
      </c>
      <c r="B13" s="16"/>
      <c r="C13" s="16"/>
      <c r="D13" s="17"/>
      <c r="E13" s="16"/>
    </row>
    <row r="14" spans="1:5" ht="20.100000000000001" customHeight="1">
      <c r="A14" s="756"/>
      <c r="B14" s="16"/>
      <c r="C14" s="16"/>
      <c r="D14" s="16"/>
      <c r="E14" s="16"/>
    </row>
    <row r="15" spans="1:5" ht="20.100000000000001" customHeight="1">
      <c r="A15" s="756"/>
      <c r="B15" s="16"/>
      <c r="C15" s="16"/>
      <c r="D15" s="16"/>
      <c r="E15" s="16"/>
    </row>
    <row r="16" spans="1:5" ht="20.100000000000001" customHeight="1">
      <c r="A16" s="756"/>
      <c r="B16" s="16"/>
      <c r="C16" s="16"/>
      <c r="D16" s="16"/>
      <c r="E16" s="16"/>
    </row>
    <row r="17" spans="1:6" ht="15" customHeight="1">
      <c r="A17" s="9"/>
      <c r="B17" s="3"/>
      <c r="C17" s="3"/>
      <c r="D17" s="3"/>
      <c r="E17" s="3"/>
    </row>
    <row r="18" spans="1:6" ht="15" customHeight="1">
      <c r="A18" s="731"/>
      <c r="B18" s="732"/>
      <c r="C18" s="732"/>
      <c r="D18" s="732"/>
      <c r="E18" s="732"/>
      <c r="F18" s="733"/>
    </row>
    <row r="19" spans="1:6" ht="19.5" customHeight="1">
      <c r="A19" s="731"/>
      <c r="B19" s="732"/>
      <c r="C19" s="732"/>
      <c r="D19" s="732"/>
      <c r="E19" s="732"/>
      <c r="F19" s="733"/>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D36" sqref="D36"/>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39" t="s">
        <v>183</v>
      </c>
      <c r="B3" s="1126" t="str">
        <f>'CHECK SHEET'!D7</f>
        <v>St. Petersburg College</v>
      </c>
      <c r="C3" s="1126"/>
      <c r="D3" s="1126"/>
      <c r="E3" s="1126"/>
      <c r="F3" s="431"/>
      <c r="G3" s="424"/>
    </row>
    <row r="4" spans="1:8" ht="24" customHeight="1">
      <c r="A4" s="1122" t="s">
        <v>613</v>
      </c>
      <c r="B4" s="1122"/>
      <c r="C4" s="1122"/>
      <c r="D4" s="1122"/>
      <c r="E4" s="1122"/>
      <c r="F4" s="463"/>
    </row>
    <row r="5" spans="1:8" ht="24" customHeight="1">
      <c r="A5" s="1122" t="s">
        <v>614</v>
      </c>
      <c r="B5" s="1122"/>
      <c r="C5" s="1122"/>
      <c r="D5" s="1122"/>
      <c r="E5" s="1122"/>
      <c r="F5" s="463"/>
    </row>
    <row r="6" spans="1:8" ht="24" customHeight="1">
      <c r="A6" s="1145" t="s">
        <v>755</v>
      </c>
      <c r="B6" s="1145"/>
      <c r="C6" s="1145"/>
      <c r="D6" s="1145"/>
      <c r="E6" s="1145"/>
      <c r="F6" s="464"/>
    </row>
    <row r="7" spans="1:8" ht="20.100000000000001" customHeight="1">
      <c r="A7" s="1143"/>
      <c r="B7" s="1143"/>
      <c r="C7" s="1143"/>
      <c r="D7" s="1144"/>
      <c r="E7" s="1144"/>
      <c r="F7" s="423"/>
    </row>
    <row r="8" spans="1:8" ht="24" customHeight="1" thickBot="1">
      <c r="A8" s="1065" t="s">
        <v>615</v>
      </c>
      <c r="B8" s="1065"/>
      <c r="C8" s="1065"/>
      <c r="D8" s="423"/>
      <c r="E8" s="423"/>
      <c r="F8" s="423"/>
      <c r="H8" s="425"/>
    </row>
    <row r="9" spans="1:8" s="37" customFormat="1" ht="64.349999999999994" customHeight="1" thickBot="1">
      <c r="A9" s="370" t="s">
        <v>616</v>
      </c>
      <c r="B9" s="1038" t="s">
        <v>617</v>
      </c>
      <c r="C9" s="389" t="s">
        <v>618</v>
      </c>
      <c r="D9" s="389" t="s">
        <v>619</v>
      </c>
      <c r="E9" s="459" t="s">
        <v>50</v>
      </c>
      <c r="F9" s="465"/>
      <c r="H9" s="456"/>
    </row>
    <row r="10" spans="1:8" s="37" customFormat="1" ht="20.100000000000001" customHeight="1">
      <c r="A10" s="479" t="s">
        <v>620</v>
      </c>
      <c r="B10" s="1340">
        <v>56649176</v>
      </c>
      <c r="C10" s="576">
        <v>5891108.9699999997</v>
      </c>
      <c r="D10" s="576">
        <v>21092</v>
      </c>
      <c r="E10" s="480">
        <f>SUM(B10:D10)</f>
        <v>62561376.969999999</v>
      </c>
      <c r="F10" s="457"/>
      <c r="G10" s="456"/>
    </row>
    <row r="11" spans="1:8" s="37" customFormat="1" ht="20.100000000000001" customHeight="1">
      <c r="A11" s="479" t="s">
        <v>621</v>
      </c>
      <c r="B11" s="577">
        <v>0</v>
      </c>
      <c r="C11" s="567">
        <v>0</v>
      </c>
      <c r="D11" s="567">
        <v>0</v>
      </c>
      <c r="E11" s="480">
        <f>SUM(B11:D11)</f>
        <v>0</v>
      </c>
      <c r="F11" s="457"/>
      <c r="G11" s="456"/>
      <c r="H11" s="456"/>
    </row>
    <row r="12" spans="1:8" s="37" customFormat="1" ht="20.100000000000001" customHeight="1" thickBot="1">
      <c r="A12" s="479" t="s">
        <v>622</v>
      </c>
      <c r="B12" s="577">
        <v>0</v>
      </c>
      <c r="C12" s="567">
        <v>995</v>
      </c>
      <c r="D12" s="567">
        <v>0</v>
      </c>
      <c r="E12" s="481">
        <f>SUM(B12:D12)</f>
        <v>995</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1341">
        <v>19347714</v>
      </c>
      <c r="C14" s="578">
        <v>6413674.6399999997</v>
      </c>
      <c r="D14" s="578">
        <v>24637</v>
      </c>
      <c r="E14" s="481">
        <f t="shared" ref="E14:E20" si="0">SUM(B14:D14)</f>
        <v>25786025.640000001</v>
      </c>
      <c r="F14" s="457"/>
    </row>
    <row r="15" spans="1:8" s="37" customFormat="1" ht="20.100000000000001" customHeight="1">
      <c r="A15" s="479" t="s">
        <v>625</v>
      </c>
      <c r="B15" s="577">
        <v>285000</v>
      </c>
      <c r="C15" s="567">
        <v>0</v>
      </c>
      <c r="D15" s="567">
        <v>0</v>
      </c>
      <c r="E15" s="481">
        <f>SUM(B15:D15)</f>
        <v>285000</v>
      </c>
      <c r="F15" s="457"/>
    </row>
    <row r="16" spans="1:8" s="37" customFormat="1" ht="20.100000000000001" customHeight="1">
      <c r="A16" s="479" t="s">
        <v>626</v>
      </c>
      <c r="B16" s="1341">
        <v>18343510</v>
      </c>
      <c r="C16" s="567">
        <v>4601730.4000000004</v>
      </c>
      <c r="D16" s="567">
        <v>7311</v>
      </c>
      <c r="E16" s="481">
        <f t="shared" si="0"/>
        <v>22952551.399999999</v>
      </c>
      <c r="F16" s="457"/>
    </row>
    <row r="17" spans="1:6" s="37" customFormat="1" ht="20.100000000000001" customHeight="1">
      <c r="A17" s="479" t="s">
        <v>627</v>
      </c>
      <c r="B17" s="1341">
        <v>13811885</v>
      </c>
      <c r="C17" s="567">
        <v>12761467.08</v>
      </c>
      <c r="D17" s="567">
        <v>251664</v>
      </c>
      <c r="E17" s="481">
        <f t="shared" si="0"/>
        <v>26825016.079999998</v>
      </c>
      <c r="F17" s="457"/>
    </row>
    <row r="18" spans="1:6" s="37" customFormat="1" ht="20.100000000000001" customHeight="1">
      <c r="A18" s="479" t="s">
        <v>628</v>
      </c>
      <c r="B18" s="1341">
        <v>9958078</v>
      </c>
      <c r="C18" s="567">
        <v>7633224.75</v>
      </c>
      <c r="D18" s="567">
        <v>16000</v>
      </c>
      <c r="E18" s="481">
        <f t="shared" si="0"/>
        <v>17607302.75</v>
      </c>
      <c r="F18" s="457"/>
    </row>
    <row r="19" spans="1:6" s="37" customFormat="1" ht="20.100000000000001" customHeight="1">
      <c r="A19" s="479" t="s">
        <v>629</v>
      </c>
      <c r="B19" s="1341">
        <v>0</v>
      </c>
      <c r="C19" s="567">
        <v>2372798</v>
      </c>
      <c r="D19" s="567">
        <v>0</v>
      </c>
      <c r="E19" s="481">
        <f t="shared" si="0"/>
        <v>2372798</v>
      </c>
      <c r="F19" s="457"/>
    </row>
    <row r="20" spans="1:6" s="37" customFormat="1" ht="20.100000000000001" customHeight="1" thickBot="1">
      <c r="A20" s="479" t="s">
        <v>630</v>
      </c>
      <c r="B20" s="1341">
        <v>2756365</v>
      </c>
      <c r="C20" s="568">
        <v>2663325</v>
      </c>
      <c r="D20" s="568">
        <v>250000</v>
      </c>
      <c r="E20" s="481">
        <f t="shared" si="0"/>
        <v>5669690</v>
      </c>
      <c r="F20" s="457"/>
    </row>
    <row r="21" spans="1:6" s="37" customFormat="1" ht="24" customHeight="1" thickBot="1">
      <c r="A21" s="377" t="s">
        <v>50</v>
      </c>
      <c r="B21" s="458">
        <f>SUM(B10:B20)</f>
        <v>121151728</v>
      </c>
      <c r="C21" s="461">
        <f>SUM(C10:C20)</f>
        <v>42338323.839999996</v>
      </c>
      <c r="D21" s="461">
        <f>SUM(D10:D20)</f>
        <v>570704</v>
      </c>
      <c r="E21" s="460">
        <f>SUM(E10:E20)</f>
        <v>164060755.83999997</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2" t="s">
        <v>631</v>
      </c>
      <c r="B1" s="621"/>
      <c r="C1" s="621"/>
      <c r="D1" s="621"/>
      <c r="E1" s="621"/>
      <c r="F1" s="621"/>
      <c r="G1" s="621"/>
    </row>
    <row r="2" spans="1:7" ht="26.25">
      <c r="A2" s="611" t="s">
        <v>632</v>
      </c>
      <c r="B2" s="621"/>
      <c r="C2" s="223"/>
      <c r="D2" s="223"/>
      <c r="E2" s="223"/>
      <c r="F2" s="223"/>
      <c r="G2" s="223"/>
    </row>
    <row r="3" spans="1:7" ht="26.1" customHeight="1">
      <c r="A3" s="610" t="s">
        <v>633</v>
      </c>
      <c r="B3" s="623"/>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zoomScale="60" zoomScaleNormal="60" zoomScaleSheetLayoutView="50" zoomScalePageLayoutView="60" workbookViewId="0">
      <selection activeCell="K130" sqref="K130"/>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2" t="s">
        <v>183</v>
      </c>
      <c r="B1" s="1146" t="str">
        <f>'CHECK SHEET'!D7</f>
        <v>St. Petersburg College</v>
      </c>
      <c r="C1" s="1146"/>
      <c r="D1" s="1146"/>
      <c r="E1" s="1146"/>
      <c r="F1" s="1146"/>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47" t="s">
        <v>634</v>
      </c>
      <c r="B2" s="1147"/>
      <c r="C2" s="1147"/>
      <c r="D2" s="1147"/>
      <c r="E2" s="1147"/>
      <c r="F2" s="1147"/>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48" t="s">
        <v>635</v>
      </c>
      <c r="B3" s="1148"/>
      <c r="C3" s="1148"/>
      <c r="D3" s="1148"/>
      <c r="E3" s="1148"/>
      <c r="F3" s="1148"/>
    </row>
    <row r="4" spans="1:224" ht="30" customHeight="1">
      <c r="A4" s="1147" t="s">
        <v>755</v>
      </c>
      <c r="B4" s="1147"/>
      <c r="C4" s="1147"/>
      <c r="D4" s="1147"/>
      <c r="E4" s="1147"/>
      <c r="F4" s="1147"/>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84"/>
      <c r="B5" s="1084"/>
      <c r="C5" s="1084"/>
      <c r="D5" s="1084"/>
      <c r="E5" s="1084"/>
      <c r="F5" s="1084"/>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2" t="s">
        <v>615</v>
      </c>
      <c r="B7" s="1083"/>
      <c r="C7" s="1076" t="s">
        <v>737</v>
      </c>
      <c r="D7" s="1077"/>
      <c r="E7" s="1077"/>
      <c r="F7" s="1078"/>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08" t="s">
        <v>636</v>
      </c>
      <c r="B8" s="1209"/>
      <c r="C8" s="292" t="s">
        <v>275</v>
      </c>
      <c r="D8" s="293" t="s">
        <v>637</v>
      </c>
      <c r="E8" s="698"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74" t="s">
        <v>414</v>
      </c>
      <c r="B9" s="1079"/>
      <c r="C9" s="332"/>
      <c r="D9" s="349"/>
      <c r="E9" s="349"/>
      <c r="F9" s="349"/>
      <c r="G9" s="300"/>
      <c r="H9" s="301"/>
      <c r="I9" s="297"/>
      <c r="J9" s="290"/>
      <c r="K9" s="298"/>
      <c r="L9" s="298"/>
      <c r="M9" s="298"/>
      <c r="N9" s="298"/>
      <c r="O9" s="301"/>
      <c r="P9" s="301"/>
      <c r="Q9" s="301"/>
      <c r="R9" s="302"/>
      <c r="S9" s="302"/>
      <c r="T9" s="302"/>
      <c r="U9" s="302"/>
    </row>
    <row r="10" spans="1:224" s="308" customFormat="1" ht="30" customHeight="1" thickBot="1">
      <c r="A10" s="303" t="s">
        <v>415</v>
      </c>
      <c r="B10" s="316"/>
      <c r="C10" s="699" t="s">
        <v>416</v>
      </c>
      <c r="D10" s="1342">
        <v>0</v>
      </c>
      <c r="E10" s="579">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0" t="s">
        <v>417</v>
      </c>
      <c r="B11" s="921"/>
      <c r="C11" s="922" t="s">
        <v>418</v>
      </c>
      <c r="D11" s="579">
        <v>1065607.79</v>
      </c>
      <c r="E11" s="923">
        <v>0</v>
      </c>
      <c r="F11" s="924">
        <f t="shared" si="0"/>
        <v>1065607.79</v>
      </c>
      <c r="G11" s="305"/>
      <c r="H11" s="306"/>
      <c r="I11" s="297"/>
      <c r="J11" s="290"/>
      <c r="K11" s="298"/>
      <c r="L11" s="298"/>
      <c r="M11" s="298"/>
      <c r="N11" s="298"/>
      <c r="O11" s="306"/>
      <c r="P11" s="306"/>
      <c r="Q11" s="306"/>
      <c r="R11" s="307"/>
      <c r="S11" s="307"/>
      <c r="T11" s="307"/>
      <c r="U11" s="307"/>
    </row>
    <row r="12" spans="1:224" s="308" customFormat="1" ht="30" customHeight="1">
      <c r="A12" s="920" t="s">
        <v>419</v>
      </c>
      <c r="B12" s="921"/>
      <c r="C12" s="922" t="s">
        <v>420</v>
      </c>
      <c r="D12" s="1239">
        <v>0</v>
      </c>
      <c r="E12" s="923">
        <v>0</v>
      </c>
      <c r="F12" s="924">
        <f t="shared" si="0"/>
        <v>0</v>
      </c>
      <c r="G12" s="305"/>
      <c r="H12" s="306"/>
      <c r="I12" s="297"/>
      <c r="J12" s="290"/>
      <c r="K12" s="298"/>
      <c r="L12" s="298"/>
      <c r="M12" s="298"/>
      <c r="N12" s="298"/>
      <c r="O12" s="306"/>
      <c r="P12" s="306"/>
      <c r="Q12" s="306"/>
      <c r="R12" s="307"/>
      <c r="S12" s="307"/>
      <c r="T12" s="307"/>
      <c r="U12" s="307"/>
    </row>
    <row r="13" spans="1:224" s="308" customFormat="1" ht="30" customHeight="1">
      <c r="A13" s="920" t="s">
        <v>421</v>
      </c>
      <c r="B13" s="921"/>
      <c r="C13" s="922" t="s">
        <v>422</v>
      </c>
      <c r="D13" s="1239">
        <v>0</v>
      </c>
      <c r="E13" s="923">
        <v>0</v>
      </c>
      <c r="F13" s="924">
        <f t="shared" si="0"/>
        <v>0</v>
      </c>
      <c r="G13" s="305"/>
      <c r="H13" s="306"/>
      <c r="I13" s="297"/>
      <c r="J13" s="290"/>
      <c r="K13" s="298"/>
      <c r="L13" s="298"/>
      <c r="M13" s="298"/>
      <c r="N13" s="298"/>
      <c r="O13" s="306"/>
      <c r="P13" s="306"/>
      <c r="Q13" s="306"/>
      <c r="R13" s="307"/>
      <c r="S13" s="307"/>
      <c r="T13" s="307"/>
      <c r="U13" s="307"/>
    </row>
    <row r="14" spans="1:224" s="308" customFormat="1" ht="30" customHeight="1">
      <c r="A14" s="920" t="s">
        <v>423</v>
      </c>
      <c r="B14" s="921"/>
      <c r="C14" s="922" t="s">
        <v>424</v>
      </c>
      <c r="D14" s="1239">
        <v>0</v>
      </c>
      <c r="E14" s="923">
        <v>0</v>
      </c>
      <c r="F14" s="924">
        <f t="shared" si="0"/>
        <v>0</v>
      </c>
      <c r="G14" s="305"/>
      <c r="H14" s="306"/>
      <c r="I14" s="297"/>
      <c r="J14" s="290"/>
      <c r="K14" s="298"/>
      <c r="L14" s="298"/>
      <c r="M14" s="298"/>
      <c r="N14" s="298"/>
      <c r="O14" s="306"/>
      <c r="P14" s="306"/>
      <c r="Q14" s="306"/>
      <c r="R14" s="307"/>
      <c r="S14" s="307"/>
      <c r="T14" s="307"/>
      <c r="U14" s="307"/>
    </row>
    <row r="15" spans="1:224" s="308" customFormat="1" ht="30" customHeight="1">
      <c r="A15" s="920" t="s">
        <v>425</v>
      </c>
      <c r="B15" s="921"/>
      <c r="C15" s="922" t="s">
        <v>426</v>
      </c>
      <c r="D15" s="1239">
        <v>3793950.27</v>
      </c>
      <c r="E15" s="923">
        <v>0</v>
      </c>
      <c r="F15" s="924">
        <f t="shared" si="0"/>
        <v>3793950.27</v>
      </c>
      <c r="G15" s="305"/>
      <c r="H15" s="306"/>
      <c r="I15" s="297"/>
      <c r="J15" s="290"/>
      <c r="K15" s="309"/>
      <c r="L15" s="309"/>
      <c r="M15" s="309"/>
      <c r="N15" s="309"/>
      <c r="O15" s="306"/>
      <c r="P15" s="306"/>
      <c r="Q15" s="306"/>
      <c r="R15" s="307"/>
      <c r="S15" s="307"/>
      <c r="T15" s="307"/>
      <c r="U15" s="307"/>
    </row>
    <row r="16" spans="1:224" s="308" customFormat="1" ht="30" customHeight="1">
      <c r="A16" s="920" t="s">
        <v>427</v>
      </c>
      <c r="B16" s="921"/>
      <c r="C16" s="922" t="s">
        <v>428</v>
      </c>
      <c r="D16" s="1239">
        <v>654634.22</v>
      </c>
      <c r="E16" s="923">
        <v>0</v>
      </c>
      <c r="F16" s="924">
        <f t="shared" si="0"/>
        <v>654634.22</v>
      </c>
      <c r="G16" s="305"/>
      <c r="H16" s="306"/>
      <c r="I16" s="306"/>
      <c r="J16" s="306"/>
      <c r="K16" s="306"/>
      <c r="L16" s="306"/>
      <c r="M16" s="306"/>
      <c r="N16" s="306"/>
      <c r="O16" s="306"/>
      <c r="P16" s="306"/>
      <c r="Q16" s="306"/>
      <c r="R16" s="307"/>
      <c r="S16" s="307"/>
      <c r="T16" s="307"/>
      <c r="U16" s="307"/>
    </row>
    <row r="17" spans="1:21" s="308" customFormat="1" ht="30" customHeight="1">
      <c r="A17" s="920" t="s">
        <v>429</v>
      </c>
      <c r="B17" s="921"/>
      <c r="C17" s="922" t="s">
        <v>430</v>
      </c>
      <c r="D17" s="1239">
        <v>0</v>
      </c>
      <c r="E17" s="923">
        <v>0</v>
      </c>
      <c r="F17" s="924">
        <f t="shared" si="0"/>
        <v>0</v>
      </c>
      <c r="G17" s="305"/>
      <c r="H17" s="306"/>
      <c r="I17" s="306"/>
      <c r="J17" s="306"/>
      <c r="K17" s="306"/>
      <c r="L17" s="306"/>
      <c r="M17" s="306"/>
      <c r="N17" s="306"/>
      <c r="O17" s="306"/>
      <c r="P17" s="306"/>
      <c r="Q17" s="306"/>
      <c r="R17" s="307"/>
      <c r="S17" s="307"/>
      <c r="T17" s="307"/>
      <c r="U17" s="307"/>
    </row>
    <row r="18" spans="1:21" s="308" customFormat="1" ht="30" customHeight="1">
      <c r="A18" s="920" t="s">
        <v>431</v>
      </c>
      <c r="B18" s="921"/>
      <c r="C18" s="922" t="s">
        <v>432</v>
      </c>
      <c r="D18" s="1239">
        <v>99619.199999999997</v>
      </c>
      <c r="E18" s="923">
        <v>0</v>
      </c>
      <c r="F18" s="924">
        <f t="shared" si="0"/>
        <v>99619.199999999997</v>
      </c>
      <c r="G18" s="305"/>
      <c r="H18" s="306"/>
      <c r="I18" s="306"/>
      <c r="J18" s="306"/>
      <c r="K18" s="306"/>
      <c r="L18" s="306"/>
      <c r="M18" s="306"/>
      <c r="N18" s="306"/>
      <c r="O18" s="306"/>
      <c r="P18" s="306"/>
      <c r="Q18" s="306"/>
      <c r="R18" s="307"/>
      <c r="S18" s="307"/>
      <c r="T18" s="307"/>
      <c r="U18" s="307"/>
    </row>
    <row r="19" spans="1:21" s="308" customFormat="1" ht="30" customHeight="1">
      <c r="A19" s="920" t="s">
        <v>804</v>
      </c>
      <c r="B19" s="921"/>
      <c r="C19" s="922" t="s">
        <v>434</v>
      </c>
      <c r="D19" s="1239">
        <v>0</v>
      </c>
      <c r="E19" s="923">
        <v>0</v>
      </c>
      <c r="F19" s="924">
        <f t="shared" si="0"/>
        <v>0</v>
      </c>
      <c r="G19" s="305"/>
      <c r="H19" s="306"/>
      <c r="I19" s="306"/>
      <c r="J19" s="306"/>
      <c r="K19" s="306"/>
      <c r="L19" s="306"/>
      <c r="M19" s="306"/>
      <c r="N19" s="306"/>
      <c r="O19" s="306"/>
      <c r="P19" s="306"/>
      <c r="Q19" s="306"/>
      <c r="R19" s="307"/>
      <c r="S19" s="307"/>
      <c r="T19" s="307"/>
      <c r="U19" s="307"/>
    </row>
    <row r="20" spans="1:21" s="308" customFormat="1" ht="30" customHeight="1">
      <c r="A20" s="920" t="s">
        <v>435</v>
      </c>
      <c r="B20" s="921"/>
      <c r="C20" s="922">
        <v>52500</v>
      </c>
      <c r="D20" s="1239">
        <v>0</v>
      </c>
      <c r="E20" s="923">
        <v>0</v>
      </c>
      <c r="F20" s="924">
        <f>+D20+E20</f>
        <v>0</v>
      </c>
      <c r="G20" s="305"/>
      <c r="H20" s="306"/>
      <c r="I20" s="306"/>
      <c r="J20" s="306"/>
      <c r="K20" s="306"/>
      <c r="L20" s="306"/>
      <c r="M20" s="306"/>
      <c r="N20" s="306"/>
      <c r="O20" s="306"/>
      <c r="P20" s="306"/>
      <c r="Q20" s="306"/>
      <c r="R20" s="307"/>
      <c r="S20" s="307"/>
      <c r="T20" s="307"/>
      <c r="U20" s="307"/>
    </row>
    <row r="21" spans="1:21" s="308" customFormat="1" ht="30" customHeight="1">
      <c r="A21" s="920" t="s">
        <v>436</v>
      </c>
      <c r="B21" s="921"/>
      <c r="C21" s="922" t="s">
        <v>437</v>
      </c>
      <c r="D21" s="1239">
        <v>0</v>
      </c>
      <c r="E21" s="923">
        <v>0</v>
      </c>
      <c r="F21" s="924">
        <f t="shared" si="0"/>
        <v>0</v>
      </c>
      <c r="G21" s="305"/>
      <c r="H21" s="306"/>
      <c r="I21" s="306"/>
      <c r="J21" s="306"/>
      <c r="K21" s="306"/>
      <c r="L21" s="306"/>
      <c r="M21" s="306"/>
      <c r="N21" s="306"/>
      <c r="O21" s="306"/>
      <c r="P21" s="306"/>
      <c r="Q21" s="306"/>
      <c r="R21" s="307"/>
      <c r="S21" s="307"/>
      <c r="T21" s="307"/>
      <c r="U21" s="307"/>
    </row>
    <row r="22" spans="1:21" s="308" customFormat="1" ht="30" customHeight="1">
      <c r="A22" s="920" t="s">
        <v>438</v>
      </c>
      <c r="B22" s="921"/>
      <c r="C22" s="922" t="s">
        <v>439</v>
      </c>
      <c r="D22" s="1239">
        <v>0</v>
      </c>
      <c r="E22" s="923">
        <v>0</v>
      </c>
      <c r="F22" s="924">
        <f t="shared" si="0"/>
        <v>0</v>
      </c>
      <c r="G22" s="305"/>
      <c r="H22" s="306"/>
      <c r="I22" s="306"/>
      <c r="J22" s="306"/>
      <c r="K22" s="306"/>
      <c r="L22" s="306"/>
      <c r="M22" s="306"/>
      <c r="N22" s="306"/>
      <c r="O22" s="306"/>
      <c r="P22" s="306"/>
      <c r="Q22" s="306"/>
      <c r="R22" s="307"/>
      <c r="S22" s="307"/>
      <c r="T22" s="307"/>
      <c r="U22" s="307"/>
    </row>
    <row r="23" spans="1:21" s="308" customFormat="1" ht="30" customHeight="1">
      <c r="A23" s="920" t="s">
        <v>440</v>
      </c>
      <c r="B23" s="921"/>
      <c r="C23" s="922" t="s">
        <v>441</v>
      </c>
      <c r="D23" s="1239">
        <v>0</v>
      </c>
      <c r="E23" s="923">
        <v>0</v>
      </c>
      <c r="F23" s="924">
        <f t="shared" si="0"/>
        <v>0</v>
      </c>
      <c r="G23" s="305"/>
      <c r="H23" s="306"/>
      <c r="I23" s="306"/>
      <c r="J23" s="306"/>
      <c r="K23" s="306"/>
      <c r="L23" s="306"/>
      <c r="M23" s="306"/>
      <c r="N23" s="306"/>
      <c r="O23" s="306"/>
      <c r="P23" s="306"/>
      <c r="Q23" s="306"/>
      <c r="R23" s="307"/>
      <c r="S23" s="307"/>
      <c r="T23" s="307"/>
      <c r="U23" s="307"/>
    </row>
    <row r="24" spans="1:21" s="308" customFormat="1" ht="30" customHeight="1">
      <c r="A24" s="920" t="s">
        <v>442</v>
      </c>
      <c r="B24" s="921"/>
      <c r="C24" s="922" t="s">
        <v>443</v>
      </c>
      <c r="D24" s="1239">
        <v>0</v>
      </c>
      <c r="E24" s="923">
        <v>0</v>
      </c>
      <c r="F24" s="924">
        <f t="shared" si="0"/>
        <v>0</v>
      </c>
      <c r="G24" s="305"/>
      <c r="H24" s="306"/>
      <c r="I24" s="306"/>
      <c r="J24" s="306"/>
      <c r="K24" s="306"/>
      <c r="L24" s="306"/>
      <c r="M24" s="306"/>
      <c r="N24" s="306"/>
      <c r="O24" s="306"/>
      <c r="P24" s="306"/>
      <c r="Q24" s="306"/>
      <c r="R24" s="307"/>
      <c r="S24" s="307"/>
      <c r="T24" s="307"/>
      <c r="U24" s="307"/>
    </row>
    <row r="25" spans="1:21" s="308" customFormat="1" ht="30" customHeight="1">
      <c r="A25" s="920" t="s">
        <v>444</v>
      </c>
      <c r="B25" s="921"/>
      <c r="C25" s="922" t="s">
        <v>445</v>
      </c>
      <c r="D25" s="1239">
        <f>742808.46+343262.07</f>
        <v>1086070.53</v>
      </c>
      <c r="E25" s="923">
        <v>0</v>
      </c>
      <c r="F25" s="924">
        <f t="shared" si="0"/>
        <v>1086070.53</v>
      </c>
      <c r="G25" s="305"/>
      <c r="H25" s="306"/>
      <c r="I25" s="306"/>
      <c r="J25" s="306"/>
      <c r="K25" s="306"/>
      <c r="L25" s="306"/>
      <c r="M25" s="306"/>
      <c r="N25" s="306"/>
      <c r="O25" s="306"/>
      <c r="P25" s="306"/>
      <c r="Q25" s="306"/>
      <c r="R25" s="307"/>
      <c r="S25" s="307"/>
      <c r="T25" s="307"/>
      <c r="U25" s="307"/>
    </row>
    <row r="26" spans="1:21" s="308" customFormat="1" ht="30" customHeight="1">
      <c r="A26" s="920" t="s">
        <v>446</v>
      </c>
      <c r="B26" s="921"/>
      <c r="C26" s="922" t="s">
        <v>447</v>
      </c>
      <c r="D26" s="1239">
        <v>0</v>
      </c>
      <c r="E26" s="923">
        <v>0</v>
      </c>
      <c r="F26" s="924">
        <f t="shared" si="0"/>
        <v>0</v>
      </c>
      <c r="G26" s="305"/>
      <c r="H26" s="306"/>
      <c r="I26" s="306"/>
      <c r="J26" s="306"/>
      <c r="K26" s="306"/>
      <c r="L26" s="306"/>
      <c r="M26" s="306"/>
      <c r="N26" s="306"/>
      <c r="O26" s="306"/>
      <c r="P26" s="306"/>
      <c r="Q26" s="306"/>
      <c r="R26" s="307"/>
      <c r="S26" s="307"/>
      <c r="T26" s="307"/>
      <c r="U26" s="307"/>
    </row>
    <row r="27" spans="1:21" s="308" customFormat="1" ht="30" customHeight="1">
      <c r="A27" s="920" t="s">
        <v>448</v>
      </c>
      <c r="B27" s="921"/>
      <c r="C27" s="922" t="s">
        <v>449</v>
      </c>
      <c r="D27" s="1239">
        <v>0</v>
      </c>
      <c r="E27" s="923">
        <v>0</v>
      </c>
      <c r="F27" s="924">
        <f t="shared" si="0"/>
        <v>0</v>
      </c>
      <c r="G27" s="305"/>
      <c r="H27" s="306"/>
      <c r="I27" s="306"/>
      <c r="J27" s="306"/>
      <c r="K27" s="306"/>
      <c r="L27" s="306"/>
      <c r="M27" s="306"/>
      <c r="N27" s="306"/>
      <c r="O27" s="306"/>
      <c r="P27" s="306"/>
      <c r="Q27" s="306"/>
      <c r="R27" s="307"/>
      <c r="S27" s="307"/>
      <c r="T27" s="307"/>
      <c r="U27" s="307"/>
    </row>
    <row r="28" spans="1:21" s="308" customFormat="1" ht="30" customHeight="1">
      <c r="A28" s="920" t="s">
        <v>450</v>
      </c>
      <c r="B28" s="921"/>
      <c r="C28" s="922" t="s">
        <v>451</v>
      </c>
      <c r="D28" s="1239">
        <v>0</v>
      </c>
      <c r="E28" s="923">
        <v>0</v>
      </c>
      <c r="F28" s="924">
        <f t="shared" si="0"/>
        <v>0</v>
      </c>
      <c r="G28" s="305"/>
      <c r="H28" s="306"/>
      <c r="I28" s="306"/>
      <c r="J28" s="306"/>
      <c r="K28" s="306"/>
      <c r="L28" s="306"/>
      <c r="M28" s="306"/>
      <c r="N28" s="306"/>
      <c r="O28" s="306"/>
      <c r="P28" s="306"/>
      <c r="Q28" s="306"/>
      <c r="R28" s="307"/>
      <c r="S28" s="307"/>
      <c r="T28" s="307"/>
      <c r="U28" s="307"/>
    </row>
    <row r="29" spans="1:21" s="308" customFormat="1" ht="30" customHeight="1">
      <c r="A29" s="920" t="s">
        <v>452</v>
      </c>
      <c r="B29" s="921"/>
      <c r="C29" s="922" t="s">
        <v>453</v>
      </c>
      <c r="D29" s="1239">
        <v>0</v>
      </c>
      <c r="E29" s="923">
        <v>0</v>
      </c>
      <c r="F29" s="924">
        <f t="shared" si="0"/>
        <v>0</v>
      </c>
      <c r="G29" s="305"/>
      <c r="H29" s="306"/>
      <c r="I29" s="306"/>
      <c r="J29" s="306"/>
      <c r="K29" s="306"/>
      <c r="L29" s="306"/>
      <c r="M29" s="306"/>
      <c r="N29" s="306"/>
      <c r="O29" s="306"/>
      <c r="P29" s="306"/>
      <c r="Q29" s="306"/>
      <c r="R29" s="307"/>
      <c r="S29" s="307"/>
      <c r="T29" s="307"/>
      <c r="U29" s="307"/>
    </row>
    <row r="30" spans="1:21" s="308" customFormat="1" ht="30" customHeight="1">
      <c r="A30" s="920" t="s">
        <v>454</v>
      </c>
      <c r="B30" s="921"/>
      <c r="C30" s="922" t="s">
        <v>455</v>
      </c>
      <c r="D30" s="1239">
        <v>467853.46</v>
      </c>
      <c r="E30" s="923">
        <v>0</v>
      </c>
      <c r="F30" s="924">
        <f t="shared" si="0"/>
        <v>467853.46</v>
      </c>
      <c r="G30" s="305"/>
      <c r="H30" s="306"/>
      <c r="I30" s="306"/>
      <c r="J30" s="306"/>
      <c r="K30" s="306"/>
      <c r="L30" s="306"/>
      <c r="M30" s="306"/>
      <c r="N30" s="306"/>
      <c r="O30" s="306"/>
      <c r="P30" s="306"/>
      <c r="Q30" s="306"/>
      <c r="R30" s="307"/>
      <c r="S30" s="307"/>
      <c r="T30" s="307"/>
      <c r="U30" s="307"/>
    </row>
    <row r="31" spans="1:21" s="308" customFormat="1" ht="30" customHeight="1">
      <c r="A31" s="920" t="s">
        <v>456</v>
      </c>
      <c r="B31" s="921"/>
      <c r="C31" s="922" t="s">
        <v>457</v>
      </c>
      <c r="D31" s="1239">
        <v>1450</v>
      </c>
      <c r="E31" s="923">
        <v>0</v>
      </c>
      <c r="F31" s="924">
        <f t="shared" si="0"/>
        <v>1450</v>
      </c>
      <c r="G31" s="305"/>
      <c r="H31" s="306"/>
      <c r="I31" s="306"/>
      <c r="J31" s="306"/>
      <c r="K31" s="306"/>
      <c r="L31" s="306"/>
      <c r="M31" s="306"/>
      <c r="N31" s="306"/>
      <c r="O31" s="306"/>
      <c r="P31" s="306"/>
      <c r="Q31" s="306"/>
      <c r="R31" s="307"/>
      <c r="S31" s="307"/>
      <c r="T31" s="307"/>
      <c r="U31" s="307"/>
    </row>
    <row r="32" spans="1:21" s="308" customFormat="1" ht="30" customHeight="1">
      <c r="A32" s="920" t="s">
        <v>458</v>
      </c>
      <c r="B32" s="921"/>
      <c r="C32" s="922" t="s">
        <v>459</v>
      </c>
      <c r="D32" s="1239">
        <v>0</v>
      </c>
      <c r="E32" s="923">
        <v>0</v>
      </c>
      <c r="F32" s="924">
        <f>+D32+E32</f>
        <v>0</v>
      </c>
      <c r="G32" s="305"/>
      <c r="H32" s="306"/>
      <c r="I32" s="306"/>
      <c r="J32" s="306"/>
      <c r="K32" s="306"/>
      <c r="L32" s="306"/>
      <c r="M32" s="306"/>
      <c r="N32" s="306"/>
      <c r="O32" s="306"/>
      <c r="P32" s="306"/>
      <c r="Q32" s="306"/>
      <c r="R32" s="307"/>
      <c r="S32" s="307"/>
      <c r="T32" s="307"/>
      <c r="U32" s="307"/>
    </row>
    <row r="33" spans="1:21" s="308" customFormat="1" ht="30" customHeight="1">
      <c r="A33" s="920" t="s">
        <v>460</v>
      </c>
      <c r="B33" s="921"/>
      <c r="C33" s="922" t="s">
        <v>461</v>
      </c>
      <c r="D33" s="1239">
        <v>0</v>
      </c>
      <c r="E33" s="923">
        <v>0</v>
      </c>
      <c r="F33" s="924">
        <f t="shared" si="0"/>
        <v>0</v>
      </c>
      <c r="G33" s="305"/>
      <c r="H33" s="306"/>
      <c r="I33" s="306"/>
      <c r="J33" s="306"/>
      <c r="K33" s="306"/>
      <c r="L33" s="306"/>
      <c r="M33" s="306"/>
      <c r="N33" s="306"/>
      <c r="O33" s="306"/>
      <c r="P33" s="306"/>
      <c r="Q33" s="306"/>
      <c r="R33" s="307"/>
      <c r="S33" s="307"/>
      <c r="T33" s="307"/>
      <c r="U33" s="307"/>
    </row>
    <row r="34" spans="1:21" s="308" customFormat="1" ht="30" customHeight="1">
      <c r="A34" s="920" t="s">
        <v>462</v>
      </c>
      <c r="B34" s="921"/>
      <c r="C34" s="922" t="s">
        <v>463</v>
      </c>
      <c r="D34" s="1239">
        <v>0</v>
      </c>
      <c r="E34" s="923">
        <v>0</v>
      </c>
      <c r="F34" s="924">
        <f t="shared" si="0"/>
        <v>0</v>
      </c>
      <c r="G34" s="305"/>
      <c r="H34" s="306"/>
      <c r="I34" s="306"/>
      <c r="J34" s="306"/>
      <c r="K34" s="306"/>
      <c r="L34" s="306"/>
      <c r="M34" s="306"/>
      <c r="N34" s="306"/>
      <c r="O34" s="306"/>
      <c r="P34" s="306"/>
      <c r="Q34" s="306"/>
      <c r="R34" s="307"/>
      <c r="S34" s="307"/>
      <c r="T34" s="307"/>
      <c r="U34" s="307"/>
    </row>
    <row r="35" spans="1:21" s="308" customFormat="1" ht="30" customHeight="1">
      <c r="A35" s="920" t="s">
        <v>464</v>
      </c>
      <c r="B35" s="921"/>
      <c r="C35" s="922">
        <v>56001</v>
      </c>
      <c r="D35" s="1239">
        <v>1023249</v>
      </c>
      <c r="E35" s="923">
        <v>0</v>
      </c>
      <c r="F35" s="924">
        <f>+D35+E35</f>
        <v>1023249</v>
      </c>
      <c r="G35" s="305"/>
      <c r="H35" s="306"/>
      <c r="I35" s="306"/>
      <c r="J35" s="306"/>
      <c r="K35" s="306"/>
      <c r="L35" s="306"/>
      <c r="M35" s="306"/>
      <c r="N35" s="306"/>
      <c r="O35" s="306"/>
      <c r="P35" s="306"/>
      <c r="Q35" s="306"/>
      <c r="R35" s="307"/>
      <c r="S35" s="307"/>
      <c r="T35" s="307"/>
      <c r="U35" s="307"/>
    </row>
    <row r="36" spans="1:21" s="308" customFormat="1" ht="30" customHeight="1">
      <c r="A36" s="920" t="s">
        <v>465</v>
      </c>
      <c r="B36" s="921"/>
      <c r="C36" s="922">
        <v>56002</v>
      </c>
      <c r="D36" s="1239">
        <v>0</v>
      </c>
      <c r="E36" s="923">
        <v>0</v>
      </c>
      <c r="F36" s="924">
        <f>+D36+E36</f>
        <v>0</v>
      </c>
      <c r="G36" s="305"/>
      <c r="H36" s="306"/>
      <c r="I36" s="306"/>
      <c r="J36" s="306"/>
      <c r="K36" s="306"/>
      <c r="L36" s="306"/>
      <c r="M36" s="306"/>
      <c r="N36" s="306"/>
      <c r="O36" s="306"/>
      <c r="P36" s="306"/>
      <c r="Q36" s="306"/>
      <c r="R36" s="307"/>
      <c r="S36" s="307"/>
      <c r="T36" s="307"/>
      <c r="U36" s="307"/>
    </row>
    <row r="37" spans="1:21" s="308" customFormat="1" ht="30" customHeight="1">
      <c r="A37" s="920" t="s">
        <v>466</v>
      </c>
      <c r="B37" s="921"/>
      <c r="C37" s="922">
        <v>56003</v>
      </c>
      <c r="D37" s="1239">
        <v>0</v>
      </c>
      <c r="E37" s="923">
        <v>0</v>
      </c>
      <c r="F37" s="924">
        <f>+D37+E37</f>
        <v>0</v>
      </c>
      <c r="G37" s="305"/>
      <c r="H37" s="306"/>
      <c r="I37" s="306"/>
      <c r="J37" s="306"/>
      <c r="K37" s="306"/>
      <c r="L37" s="306"/>
      <c r="M37" s="306"/>
      <c r="N37" s="306"/>
      <c r="O37" s="306"/>
      <c r="P37" s="306"/>
      <c r="Q37" s="306"/>
      <c r="R37" s="307"/>
      <c r="S37" s="307"/>
      <c r="T37" s="307"/>
      <c r="U37" s="307"/>
    </row>
    <row r="38" spans="1:21" s="308" customFormat="1" ht="30" customHeight="1">
      <c r="A38" s="920" t="s">
        <v>467</v>
      </c>
      <c r="B38" s="921"/>
      <c r="C38" s="922" t="s">
        <v>468</v>
      </c>
      <c r="D38" s="1239">
        <v>0</v>
      </c>
      <c r="E38" s="923">
        <v>0</v>
      </c>
      <c r="F38" s="924">
        <f>+D38+E38</f>
        <v>0</v>
      </c>
      <c r="G38" s="305"/>
      <c r="H38" s="306"/>
      <c r="I38" s="306"/>
      <c r="J38" s="306"/>
      <c r="K38" s="306"/>
      <c r="L38" s="306"/>
      <c r="M38" s="306"/>
      <c r="N38" s="306"/>
      <c r="O38" s="306"/>
      <c r="P38" s="306"/>
      <c r="Q38" s="306"/>
      <c r="R38" s="307"/>
      <c r="S38" s="307"/>
      <c r="T38" s="307"/>
      <c r="U38" s="307"/>
    </row>
    <row r="39" spans="1:21" s="308" customFormat="1" ht="30" customHeight="1">
      <c r="A39" s="920" t="s">
        <v>469</v>
      </c>
      <c r="B39" s="921"/>
      <c r="C39" s="922" t="s">
        <v>470</v>
      </c>
      <c r="D39" s="1239">
        <v>0</v>
      </c>
      <c r="E39" s="923">
        <v>0</v>
      </c>
      <c r="F39" s="924">
        <f t="shared" si="0"/>
        <v>0</v>
      </c>
      <c r="G39" s="305"/>
      <c r="H39" s="306"/>
      <c r="I39" s="306"/>
      <c r="J39" s="306"/>
      <c r="K39" s="306"/>
      <c r="L39" s="306"/>
      <c r="M39" s="306"/>
      <c r="N39" s="306"/>
      <c r="O39" s="306"/>
      <c r="P39" s="306"/>
      <c r="Q39" s="306"/>
      <c r="R39" s="307"/>
      <c r="S39" s="307"/>
      <c r="T39" s="307"/>
      <c r="U39" s="307"/>
    </row>
    <row r="40" spans="1:21" s="308" customFormat="1" ht="30" customHeight="1">
      <c r="A40" s="920" t="s">
        <v>471</v>
      </c>
      <c r="B40" s="921"/>
      <c r="C40" s="922" t="s">
        <v>472</v>
      </c>
      <c r="D40" s="1239">
        <v>32510.2</v>
      </c>
      <c r="E40" s="923">
        <v>0</v>
      </c>
      <c r="F40" s="924">
        <f t="shared" si="0"/>
        <v>32510.2</v>
      </c>
      <c r="G40" s="305"/>
      <c r="H40" s="306"/>
      <c r="I40" s="306"/>
      <c r="J40" s="306"/>
      <c r="K40" s="306"/>
      <c r="L40" s="306"/>
      <c r="M40" s="306"/>
      <c r="N40" s="306"/>
      <c r="O40" s="306"/>
      <c r="P40" s="306"/>
      <c r="Q40" s="306"/>
      <c r="R40" s="307"/>
      <c r="S40" s="307"/>
      <c r="T40" s="307"/>
      <c r="U40" s="307"/>
    </row>
    <row r="41" spans="1:21" s="308" customFormat="1" ht="30" customHeight="1">
      <c r="A41" s="920" t="s">
        <v>473</v>
      </c>
      <c r="B41" s="921"/>
      <c r="C41" s="922" t="s">
        <v>474</v>
      </c>
      <c r="D41" s="1239">
        <v>42714.19</v>
      </c>
      <c r="E41" s="923">
        <v>0</v>
      </c>
      <c r="F41" s="924">
        <f t="shared" si="0"/>
        <v>42714.19</v>
      </c>
      <c r="G41" s="305"/>
      <c r="H41" s="306"/>
      <c r="I41" s="306"/>
      <c r="J41" s="306"/>
      <c r="K41" s="306"/>
      <c r="L41" s="306"/>
      <c r="M41" s="306"/>
      <c r="N41" s="306"/>
      <c r="O41" s="306"/>
      <c r="P41" s="306"/>
      <c r="Q41" s="306"/>
      <c r="R41" s="307"/>
      <c r="S41" s="307"/>
      <c r="T41" s="307"/>
      <c r="U41" s="307"/>
    </row>
    <row r="42" spans="1:21" s="308" customFormat="1" ht="30" customHeight="1">
      <c r="A42" s="920" t="s">
        <v>475</v>
      </c>
      <c r="B42" s="921"/>
      <c r="C42" s="922" t="s">
        <v>476</v>
      </c>
      <c r="D42" s="1239">
        <v>0</v>
      </c>
      <c r="E42" s="923">
        <v>0</v>
      </c>
      <c r="F42" s="924">
        <f t="shared" si="0"/>
        <v>0</v>
      </c>
      <c r="G42" s="305"/>
      <c r="H42" s="306"/>
      <c r="I42" s="306"/>
      <c r="J42" s="306"/>
      <c r="K42" s="306"/>
      <c r="L42" s="306"/>
      <c r="M42" s="306"/>
      <c r="N42" s="306"/>
      <c r="O42" s="306"/>
      <c r="P42" s="306"/>
      <c r="Q42" s="306"/>
      <c r="R42" s="307"/>
      <c r="S42" s="307"/>
      <c r="T42" s="307"/>
      <c r="U42" s="307"/>
    </row>
    <row r="43" spans="1:21" s="308" customFormat="1" ht="30" customHeight="1">
      <c r="A43" s="920" t="s">
        <v>477</v>
      </c>
      <c r="B43" s="921"/>
      <c r="C43" s="922" t="s">
        <v>478</v>
      </c>
      <c r="D43" s="1239">
        <v>0</v>
      </c>
      <c r="E43" s="923">
        <v>0</v>
      </c>
      <c r="F43" s="924">
        <f t="shared" si="0"/>
        <v>0</v>
      </c>
      <c r="G43" s="305"/>
      <c r="H43" s="306"/>
      <c r="I43" s="306"/>
      <c r="J43" s="306"/>
      <c r="K43" s="306"/>
      <c r="L43" s="306"/>
      <c r="M43" s="306"/>
      <c r="N43" s="306"/>
      <c r="O43" s="306"/>
      <c r="P43" s="306"/>
      <c r="Q43" s="306"/>
      <c r="R43" s="307"/>
      <c r="S43" s="307"/>
      <c r="T43" s="307"/>
      <c r="U43" s="307"/>
    </row>
    <row r="44" spans="1:21" s="308" customFormat="1" ht="30" customHeight="1">
      <c r="A44" s="920" t="s">
        <v>479</v>
      </c>
      <c r="B44" s="921"/>
      <c r="C44" s="922" t="s">
        <v>480</v>
      </c>
      <c r="D44" s="1239">
        <v>0</v>
      </c>
      <c r="E44" s="923">
        <v>0</v>
      </c>
      <c r="F44" s="924">
        <f t="shared" si="0"/>
        <v>0</v>
      </c>
      <c r="G44" s="305"/>
      <c r="H44" s="306"/>
      <c r="I44" s="306"/>
      <c r="J44" s="306"/>
      <c r="K44" s="306"/>
      <c r="L44" s="306"/>
      <c r="M44" s="306"/>
      <c r="N44" s="306"/>
      <c r="O44" s="306"/>
      <c r="P44" s="306"/>
      <c r="Q44" s="306"/>
      <c r="R44" s="307"/>
      <c r="S44" s="307"/>
      <c r="T44" s="307"/>
      <c r="U44" s="307"/>
    </row>
    <row r="45" spans="1:21" s="308" customFormat="1" ht="30" customHeight="1">
      <c r="A45" s="920" t="s">
        <v>481</v>
      </c>
      <c r="B45" s="921"/>
      <c r="C45" s="922" t="s">
        <v>482</v>
      </c>
      <c r="D45" s="1239">
        <v>0</v>
      </c>
      <c r="E45" s="923">
        <v>0</v>
      </c>
      <c r="F45" s="924">
        <f t="shared" si="0"/>
        <v>0</v>
      </c>
      <c r="G45" s="305"/>
      <c r="H45" s="306"/>
      <c r="I45" s="306"/>
      <c r="J45" s="306"/>
      <c r="K45" s="306"/>
      <c r="L45" s="306"/>
      <c r="M45" s="306"/>
      <c r="N45" s="306"/>
      <c r="O45" s="306"/>
      <c r="P45" s="306"/>
      <c r="Q45" s="306"/>
      <c r="R45" s="307"/>
      <c r="S45" s="307"/>
      <c r="T45" s="307"/>
      <c r="U45" s="307"/>
    </row>
    <row r="46" spans="1:21" s="308" customFormat="1" ht="30" customHeight="1">
      <c r="A46" s="920" t="s">
        <v>483</v>
      </c>
      <c r="B46" s="921"/>
      <c r="C46" s="922" t="s">
        <v>484</v>
      </c>
      <c r="D46" s="1239">
        <v>0</v>
      </c>
      <c r="E46" s="923">
        <v>0</v>
      </c>
      <c r="F46" s="924">
        <f t="shared" si="0"/>
        <v>0</v>
      </c>
      <c r="G46" s="305"/>
      <c r="H46" s="306"/>
      <c r="I46" s="306"/>
      <c r="J46" s="306"/>
      <c r="K46" s="306"/>
      <c r="L46" s="306"/>
      <c r="M46" s="306"/>
      <c r="N46" s="306"/>
      <c r="O46" s="306"/>
      <c r="P46" s="306"/>
      <c r="Q46" s="306"/>
      <c r="R46" s="307"/>
      <c r="S46" s="307"/>
      <c r="T46" s="307"/>
      <c r="U46" s="307"/>
    </row>
    <row r="47" spans="1:21" s="308" customFormat="1" ht="30" customHeight="1">
      <c r="A47" s="920" t="s">
        <v>485</v>
      </c>
      <c r="B47" s="921"/>
      <c r="C47" s="922" t="s">
        <v>486</v>
      </c>
      <c r="D47" s="1239">
        <v>0</v>
      </c>
      <c r="E47" s="923">
        <v>0</v>
      </c>
      <c r="F47" s="924">
        <f t="shared" si="0"/>
        <v>0</v>
      </c>
      <c r="G47" s="305"/>
      <c r="H47" s="306"/>
      <c r="I47" s="306"/>
      <c r="J47" s="306"/>
      <c r="K47" s="306"/>
      <c r="L47" s="306"/>
      <c r="M47" s="306"/>
      <c r="N47" s="306"/>
      <c r="O47" s="306"/>
      <c r="P47" s="306"/>
      <c r="Q47" s="306"/>
      <c r="R47" s="307"/>
      <c r="S47" s="307"/>
      <c r="T47" s="307"/>
      <c r="U47" s="307"/>
    </row>
    <row r="48" spans="1:21" s="308" customFormat="1" ht="30" customHeight="1">
      <c r="A48" s="920" t="s">
        <v>487</v>
      </c>
      <c r="B48" s="921"/>
      <c r="C48" s="922" t="s">
        <v>488</v>
      </c>
      <c r="D48" s="1239">
        <f>92290.77+394622.66</f>
        <v>486913.43</v>
      </c>
      <c r="E48" s="923">
        <v>0</v>
      </c>
      <c r="F48" s="924">
        <f t="shared" si="0"/>
        <v>486913.43</v>
      </c>
      <c r="G48" s="305"/>
      <c r="H48" s="306"/>
      <c r="I48" s="306"/>
      <c r="J48" s="306"/>
      <c r="K48" s="306"/>
      <c r="L48" s="306"/>
      <c r="M48" s="306"/>
      <c r="N48" s="306"/>
      <c r="O48" s="306"/>
      <c r="P48" s="306"/>
      <c r="Q48" s="306"/>
      <c r="R48" s="307"/>
      <c r="S48" s="307"/>
      <c r="T48" s="307"/>
      <c r="U48" s="307"/>
    </row>
    <row r="49" spans="1:21" s="308" customFormat="1" ht="30" customHeight="1">
      <c r="A49" s="920" t="s">
        <v>489</v>
      </c>
      <c r="B49" s="921"/>
      <c r="C49" s="922" t="s">
        <v>490</v>
      </c>
      <c r="D49" s="1239">
        <v>609795.1</v>
      </c>
      <c r="E49" s="923">
        <v>0</v>
      </c>
      <c r="F49" s="924">
        <f t="shared" si="0"/>
        <v>609795.1</v>
      </c>
      <c r="G49" s="305"/>
      <c r="H49" s="306"/>
      <c r="I49" s="306"/>
      <c r="J49" s="306"/>
      <c r="K49" s="306"/>
      <c r="L49" s="306"/>
      <c r="M49" s="306"/>
      <c r="N49" s="306"/>
      <c r="O49" s="306"/>
      <c r="P49" s="306"/>
      <c r="Q49" s="306"/>
      <c r="R49" s="307"/>
      <c r="S49" s="307"/>
      <c r="T49" s="307"/>
      <c r="U49" s="307"/>
    </row>
    <row r="50" spans="1:21" s="308" customFormat="1" ht="30" customHeight="1">
      <c r="A50" s="920" t="s">
        <v>491</v>
      </c>
      <c r="B50" s="921"/>
      <c r="C50" s="922" t="s">
        <v>492</v>
      </c>
      <c r="D50" s="1239">
        <v>0</v>
      </c>
      <c r="E50" s="923">
        <v>0</v>
      </c>
      <c r="F50" s="924">
        <f t="shared" si="0"/>
        <v>0</v>
      </c>
      <c r="G50" s="305"/>
      <c r="H50" s="306"/>
      <c r="I50" s="306"/>
      <c r="J50" s="306"/>
      <c r="K50" s="306"/>
      <c r="L50" s="306"/>
      <c r="M50" s="306"/>
      <c r="N50" s="306"/>
      <c r="O50" s="306"/>
      <c r="P50" s="306"/>
      <c r="Q50" s="306"/>
      <c r="R50" s="307"/>
      <c r="S50" s="307"/>
      <c r="T50" s="307"/>
      <c r="U50" s="307"/>
    </row>
    <row r="51" spans="1:21" s="308" customFormat="1" ht="30" customHeight="1">
      <c r="A51" s="920" t="s">
        <v>493</v>
      </c>
      <c r="B51" s="921"/>
      <c r="C51" s="922" t="s">
        <v>494</v>
      </c>
      <c r="D51" s="1239">
        <v>0</v>
      </c>
      <c r="E51" s="923">
        <v>0</v>
      </c>
      <c r="F51" s="924">
        <f t="shared" si="0"/>
        <v>0</v>
      </c>
      <c r="G51" s="305"/>
      <c r="H51" s="306"/>
      <c r="I51" s="306"/>
      <c r="J51" s="306"/>
      <c r="K51" s="306"/>
      <c r="L51" s="306"/>
      <c r="M51" s="306"/>
      <c r="N51" s="306"/>
      <c r="O51" s="306"/>
      <c r="P51" s="306"/>
      <c r="Q51" s="306"/>
      <c r="R51" s="307"/>
      <c r="S51" s="307"/>
      <c r="T51" s="307"/>
      <c r="U51" s="307"/>
    </row>
    <row r="52" spans="1:21" s="308" customFormat="1" ht="30" customHeight="1">
      <c r="A52" s="920" t="s">
        <v>495</v>
      </c>
      <c r="B52" s="921"/>
      <c r="C52" s="922" t="s">
        <v>496</v>
      </c>
      <c r="D52" s="1239">
        <v>0</v>
      </c>
      <c r="E52" s="923">
        <v>0</v>
      </c>
      <c r="F52" s="924">
        <f t="shared" si="0"/>
        <v>0</v>
      </c>
      <c r="G52" s="305"/>
      <c r="H52" s="306"/>
      <c r="I52" s="306"/>
      <c r="J52" s="306"/>
      <c r="K52" s="306"/>
      <c r="L52" s="306"/>
      <c r="M52" s="306"/>
      <c r="N52" s="306"/>
      <c r="O52" s="306"/>
      <c r="P52" s="306"/>
      <c r="Q52" s="306"/>
      <c r="R52" s="307"/>
      <c r="S52" s="307"/>
      <c r="T52" s="307"/>
      <c r="U52" s="307"/>
    </row>
    <row r="53" spans="1:21" s="308" customFormat="1" ht="30" customHeight="1">
      <c r="A53" s="920" t="s">
        <v>640</v>
      </c>
      <c r="B53" s="921"/>
      <c r="C53" s="922" t="s">
        <v>641</v>
      </c>
      <c r="D53" s="1239">
        <v>0</v>
      </c>
      <c r="E53" s="923">
        <v>0</v>
      </c>
      <c r="F53" s="924">
        <f>+D53+E53</f>
        <v>0</v>
      </c>
      <c r="G53" s="305"/>
      <c r="H53" s="306"/>
      <c r="I53" s="306"/>
      <c r="J53" s="306"/>
      <c r="K53" s="306"/>
      <c r="L53" s="306"/>
      <c r="M53" s="306"/>
      <c r="N53" s="306"/>
      <c r="O53" s="306"/>
      <c r="P53" s="306"/>
      <c r="Q53" s="306"/>
      <c r="R53" s="307"/>
      <c r="S53" s="307"/>
      <c r="T53" s="307"/>
      <c r="U53" s="307"/>
    </row>
    <row r="54" spans="1:21" s="308" customFormat="1" ht="30" customHeight="1">
      <c r="A54" s="920" t="s">
        <v>498</v>
      </c>
      <c r="B54" s="921"/>
      <c r="C54" s="922" t="s">
        <v>499</v>
      </c>
      <c r="D54" s="1239">
        <f>1182671.21+19211.81+31661.07</f>
        <v>1233544.0900000001</v>
      </c>
      <c r="E54" s="923">
        <v>0</v>
      </c>
      <c r="F54" s="924">
        <f t="shared" si="0"/>
        <v>1233544.0900000001</v>
      </c>
      <c r="G54" s="305"/>
      <c r="H54" s="306"/>
      <c r="I54" s="306"/>
      <c r="J54" s="306"/>
      <c r="K54" s="306"/>
      <c r="L54" s="306"/>
      <c r="M54" s="306"/>
      <c r="N54" s="306"/>
      <c r="O54" s="306"/>
      <c r="P54" s="306"/>
      <c r="Q54" s="306"/>
      <c r="R54" s="307"/>
      <c r="S54" s="307"/>
      <c r="T54" s="307"/>
      <c r="U54" s="307"/>
    </row>
    <row r="55" spans="1:21" s="308" customFormat="1" ht="30" customHeight="1">
      <c r="A55" s="920" t="s">
        <v>500</v>
      </c>
      <c r="B55" s="921"/>
      <c r="C55" s="922" t="s">
        <v>501</v>
      </c>
      <c r="D55" s="1239">
        <v>19538</v>
      </c>
      <c r="E55" s="923">
        <v>0</v>
      </c>
      <c r="F55" s="924">
        <f t="shared" si="0"/>
        <v>19538</v>
      </c>
      <c r="G55" s="305"/>
      <c r="H55" s="306"/>
      <c r="I55" s="306"/>
      <c r="J55" s="306"/>
      <c r="K55" s="306"/>
      <c r="L55" s="306"/>
      <c r="M55" s="306"/>
      <c r="N55" s="306"/>
      <c r="O55" s="306"/>
      <c r="P55" s="306"/>
      <c r="Q55" s="306"/>
      <c r="R55" s="307"/>
      <c r="S55" s="307"/>
      <c r="T55" s="307"/>
      <c r="U55" s="307"/>
    </row>
    <row r="56" spans="1:21" s="308" customFormat="1" ht="30" customHeight="1" thickBot="1">
      <c r="A56" s="925" t="s">
        <v>502</v>
      </c>
      <c r="B56" s="926"/>
      <c r="C56" s="927" t="s">
        <v>503</v>
      </c>
      <c r="D56" s="1239">
        <v>57596.88</v>
      </c>
      <c r="E56" s="928">
        <v>0</v>
      </c>
      <c r="F56" s="929">
        <f t="shared" si="0"/>
        <v>57596.88</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0"/>
      <c r="D57" s="346">
        <f>SUM(D10:D56)</f>
        <v>10675046.360000001</v>
      </c>
      <c r="E57" s="346">
        <f>SUM(E10:E56)</f>
        <v>0</v>
      </c>
      <c r="F57" s="346">
        <f t="shared" si="0"/>
        <v>10675046.360000001</v>
      </c>
      <c r="G57" s="300"/>
      <c r="H57" s="301"/>
      <c r="I57" s="301"/>
      <c r="J57" s="301"/>
      <c r="K57" s="301"/>
      <c r="L57" s="301"/>
      <c r="M57" s="301"/>
      <c r="N57" s="301"/>
      <c r="O57" s="301"/>
      <c r="P57" s="301"/>
      <c r="Q57" s="301"/>
      <c r="R57" s="302"/>
      <c r="S57" s="302"/>
      <c r="T57" s="302"/>
      <c r="U57" s="302"/>
    </row>
    <row r="58" spans="1:21" s="308" customFormat="1" ht="30" customHeight="1">
      <c r="A58" s="310"/>
      <c r="B58" s="311"/>
      <c r="C58" s="701"/>
      <c r="D58" s="702"/>
      <c r="E58" s="702"/>
      <c r="F58" s="702"/>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76" t="str">
        <f>C7</f>
        <v>2022-23</v>
      </c>
      <c r="D61" s="1077"/>
      <c r="E61" s="1077"/>
      <c r="F61" s="1078"/>
      <c r="G61" s="305"/>
      <c r="H61" s="306"/>
      <c r="I61" s="306"/>
      <c r="J61" s="306"/>
      <c r="K61" s="306"/>
      <c r="L61" s="306"/>
      <c r="M61" s="306"/>
      <c r="N61" s="306"/>
      <c r="O61" s="306"/>
      <c r="P61" s="306"/>
      <c r="Q61" s="306"/>
      <c r="R61" s="307"/>
      <c r="S61" s="307"/>
      <c r="T61" s="307"/>
      <c r="U61" s="307"/>
    </row>
    <row r="62" spans="1:21" s="308" customFormat="1" ht="111.6" customHeight="1" thickBot="1">
      <c r="A62" s="1208" t="s">
        <v>636</v>
      </c>
      <c r="B62" s="1209"/>
      <c r="C62" s="292" t="s">
        <v>275</v>
      </c>
      <c r="D62" s="293" t="s">
        <v>637</v>
      </c>
      <c r="E62" s="698"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0" t="s">
        <v>164</v>
      </c>
      <c r="B63" s="1081"/>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79">
        <v>37338.379999999997</v>
      </c>
      <c r="E64" s="579">
        <v>0</v>
      </c>
      <c r="F64" s="304">
        <f t="shared" si="0"/>
        <v>37338.379999999997</v>
      </c>
      <c r="G64" s="305"/>
      <c r="H64" s="306"/>
      <c r="I64" s="306"/>
      <c r="J64" s="306"/>
      <c r="K64" s="306"/>
      <c r="L64" s="306"/>
      <c r="M64" s="306"/>
      <c r="N64" s="306"/>
      <c r="O64" s="306"/>
      <c r="P64" s="306"/>
      <c r="Q64" s="306"/>
      <c r="R64" s="307"/>
      <c r="S64" s="307"/>
      <c r="T64" s="307"/>
      <c r="U64" s="307"/>
    </row>
    <row r="65" spans="1:21" s="308" customFormat="1" ht="30" customHeight="1">
      <c r="A65" s="920" t="s">
        <v>508</v>
      </c>
      <c r="B65" s="921"/>
      <c r="C65" s="930" t="s">
        <v>509</v>
      </c>
      <c r="D65" s="1239">
        <v>75</v>
      </c>
      <c r="E65" s="923">
        <v>0</v>
      </c>
      <c r="F65" s="924">
        <f t="shared" si="0"/>
        <v>75</v>
      </c>
      <c r="G65" s="305"/>
      <c r="H65" s="306"/>
      <c r="I65" s="306"/>
      <c r="J65" s="306"/>
      <c r="K65" s="306"/>
      <c r="L65" s="306"/>
      <c r="M65" s="306"/>
      <c r="N65" s="306"/>
      <c r="O65" s="306"/>
      <c r="P65" s="306"/>
      <c r="Q65" s="306"/>
      <c r="R65" s="307"/>
      <c r="S65" s="307"/>
      <c r="T65" s="307"/>
      <c r="U65" s="307"/>
    </row>
    <row r="66" spans="1:21" s="308" customFormat="1" ht="30" customHeight="1">
      <c r="A66" s="920" t="s">
        <v>510</v>
      </c>
      <c r="B66" s="921"/>
      <c r="C66" s="930" t="s">
        <v>511</v>
      </c>
      <c r="D66" s="1239">
        <v>175399</v>
      </c>
      <c r="E66" s="923">
        <v>0</v>
      </c>
      <c r="F66" s="924">
        <f t="shared" si="0"/>
        <v>175399</v>
      </c>
      <c r="G66" s="305"/>
      <c r="H66" s="306"/>
      <c r="I66" s="306"/>
      <c r="J66" s="306"/>
      <c r="K66" s="306"/>
      <c r="L66" s="306"/>
      <c r="M66" s="306"/>
      <c r="N66" s="306"/>
      <c r="O66" s="306"/>
      <c r="P66" s="306"/>
      <c r="Q66" s="306"/>
      <c r="R66" s="307"/>
      <c r="S66" s="307"/>
      <c r="T66" s="307"/>
      <c r="U66" s="307"/>
    </row>
    <row r="67" spans="1:21" s="308" customFormat="1" ht="30" customHeight="1">
      <c r="A67" s="920" t="s">
        <v>512</v>
      </c>
      <c r="B67" s="921"/>
      <c r="C67" s="930" t="s">
        <v>513</v>
      </c>
      <c r="D67" s="1239">
        <v>16248</v>
      </c>
      <c r="E67" s="923">
        <v>0</v>
      </c>
      <c r="F67" s="924">
        <f t="shared" si="0"/>
        <v>16248</v>
      </c>
      <c r="G67" s="305"/>
      <c r="H67" s="306"/>
      <c r="I67" s="306"/>
      <c r="J67" s="306"/>
      <c r="K67" s="306"/>
      <c r="L67" s="306"/>
      <c r="M67" s="306"/>
      <c r="N67" s="306"/>
      <c r="O67" s="306"/>
      <c r="P67" s="306"/>
      <c r="Q67" s="306"/>
      <c r="R67" s="307"/>
      <c r="S67" s="307"/>
      <c r="T67" s="307"/>
      <c r="U67" s="307"/>
    </row>
    <row r="68" spans="1:21" s="308" customFormat="1" ht="30" customHeight="1">
      <c r="A68" s="920" t="s">
        <v>642</v>
      </c>
      <c r="B68" s="921"/>
      <c r="C68" s="930" t="s">
        <v>515</v>
      </c>
      <c r="D68" s="1239">
        <v>53907</v>
      </c>
      <c r="E68" s="923">
        <v>0</v>
      </c>
      <c r="F68" s="924">
        <f t="shared" si="0"/>
        <v>53907</v>
      </c>
      <c r="G68" s="305"/>
      <c r="H68" s="306"/>
      <c r="I68" s="306"/>
      <c r="J68" s="306"/>
      <c r="K68" s="306"/>
      <c r="L68" s="306"/>
      <c r="M68" s="306"/>
      <c r="N68" s="306"/>
      <c r="O68" s="306"/>
      <c r="P68" s="306"/>
      <c r="Q68" s="306"/>
      <c r="R68" s="307"/>
      <c r="S68" s="307"/>
      <c r="T68" s="307"/>
      <c r="U68" s="307"/>
    </row>
    <row r="69" spans="1:21" s="308" customFormat="1" ht="30" customHeight="1">
      <c r="A69" s="920" t="s">
        <v>516</v>
      </c>
      <c r="B69" s="921"/>
      <c r="C69" s="930" t="s">
        <v>517</v>
      </c>
      <c r="D69" s="1239">
        <v>0</v>
      </c>
      <c r="E69" s="923">
        <v>0</v>
      </c>
      <c r="F69" s="924">
        <f t="shared" si="0"/>
        <v>0</v>
      </c>
      <c r="G69" s="305"/>
      <c r="H69" s="306"/>
      <c r="I69" s="306"/>
      <c r="J69" s="306"/>
      <c r="K69" s="306"/>
      <c r="L69" s="306"/>
      <c r="M69" s="306"/>
      <c r="N69" s="306"/>
      <c r="O69" s="306"/>
      <c r="P69" s="306"/>
      <c r="Q69" s="306"/>
      <c r="R69" s="307"/>
      <c r="S69" s="307"/>
      <c r="T69" s="307"/>
      <c r="U69" s="307"/>
    </row>
    <row r="70" spans="1:21" s="308" customFormat="1" ht="30" customHeight="1">
      <c r="A70" s="1243" t="s">
        <v>732</v>
      </c>
      <c r="B70" s="921"/>
      <c r="C70" s="1238">
        <v>63100</v>
      </c>
      <c r="D70" s="1239">
        <v>373671</v>
      </c>
      <c r="E70" s="1239">
        <v>0</v>
      </c>
      <c r="F70" s="1240">
        <v>0</v>
      </c>
      <c r="G70" s="305"/>
      <c r="H70" s="306"/>
      <c r="I70" s="306"/>
      <c r="J70" s="306"/>
      <c r="K70" s="306"/>
      <c r="L70" s="306"/>
      <c r="M70" s="306"/>
      <c r="N70" s="306"/>
      <c r="O70" s="306"/>
      <c r="P70" s="306"/>
      <c r="Q70" s="306"/>
      <c r="R70" s="307"/>
      <c r="S70" s="307"/>
      <c r="T70" s="307"/>
      <c r="U70" s="307"/>
    </row>
    <row r="71" spans="1:21" s="308" customFormat="1" ht="30" customHeight="1">
      <c r="A71" s="920" t="s">
        <v>518</v>
      </c>
      <c r="B71" s="921"/>
      <c r="C71" s="930" t="s">
        <v>519</v>
      </c>
      <c r="D71" s="1239">
        <v>0</v>
      </c>
      <c r="E71" s="923">
        <v>0</v>
      </c>
      <c r="F71" s="924">
        <f t="shared" si="0"/>
        <v>0</v>
      </c>
      <c r="G71" s="305"/>
      <c r="H71" s="306"/>
      <c r="I71" s="306"/>
      <c r="J71" s="306"/>
      <c r="K71" s="306"/>
      <c r="L71" s="306"/>
      <c r="M71" s="306"/>
      <c r="N71" s="306"/>
      <c r="O71" s="306"/>
      <c r="P71" s="306"/>
      <c r="Q71" s="306"/>
      <c r="R71" s="307"/>
      <c r="S71" s="307"/>
      <c r="T71" s="307"/>
      <c r="U71" s="307"/>
    </row>
    <row r="72" spans="1:21" s="308" customFormat="1" ht="30" customHeight="1">
      <c r="A72" s="920" t="s">
        <v>520</v>
      </c>
      <c r="B72" s="921"/>
      <c r="C72" s="930" t="s">
        <v>521</v>
      </c>
      <c r="D72" s="1239">
        <v>487</v>
      </c>
      <c r="E72" s="923">
        <v>0</v>
      </c>
      <c r="F72" s="924">
        <f t="shared" si="0"/>
        <v>487</v>
      </c>
      <c r="G72" s="305"/>
      <c r="H72" s="306"/>
      <c r="I72" s="306"/>
      <c r="J72" s="306"/>
      <c r="K72" s="306"/>
      <c r="L72" s="306"/>
      <c r="M72" s="306"/>
      <c r="N72" s="306"/>
      <c r="O72" s="306"/>
      <c r="P72" s="306"/>
      <c r="Q72" s="306"/>
      <c r="R72" s="307"/>
      <c r="S72" s="307"/>
      <c r="T72" s="307"/>
      <c r="U72" s="307"/>
    </row>
    <row r="73" spans="1:21" s="308" customFormat="1" ht="30" customHeight="1">
      <c r="A73" s="920" t="s">
        <v>522</v>
      </c>
      <c r="B73" s="921"/>
      <c r="C73" s="930" t="s">
        <v>523</v>
      </c>
      <c r="D73" s="1239">
        <v>0</v>
      </c>
      <c r="E73" s="923">
        <v>0</v>
      </c>
      <c r="F73" s="924">
        <f t="shared" si="0"/>
        <v>0</v>
      </c>
      <c r="G73" s="305"/>
      <c r="H73" s="306"/>
      <c r="I73" s="306"/>
      <c r="J73" s="306"/>
      <c r="K73" s="306"/>
      <c r="L73" s="306"/>
      <c r="M73" s="306"/>
      <c r="N73" s="306"/>
      <c r="O73" s="306"/>
      <c r="P73" s="306"/>
      <c r="Q73" s="306"/>
      <c r="R73" s="307"/>
      <c r="S73" s="307"/>
      <c r="T73" s="307"/>
      <c r="U73" s="307"/>
    </row>
    <row r="74" spans="1:21" s="308" customFormat="1" ht="30" customHeight="1">
      <c r="A74" s="920" t="s">
        <v>524</v>
      </c>
      <c r="B74" s="921"/>
      <c r="C74" s="930" t="s">
        <v>525</v>
      </c>
      <c r="D74" s="1239">
        <v>0</v>
      </c>
      <c r="E74" s="923">
        <v>0</v>
      </c>
      <c r="F74" s="924">
        <f t="shared" si="0"/>
        <v>0</v>
      </c>
      <c r="G74" s="305"/>
      <c r="H74" s="306"/>
      <c r="I74" s="306"/>
      <c r="J74" s="306"/>
      <c r="K74" s="306"/>
      <c r="L74" s="306"/>
      <c r="M74" s="306"/>
      <c r="N74" s="306"/>
      <c r="O74" s="306"/>
      <c r="P74" s="306"/>
      <c r="Q74" s="306"/>
      <c r="R74" s="307"/>
      <c r="S74" s="307"/>
      <c r="T74" s="307"/>
      <c r="U74" s="307"/>
    </row>
    <row r="75" spans="1:21" s="308" customFormat="1" ht="30" customHeight="1">
      <c r="A75" s="920" t="s">
        <v>526</v>
      </c>
      <c r="B75" s="921"/>
      <c r="C75" s="930" t="s">
        <v>527</v>
      </c>
      <c r="D75" s="1239">
        <v>0</v>
      </c>
      <c r="E75" s="923">
        <v>0</v>
      </c>
      <c r="F75" s="924">
        <f t="shared" si="0"/>
        <v>0</v>
      </c>
      <c r="G75" s="305"/>
      <c r="H75" s="306"/>
      <c r="I75" s="306"/>
      <c r="J75" s="306"/>
      <c r="K75" s="306"/>
      <c r="L75" s="306"/>
      <c r="M75" s="306"/>
      <c r="N75" s="306"/>
      <c r="O75" s="306"/>
      <c r="P75" s="306"/>
      <c r="Q75" s="306"/>
      <c r="R75" s="307"/>
      <c r="S75" s="307"/>
      <c r="T75" s="307"/>
      <c r="U75" s="307"/>
    </row>
    <row r="76" spans="1:21" s="308" customFormat="1" ht="30" customHeight="1">
      <c r="A76" s="920" t="s">
        <v>528</v>
      </c>
      <c r="B76" s="921"/>
      <c r="C76" s="930" t="s">
        <v>529</v>
      </c>
      <c r="D76" s="1239">
        <v>0</v>
      </c>
      <c r="E76" s="923">
        <v>0</v>
      </c>
      <c r="F76" s="924">
        <f t="shared" si="0"/>
        <v>0</v>
      </c>
      <c r="G76" s="305"/>
      <c r="H76" s="306"/>
      <c r="I76" s="306"/>
      <c r="J76" s="306"/>
      <c r="K76" s="306"/>
      <c r="L76" s="306"/>
      <c r="M76" s="306"/>
      <c r="N76" s="306"/>
      <c r="O76" s="306"/>
      <c r="P76" s="306"/>
      <c r="Q76" s="306"/>
      <c r="R76" s="307"/>
      <c r="S76" s="307"/>
      <c r="T76" s="307"/>
      <c r="U76" s="307"/>
    </row>
    <row r="77" spans="1:21" s="308" customFormat="1" ht="30" customHeight="1">
      <c r="A77" s="920" t="s">
        <v>530</v>
      </c>
      <c r="B77" s="921"/>
      <c r="C77" s="930" t="s">
        <v>531</v>
      </c>
      <c r="D77" s="1239">
        <v>0</v>
      </c>
      <c r="E77" s="923">
        <v>0</v>
      </c>
      <c r="F77" s="924">
        <f t="shared" si="0"/>
        <v>0</v>
      </c>
      <c r="G77" s="305"/>
      <c r="H77" s="306"/>
      <c r="I77" s="306"/>
      <c r="J77" s="306"/>
      <c r="K77" s="306"/>
      <c r="L77" s="306"/>
      <c r="M77" s="306"/>
      <c r="N77" s="306"/>
      <c r="O77" s="306"/>
      <c r="P77" s="306"/>
      <c r="Q77" s="306"/>
      <c r="R77" s="307"/>
      <c r="S77" s="307"/>
      <c r="T77" s="307"/>
      <c r="U77" s="307"/>
    </row>
    <row r="78" spans="1:21" s="308" customFormat="1" ht="30" customHeight="1">
      <c r="A78" s="920" t="s">
        <v>532</v>
      </c>
      <c r="B78" s="921"/>
      <c r="C78" s="930" t="s">
        <v>533</v>
      </c>
      <c r="D78" s="1239">
        <v>0</v>
      </c>
      <c r="E78" s="923">
        <v>0</v>
      </c>
      <c r="F78" s="924">
        <f t="shared" si="0"/>
        <v>0</v>
      </c>
      <c r="G78" s="305"/>
      <c r="H78" s="306"/>
      <c r="I78" s="306"/>
      <c r="J78" s="306"/>
      <c r="K78" s="306"/>
      <c r="L78" s="306"/>
      <c r="M78" s="306"/>
      <c r="N78" s="306"/>
      <c r="O78" s="306"/>
      <c r="P78" s="306"/>
      <c r="Q78" s="306"/>
      <c r="R78" s="307"/>
      <c r="S78" s="307"/>
      <c r="T78" s="307"/>
      <c r="U78" s="307"/>
    </row>
    <row r="79" spans="1:21" s="308" customFormat="1" ht="30" customHeight="1">
      <c r="A79" s="920" t="s">
        <v>534</v>
      </c>
      <c r="B79" s="921"/>
      <c r="C79" s="930">
        <v>64007</v>
      </c>
      <c r="D79" s="1239">
        <v>0</v>
      </c>
      <c r="E79" s="923">
        <v>0</v>
      </c>
      <c r="F79" s="924">
        <f t="shared" si="0"/>
        <v>0</v>
      </c>
      <c r="G79" s="305"/>
      <c r="H79" s="306"/>
      <c r="I79" s="306"/>
      <c r="J79" s="306"/>
      <c r="K79" s="306"/>
      <c r="L79" s="306"/>
      <c r="M79" s="306"/>
      <c r="N79" s="306"/>
      <c r="O79" s="306"/>
      <c r="P79" s="306"/>
      <c r="Q79" s="306"/>
      <c r="R79" s="307"/>
      <c r="S79" s="307"/>
      <c r="T79" s="307"/>
      <c r="U79" s="307"/>
    </row>
    <row r="80" spans="1:21" s="308" customFormat="1" ht="30" customHeight="1">
      <c r="A80" s="920" t="s">
        <v>535</v>
      </c>
      <c r="B80" s="921"/>
      <c r="C80" s="930" t="s">
        <v>536</v>
      </c>
      <c r="D80" s="1239">
        <f>38596+125428.78</f>
        <v>164024.78</v>
      </c>
      <c r="E80" s="923">
        <v>0</v>
      </c>
      <c r="F80" s="924">
        <f t="shared" si="0"/>
        <v>164024.78</v>
      </c>
      <c r="G80" s="305"/>
      <c r="H80" s="306"/>
      <c r="I80" s="306"/>
      <c r="J80" s="306"/>
      <c r="K80" s="306"/>
      <c r="L80" s="306"/>
      <c r="M80" s="306"/>
      <c r="N80" s="306"/>
      <c r="O80" s="306"/>
      <c r="P80" s="306"/>
      <c r="Q80" s="306"/>
      <c r="R80" s="307"/>
      <c r="S80" s="307"/>
      <c r="T80" s="307"/>
      <c r="U80" s="307"/>
    </row>
    <row r="81" spans="1:21" s="308" customFormat="1" ht="30" customHeight="1">
      <c r="A81" s="920" t="s">
        <v>724</v>
      </c>
      <c r="B81" s="921"/>
      <c r="C81" s="930" t="s">
        <v>537</v>
      </c>
      <c r="D81" s="1239">
        <v>0</v>
      </c>
      <c r="E81" s="923">
        <v>0</v>
      </c>
      <c r="F81" s="924">
        <f t="shared" si="0"/>
        <v>0</v>
      </c>
      <c r="G81" s="305"/>
      <c r="H81" s="306"/>
      <c r="I81" s="306"/>
      <c r="J81" s="306"/>
      <c r="K81" s="306"/>
      <c r="L81" s="306"/>
      <c r="M81" s="306"/>
      <c r="N81" s="306"/>
      <c r="O81" s="306"/>
      <c r="P81" s="306"/>
      <c r="Q81" s="306"/>
      <c r="R81" s="307"/>
      <c r="S81" s="307"/>
      <c r="T81" s="307"/>
      <c r="U81" s="307"/>
    </row>
    <row r="82" spans="1:21" s="308" customFormat="1" ht="30" customHeight="1">
      <c r="A82" s="920" t="s">
        <v>538</v>
      </c>
      <c r="B82" s="921"/>
      <c r="C82" s="930" t="s">
        <v>539</v>
      </c>
      <c r="D82" s="1239">
        <v>0</v>
      </c>
      <c r="E82" s="923">
        <v>0</v>
      </c>
      <c r="F82" s="924">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0" t="s">
        <v>540</v>
      </c>
      <c r="B83" s="921"/>
      <c r="C83" s="930" t="s">
        <v>541</v>
      </c>
      <c r="D83" s="1239">
        <v>34924</v>
      </c>
      <c r="E83" s="923">
        <v>0</v>
      </c>
      <c r="F83" s="924">
        <f t="shared" si="1"/>
        <v>34924</v>
      </c>
      <c r="G83" s="305"/>
      <c r="H83" s="306"/>
      <c r="I83" s="306"/>
      <c r="J83" s="306"/>
      <c r="K83" s="306"/>
      <c r="L83" s="306"/>
      <c r="M83" s="306"/>
      <c r="N83" s="306"/>
      <c r="O83" s="306"/>
      <c r="P83" s="306"/>
      <c r="Q83" s="306"/>
      <c r="R83" s="307"/>
      <c r="S83" s="307"/>
      <c r="T83" s="307"/>
      <c r="U83" s="307"/>
    </row>
    <row r="84" spans="1:21" s="308" customFormat="1" ht="30" customHeight="1">
      <c r="A84" s="920" t="s">
        <v>542</v>
      </c>
      <c r="B84" s="921"/>
      <c r="C84" s="930" t="s">
        <v>543</v>
      </c>
      <c r="D84" s="1239">
        <v>69786</v>
      </c>
      <c r="E84" s="923">
        <v>0</v>
      </c>
      <c r="F84" s="924">
        <f t="shared" si="1"/>
        <v>69786</v>
      </c>
      <c r="G84" s="305"/>
      <c r="H84" s="306"/>
      <c r="I84" s="306"/>
      <c r="J84" s="306"/>
      <c r="K84" s="306"/>
      <c r="L84" s="306"/>
      <c r="M84" s="306"/>
      <c r="N84" s="306"/>
      <c r="O84" s="306"/>
      <c r="P84" s="306"/>
      <c r="Q84" s="306"/>
      <c r="R84" s="307"/>
      <c r="S84" s="307"/>
      <c r="T84" s="307"/>
      <c r="U84" s="307"/>
    </row>
    <row r="85" spans="1:21" s="308" customFormat="1" ht="30" customHeight="1">
      <c r="A85" s="920" t="s">
        <v>544</v>
      </c>
      <c r="B85" s="921"/>
      <c r="C85" s="930" t="s">
        <v>545</v>
      </c>
      <c r="D85" s="1239">
        <v>439377.39</v>
      </c>
      <c r="E85" s="923">
        <v>0</v>
      </c>
      <c r="F85" s="924">
        <f t="shared" si="1"/>
        <v>439377.39</v>
      </c>
      <c r="G85" s="305"/>
      <c r="H85" s="306"/>
      <c r="I85" s="306"/>
      <c r="J85" s="306"/>
      <c r="K85" s="306"/>
      <c r="L85" s="306"/>
      <c r="M85" s="306"/>
      <c r="N85" s="306"/>
      <c r="O85" s="306"/>
      <c r="P85" s="306"/>
      <c r="Q85" s="306"/>
      <c r="R85" s="307"/>
      <c r="S85" s="307"/>
      <c r="T85" s="307"/>
      <c r="U85" s="307"/>
    </row>
    <row r="86" spans="1:21" s="308" customFormat="1" ht="30" customHeight="1">
      <c r="A86" s="920" t="s">
        <v>546</v>
      </c>
      <c r="B86" s="921"/>
      <c r="C86" s="930" t="s">
        <v>547</v>
      </c>
      <c r="D86" s="1239">
        <v>0</v>
      </c>
      <c r="E86" s="923">
        <v>0</v>
      </c>
      <c r="F86" s="924">
        <f t="shared" si="1"/>
        <v>0</v>
      </c>
      <c r="G86" s="305"/>
      <c r="H86" s="305"/>
      <c r="I86" s="305"/>
      <c r="J86" s="305"/>
      <c r="K86" s="305"/>
      <c r="L86" s="305"/>
      <c r="M86" s="305"/>
      <c r="N86" s="305"/>
      <c r="O86" s="305"/>
      <c r="P86" s="305"/>
      <c r="Q86" s="305"/>
    </row>
    <row r="87" spans="1:21" s="308" customFormat="1" ht="30" customHeight="1">
      <c r="A87" s="920" t="s">
        <v>548</v>
      </c>
      <c r="B87" s="921"/>
      <c r="C87" s="930" t="s">
        <v>549</v>
      </c>
      <c r="D87" s="1239">
        <v>593</v>
      </c>
      <c r="E87" s="923">
        <v>0</v>
      </c>
      <c r="F87" s="924">
        <f t="shared" si="1"/>
        <v>593</v>
      </c>
      <c r="G87" s="305"/>
      <c r="H87" s="305"/>
      <c r="I87" s="305"/>
      <c r="J87" s="305"/>
      <c r="K87" s="305"/>
      <c r="L87" s="305"/>
      <c r="M87" s="305"/>
      <c r="N87" s="305"/>
      <c r="O87" s="305"/>
      <c r="P87" s="305"/>
      <c r="Q87" s="305"/>
    </row>
    <row r="88" spans="1:21" s="308" customFormat="1" ht="30" customHeight="1">
      <c r="A88" s="920" t="s">
        <v>550</v>
      </c>
      <c r="B88" s="921"/>
      <c r="C88" s="930" t="s">
        <v>551</v>
      </c>
      <c r="D88" s="1239">
        <v>153900</v>
      </c>
      <c r="E88" s="923">
        <v>0</v>
      </c>
      <c r="F88" s="924">
        <f t="shared" ref="F88:F93" si="2">+D88+E88</f>
        <v>153900</v>
      </c>
      <c r="G88" s="305"/>
      <c r="H88" s="305"/>
      <c r="I88" s="305"/>
      <c r="J88" s="305"/>
      <c r="K88" s="305"/>
      <c r="L88" s="305"/>
      <c r="M88" s="305"/>
      <c r="N88" s="305"/>
      <c r="O88" s="305"/>
      <c r="P88" s="305"/>
      <c r="Q88" s="305"/>
    </row>
    <row r="89" spans="1:21" s="308" customFormat="1" ht="30" customHeight="1">
      <c r="A89" s="920" t="s">
        <v>552</v>
      </c>
      <c r="B89" s="921"/>
      <c r="C89" s="930" t="s">
        <v>553</v>
      </c>
      <c r="D89" s="1239">
        <v>0</v>
      </c>
      <c r="E89" s="923">
        <v>0</v>
      </c>
      <c r="F89" s="924">
        <f t="shared" si="2"/>
        <v>0</v>
      </c>
      <c r="G89" s="305"/>
      <c r="H89" s="305"/>
      <c r="I89" s="305"/>
      <c r="J89" s="305"/>
      <c r="K89" s="305"/>
      <c r="L89" s="305"/>
      <c r="M89" s="305"/>
      <c r="N89" s="305"/>
      <c r="O89" s="305"/>
      <c r="P89" s="305"/>
      <c r="Q89" s="305"/>
    </row>
    <row r="90" spans="1:21" s="308" customFormat="1" ht="30" customHeight="1">
      <c r="A90" s="920" t="s">
        <v>554</v>
      </c>
      <c r="B90" s="921"/>
      <c r="C90" s="930" t="s">
        <v>555</v>
      </c>
      <c r="D90" s="1239">
        <v>0</v>
      </c>
      <c r="E90" s="923">
        <v>0</v>
      </c>
      <c r="F90" s="924">
        <f t="shared" si="2"/>
        <v>0</v>
      </c>
      <c r="G90" s="305"/>
      <c r="H90" s="305"/>
      <c r="I90" s="305"/>
      <c r="J90" s="305"/>
      <c r="K90" s="305"/>
      <c r="L90" s="305"/>
      <c r="M90" s="305"/>
      <c r="N90" s="305"/>
      <c r="O90" s="305"/>
      <c r="P90" s="305"/>
      <c r="Q90" s="305"/>
    </row>
    <row r="91" spans="1:21" s="308" customFormat="1" ht="30" customHeight="1">
      <c r="A91" s="920" t="s">
        <v>556</v>
      </c>
      <c r="B91" s="921"/>
      <c r="C91" s="930" t="s">
        <v>557</v>
      </c>
      <c r="D91" s="1239">
        <v>0</v>
      </c>
      <c r="E91" s="923">
        <v>0</v>
      </c>
      <c r="F91" s="924">
        <f t="shared" si="2"/>
        <v>0</v>
      </c>
      <c r="G91" s="305"/>
      <c r="H91" s="305"/>
      <c r="I91" s="305"/>
      <c r="J91" s="305"/>
      <c r="K91" s="305"/>
      <c r="L91" s="305"/>
      <c r="M91" s="305"/>
      <c r="N91" s="305"/>
      <c r="O91" s="305"/>
      <c r="P91" s="305"/>
      <c r="Q91" s="305"/>
    </row>
    <row r="92" spans="1:21" s="308" customFormat="1" ht="30" customHeight="1">
      <c r="A92" s="920" t="s">
        <v>558</v>
      </c>
      <c r="B92" s="921"/>
      <c r="C92" s="930" t="s">
        <v>559</v>
      </c>
      <c r="D92" s="1239">
        <v>0</v>
      </c>
      <c r="E92" s="923">
        <v>0</v>
      </c>
      <c r="F92" s="924">
        <f t="shared" si="2"/>
        <v>0</v>
      </c>
      <c r="G92" s="305"/>
      <c r="H92" s="305"/>
      <c r="I92" s="305"/>
      <c r="J92" s="305"/>
      <c r="K92" s="305"/>
      <c r="L92" s="305"/>
      <c r="M92" s="305"/>
      <c r="N92" s="305"/>
      <c r="O92" s="305"/>
      <c r="P92" s="305"/>
      <c r="Q92" s="305"/>
    </row>
    <row r="93" spans="1:21" s="308" customFormat="1" ht="30" customHeight="1">
      <c r="A93" s="920" t="s">
        <v>560</v>
      </c>
      <c r="B93" s="921"/>
      <c r="C93" s="930" t="s">
        <v>561</v>
      </c>
      <c r="D93" s="1239">
        <v>0</v>
      </c>
      <c r="E93" s="923">
        <v>0</v>
      </c>
      <c r="F93" s="924">
        <f t="shared" si="2"/>
        <v>0</v>
      </c>
      <c r="G93" s="305"/>
      <c r="H93" s="305"/>
      <c r="I93" s="305"/>
      <c r="J93" s="305"/>
      <c r="K93" s="305"/>
      <c r="L93" s="305"/>
      <c r="M93" s="305"/>
      <c r="N93" s="305"/>
      <c r="O93" s="305"/>
      <c r="P93" s="305"/>
      <c r="Q93" s="305"/>
    </row>
    <row r="94" spans="1:21" s="308" customFormat="1" ht="30" customHeight="1">
      <c r="A94" s="920" t="s">
        <v>562</v>
      </c>
      <c r="B94" s="921"/>
      <c r="C94" s="930" t="s">
        <v>563</v>
      </c>
      <c r="D94" s="1239">
        <v>0</v>
      </c>
      <c r="E94" s="923">
        <v>0</v>
      </c>
      <c r="F94" s="924">
        <f t="shared" si="1"/>
        <v>0</v>
      </c>
      <c r="G94" s="305"/>
      <c r="H94" s="305"/>
      <c r="I94" s="305"/>
      <c r="J94" s="305"/>
      <c r="K94" s="305"/>
      <c r="L94" s="305"/>
      <c r="M94" s="305"/>
      <c r="N94" s="305"/>
      <c r="O94" s="305"/>
      <c r="P94" s="305"/>
      <c r="Q94" s="305"/>
    </row>
    <row r="95" spans="1:21" s="308" customFormat="1" ht="30" customHeight="1">
      <c r="A95" s="920" t="s">
        <v>643</v>
      </c>
      <c r="B95" s="921"/>
      <c r="C95" s="930" t="s">
        <v>565</v>
      </c>
      <c r="D95" s="1239">
        <v>0</v>
      </c>
      <c r="E95" s="923">
        <v>0</v>
      </c>
      <c r="F95" s="924">
        <f t="shared" si="1"/>
        <v>0</v>
      </c>
      <c r="G95" s="305"/>
      <c r="H95" s="305"/>
      <c r="I95" s="305"/>
      <c r="J95" s="305"/>
      <c r="K95" s="305"/>
      <c r="L95" s="305"/>
      <c r="M95" s="305"/>
      <c r="N95" s="305"/>
      <c r="O95" s="305"/>
      <c r="P95" s="305"/>
      <c r="Q95" s="305"/>
    </row>
    <row r="96" spans="1:21" s="308" customFormat="1" ht="30" customHeight="1">
      <c r="A96" s="920" t="s">
        <v>643</v>
      </c>
      <c r="B96" s="921"/>
      <c r="C96" s="930" t="s">
        <v>567</v>
      </c>
      <c r="D96" s="1239">
        <v>0</v>
      </c>
      <c r="E96" s="923">
        <v>0</v>
      </c>
      <c r="F96" s="924">
        <f t="shared" si="1"/>
        <v>0</v>
      </c>
      <c r="G96" s="305"/>
      <c r="H96" s="305"/>
      <c r="I96" s="305"/>
      <c r="J96" s="305"/>
      <c r="K96" s="305"/>
      <c r="L96" s="305"/>
      <c r="M96" s="305"/>
      <c r="N96" s="305"/>
      <c r="O96" s="305"/>
      <c r="P96" s="305"/>
      <c r="Q96" s="305"/>
    </row>
    <row r="97" spans="1:17" s="308" customFormat="1" ht="30" customHeight="1">
      <c r="A97" s="920" t="s">
        <v>643</v>
      </c>
      <c r="B97" s="921"/>
      <c r="C97" s="930" t="s">
        <v>569</v>
      </c>
      <c r="D97" s="1239">
        <v>0</v>
      </c>
      <c r="E97" s="923">
        <v>0</v>
      </c>
      <c r="F97" s="924">
        <f t="shared" si="1"/>
        <v>0</v>
      </c>
      <c r="G97" s="305"/>
      <c r="H97" s="305"/>
      <c r="I97" s="305"/>
      <c r="J97" s="305"/>
      <c r="K97" s="305"/>
      <c r="L97" s="305"/>
      <c r="M97" s="305"/>
      <c r="N97" s="305"/>
      <c r="O97" s="305"/>
      <c r="P97" s="305"/>
      <c r="Q97" s="305"/>
    </row>
    <row r="98" spans="1:17" s="308" customFormat="1" ht="30" customHeight="1">
      <c r="A98" s="920" t="s">
        <v>644</v>
      </c>
      <c r="B98" s="921"/>
      <c r="C98" s="930" t="s">
        <v>571</v>
      </c>
      <c r="D98" s="1239">
        <v>0</v>
      </c>
      <c r="E98" s="923">
        <v>0</v>
      </c>
      <c r="F98" s="924">
        <f t="shared" si="1"/>
        <v>0</v>
      </c>
      <c r="G98" s="305"/>
      <c r="H98" s="305"/>
      <c r="I98" s="305"/>
      <c r="J98" s="305"/>
      <c r="K98" s="305"/>
      <c r="L98" s="305"/>
      <c r="M98" s="305"/>
      <c r="N98" s="305"/>
      <c r="O98" s="305"/>
      <c r="P98" s="305"/>
      <c r="Q98" s="305"/>
    </row>
    <row r="99" spans="1:17" s="308" customFormat="1" ht="30" customHeight="1">
      <c r="A99" s="920" t="s">
        <v>644</v>
      </c>
      <c r="B99" s="921"/>
      <c r="C99" s="930">
        <v>69270</v>
      </c>
      <c r="D99" s="1239">
        <v>0</v>
      </c>
      <c r="E99" s="923">
        <v>0</v>
      </c>
      <c r="F99" s="924">
        <f t="shared" si="1"/>
        <v>0</v>
      </c>
      <c r="G99" s="305"/>
      <c r="H99" s="305"/>
      <c r="I99" s="305"/>
      <c r="J99" s="305"/>
      <c r="K99" s="305"/>
      <c r="L99" s="305"/>
      <c r="M99" s="305"/>
      <c r="N99" s="305"/>
      <c r="O99" s="305"/>
      <c r="P99" s="305"/>
      <c r="Q99" s="305"/>
    </row>
    <row r="100" spans="1:17" s="308" customFormat="1" ht="30" customHeight="1">
      <c r="A100" s="920" t="s">
        <v>573</v>
      </c>
      <c r="B100" s="921"/>
      <c r="C100" s="930" t="s">
        <v>574</v>
      </c>
      <c r="D100" s="1239">
        <v>0</v>
      </c>
      <c r="E100" s="923">
        <v>0</v>
      </c>
      <c r="F100" s="924">
        <f t="shared" si="1"/>
        <v>0</v>
      </c>
      <c r="G100" s="305"/>
      <c r="H100" s="305"/>
      <c r="I100" s="305"/>
      <c r="J100" s="305"/>
      <c r="K100" s="305"/>
      <c r="L100" s="305"/>
      <c r="M100" s="305"/>
      <c r="N100" s="305"/>
      <c r="O100" s="305"/>
      <c r="P100" s="305"/>
      <c r="Q100" s="305"/>
    </row>
    <row r="101" spans="1:17" s="308" customFormat="1" ht="30" customHeight="1">
      <c r="A101" s="920" t="s">
        <v>408</v>
      </c>
      <c r="B101" s="921"/>
      <c r="C101" s="930" t="s">
        <v>576</v>
      </c>
      <c r="D101" s="1239">
        <v>0</v>
      </c>
      <c r="E101" s="923">
        <v>0</v>
      </c>
      <c r="F101" s="924">
        <f t="shared" si="1"/>
        <v>0</v>
      </c>
      <c r="G101" s="305"/>
      <c r="H101" s="305"/>
      <c r="I101" s="305"/>
      <c r="J101" s="305"/>
      <c r="K101" s="305"/>
      <c r="L101" s="305"/>
      <c r="M101" s="305"/>
      <c r="N101" s="305"/>
      <c r="O101" s="305"/>
      <c r="P101" s="305"/>
      <c r="Q101" s="305"/>
    </row>
    <row r="102" spans="1:17" s="308" customFormat="1" ht="30" customHeight="1" thickBot="1">
      <c r="A102" s="925" t="s">
        <v>577</v>
      </c>
      <c r="B102" s="926"/>
      <c r="C102" s="931" t="s">
        <v>578</v>
      </c>
      <c r="D102" s="1239">
        <v>0</v>
      </c>
      <c r="E102" s="923">
        <v>0</v>
      </c>
      <c r="F102" s="929">
        <f t="shared" si="1"/>
        <v>0</v>
      </c>
      <c r="G102" s="305"/>
      <c r="H102" s="305"/>
      <c r="I102" s="305"/>
      <c r="J102" s="305"/>
      <c r="K102" s="305"/>
      <c r="L102" s="305"/>
      <c r="M102" s="305"/>
      <c r="N102" s="305"/>
      <c r="O102" s="305"/>
      <c r="P102" s="305"/>
      <c r="Q102" s="305"/>
    </row>
    <row r="103" spans="1:17" s="308" customFormat="1" ht="30" customHeight="1" thickBot="1">
      <c r="A103" s="1074" t="s">
        <v>645</v>
      </c>
      <c r="B103" s="1079"/>
      <c r="C103" s="343"/>
      <c r="D103" s="342">
        <f>SUM(D64:D102)</f>
        <v>1519730.55</v>
      </c>
      <c r="E103" s="342">
        <f>SUM(E64:E102)</f>
        <v>0</v>
      </c>
      <c r="F103" s="342">
        <f t="shared" si="1"/>
        <v>1519730.55</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76" t="str">
        <f>C7</f>
        <v>2022-23</v>
      </c>
      <c r="D106" s="1077"/>
      <c r="E106" s="1077"/>
      <c r="F106" s="1078"/>
      <c r="G106" s="305"/>
      <c r="H106" s="305"/>
      <c r="I106" s="305"/>
      <c r="J106" s="305"/>
      <c r="K106" s="305"/>
      <c r="L106" s="305"/>
      <c r="M106" s="305"/>
      <c r="N106" s="305"/>
      <c r="O106" s="305"/>
      <c r="P106" s="305"/>
      <c r="Q106" s="305"/>
    </row>
    <row r="107" spans="1:17" s="308" customFormat="1" ht="111.6" customHeight="1" thickBot="1">
      <c r="A107" s="1210" t="s">
        <v>165</v>
      </c>
      <c r="B107" s="1211"/>
      <c r="C107" s="292" t="s">
        <v>275</v>
      </c>
      <c r="D107" s="293" t="s">
        <v>637</v>
      </c>
      <c r="E107" s="698"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79">
        <v>9811</v>
      </c>
      <c r="E108" s="579">
        <v>0</v>
      </c>
      <c r="F108" s="304">
        <f t="shared" si="1"/>
        <v>9811</v>
      </c>
      <c r="G108" s="305"/>
      <c r="H108" s="305"/>
      <c r="I108" s="305"/>
      <c r="J108" s="305"/>
      <c r="K108" s="305"/>
      <c r="L108" s="305"/>
      <c r="M108" s="305"/>
      <c r="N108" s="305"/>
      <c r="O108" s="305"/>
      <c r="P108" s="305"/>
      <c r="Q108" s="305"/>
    </row>
    <row r="109" spans="1:17" s="308" customFormat="1" ht="30" customHeight="1">
      <c r="A109" s="920" t="s">
        <v>646</v>
      </c>
      <c r="B109" s="921"/>
      <c r="C109" s="930" t="s">
        <v>583</v>
      </c>
      <c r="D109" s="923">
        <v>0</v>
      </c>
      <c r="E109" s="923">
        <v>0</v>
      </c>
      <c r="F109" s="924">
        <f t="shared" si="1"/>
        <v>0</v>
      </c>
      <c r="G109" s="305"/>
      <c r="H109" s="305"/>
      <c r="I109" s="305"/>
      <c r="J109" s="305"/>
      <c r="K109" s="305"/>
      <c r="L109" s="305"/>
      <c r="M109" s="305"/>
      <c r="N109" s="305"/>
      <c r="O109" s="305"/>
      <c r="P109" s="305"/>
      <c r="Q109" s="305"/>
    </row>
    <row r="110" spans="1:17" s="308" customFormat="1" ht="30" customHeight="1">
      <c r="A110" s="920" t="s">
        <v>584</v>
      </c>
      <c r="B110" s="921"/>
      <c r="C110" s="930" t="s">
        <v>585</v>
      </c>
      <c r="D110" s="923">
        <v>0</v>
      </c>
      <c r="E110" s="923">
        <v>0</v>
      </c>
      <c r="F110" s="924">
        <f t="shared" si="1"/>
        <v>0</v>
      </c>
      <c r="G110" s="305"/>
      <c r="H110" s="305"/>
      <c r="I110" s="305"/>
      <c r="J110" s="305"/>
      <c r="K110" s="305"/>
      <c r="L110" s="305"/>
      <c r="M110" s="305"/>
      <c r="N110" s="305"/>
      <c r="O110" s="305"/>
      <c r="P110" s="305"/>
      <c r="Q110" s="305"/>
    </row>
    <row r="111" spans="1:17" s="308" customFormat="1" ht="30" customHeight="1">
      <c r="A111" s="920" t="s">
        <v>586</v>
      </c>
      <c r="B111" s="921"/>
      <c r="C111" s="930" t="s">
        <v>587</v>
      </c>
      <c r="D111" s="923">
        <v>0</v>
      </c>
      <c r="E111" s="923">
        <v>0</v>
      </c>
      <c r="F111" s="924">
        <f t="shared" si="1"/>
        <v>0</v>
      </c>
      <c r="G111" s="305"/>
      <c r="H111" s="305"/>
      <c r="I111" s="305"/>
      <c r="J111" s="305"/>
      <c r="K111" s="305"/>
      <c r="L111" s="305"/>
      <c r="M111" s="305"/>
      <c r="N111" s="305"/>
      <c r="O111" s="305"/>
      <c r="P111" s="305"/>
      <c r="Q111" s="305"/>
    </row>
    <row r="112" spans="1:17" s="308" customFormat="1" ht="30" customHeight="1">
      <c r="A112" s="920" t="s">
        <v>589</v>
      </c>
      <c r="B112" s="921"/>
      <c r="C112" s="1238" t="s">
        <v>590</v>
      </c>
      <c r="D112" s="1239">
        <v>0</v>
      </c>
      <c r="E112" s="1239">
        <v>0</v>
      </c>
      <c r="F112" s="1240">
        <f t="shared" si="1"/>
        <v>0</v>
      </c>
      <c r="G112" s="305"/>
      <c r="H112" s="305"/>
      <c r="I112" s="305"/>
      <c r="J112" s="305"/>
      <c r="K112" s="305"/>
      <c r="L112" s="305"/>
      <c r="M112" s="305"/>
      <c r="N112" s="305"/>
      <c r="O112" s="305"/>
      <c r="P112" s="305"/>
      <c r="Q112" s="305"/>
    </row>
    <row r="113" spans="1:17" s="308" customFormat="1" ht="30" customHeight="1">
      <c r="A113" s="1296" t="s">
        <v>763</v>
      </c>
      <c r="B113" s="1297"/>
      <c r="C113" s="1298">
        <v>73001</v>
      </c>
      <c r="D113" s="1294">
        <v>0</v>
      </c>
      <c r="E113" s="1294">
        <v>0</v>
      </c>
      <c r="F113" s="1292">
        <f t="shared" si="1"/>
        <v>0</v>
      </c>
      <c r="G113" s="305"/>
      <c r="H113" s="305"/>
      <c r="I113" s="305"/>
      <c r="J113" s="305"/>
      <c r="K113" s="305"/>
      <c r="L113" s="305"/>
      <c r="M113" s="305"/>
      <c r="N113" s="305"/>
      <c r="O113" s="305"/>
      <c r="P113" s="305"/>
      <c r="Q113" s="305"/>
    </row>
    <row r="114" spans="1:17" s="308" customFormat="1" ht="30" customHeight="1">
      <c r="A114" s="1299" t="s">
        <v>764</v>
      </c>
      <c r="B114" s="1300"/>
      <c r="C114" s="1301">
        <v>73002</v>
      </c>
      <c r="D114" s="1295">
        <v>0</v>
      </c>
      <c r="E114" s="1295">
        <v>0</v>
      </c>
      <c r="F114" s="1293">
        <f t="shared" si="1"/>
        <v>0</v>
      </c>
      <c r="G114" s="305"/>
      <c r="H114" s="305"/>
      <c r="I114" s="305"/>
      <c r="J114" s="305"/>
      <c r="K114" s="305"/>
      <c r="L114" s="305"/>
      <c r="M114" s="305"/>
      <c r="N114" s="305"/>
      <c r="O114" s="305"/>
      <c r="P114" s="305"/>
      <c r="Q114" s="305"/>
    </row>
    <row r="115" spans="1:17" s="308" customFormat="1" ht="30" customHeight="1">
      <c r="A115" s="920" t="s">
        <v>588</v>
      </c>
      <c r="B115" s="921"/>
      <c r="C115" s="1289">
        <v>73050</v>
      </c>
      <c r="D115" s="1290">
        <v>0</v>
      </c>
      <c r="E115" s="1290">
        <v>0</v>
      </c>
      <c r="F115" s="1291">
        <f>+D115+E115</f>
        <v>0</v>
      </c>
      <c r="G115" s="305"/>
      <c r="H115" s="305"/>
      <c r="I115" s="305"/>
      <c r="J115" s="305"/>
      <c r="K115" s="305"/>
      <c r="L115" s="305"/>
      <c r="M115" s="305"/>
      <c r="N115" s="305"/>
      <c r="O115" s="305"/>
      <c r="P115" s="305"/>
      <c r="Q115" s="305"/>
    </row>
    <row r="116" spans="1:17" s="308" customFormat="1" ht="30" customHeight="1">
      <c r="A116" s="1241" t="s">
        <v>731</v>
      </c>
      <c r="B116" s="921"/>
      <c r="C116" s="1238">
        <v>73100</v>
      </c>
      <c r="D116" s="1239">
        <v>0</v>
      </c>
      <c r="E116" s="1239">
        <v>0</v>
      </c>
      <c r="F116" s="1291">
        <f>+D116+E116</f>
        <v>0</v>
      </c>
      <c r="G116" s="305"/>
      <c r="H116" s="305"/>
      <c r="I116" s="305"/>
      <c r="J116" s="305"/>
      <c r="K116" s="305"/>
      <c r="L116" s="305"/>
      <c r="M116" s="305"/>
      <c r="N116" s="305"/>
      <c r="O116" s="305"/>
      <c r="P116" s="305"/>
      <c r="Q116" s="305"/>
    </row>
    <row r="117" spans="1:17" s="308" customFormat="1" ht="47.25" customHeight="1">
      <c r="A117" s="1333" t="s">
        <v>647</v>
      </c>
      <c r="B117" s="1334"/>
      <c r="C117" s="930" t="s">
        <v>592</v>
      </c>
      <c r="D117" s="923">
        <v>0</v>
      </c>
      <c r="E117" s="923">
        <v>0</v>
      </c>
      <c r="F117" s="924">
        <f t="shared" si="1"/>
        <v>0</v>
      </c>
      <c r="G117" s="305"/>
      <c r="H117" s="305"/>
      <c r="I117" s="305"/>
      <c r="J117" s="305"/>
      <c r="K117" s="305"/>
      <c r="L117" s="305"/>
      <c r="M117" s="305"/>
      <c r="N117" s="305"/>
      <c r="O117" s="305"/>
      <c r="P117" s="305"/>
      <c r="Q117" s="305"/>
    </row>
    <row r="118" spans="1:17" s="308" customFormat="1" ht="30" customHeight="1">
      <c r="A118" s="920" t="s">
        <v>593</v>
      </c>
      <c r="B118" s="921"/>
      <c r="C118" s="930" t="s">
        <v>594</v>
      </c>
      <c r="D118" s="923">
        <v>0</v>
      </c>
      <c r="E118" s="923">
        <v>0</v>
      </c>
      <c r="F118" s="924">
        <f t="shared" si="1"/>
        <v>0</v>
      </c>
      <c r="G118" s="305"/>
      <c r="H118" s="305"/>
      <c r="I118" s="305"/>
      <c r="J118" s="305"/>
      <c r="K118" s="305"/>
      <c r="L118" s="305"/>
      <c r="M118" s="305"/>
      <c r="N118" s="305"/>
      <c r="O118" s="305"/>
      <c r="P118" s="305"/>
      <c r="Q118" s="305"/>
    </row>
    <row r="119" spans="1:17" s="308" customFormat="1" ht="30" customHeight="1">
      <c r="A119" s="920" t="s">
        <v>595</v>
      </c>
      <c r="B119" s="921"/>
      <c r="C119" s="930" t="s">
        <v>596</v>
      </c>
      <c r="D119" s="923">
        <v>0</v>
      </c>
      <c r="E119" s="923">
        <v>0</v>
      </c>
      <c r="F119" s="924">
        <f t="shared" si="1"/>
        <v>0</v>
      </c>
      <c r="G119" s="305"/>
      <c r="H119" s="305"/>
      <c r="I119" s="305"/>
      <c r="J119" s="305"/>
      <c r="K119" s="305"/>
      <c r="L119" s="305"/>
      <c r="M119" s="305"/>
      <c r="N119" s="305"/>
      <c r="O119" s="305"/>
      <c r="P119" s="305"/>
      <c r="Q119" s="305"/>
    </row>
    <row r="120" spans="1:17" s="308" customFormat="1" ht="30" customHeight="1" thickBot="1">
      <c r="A120" s="925" t="s">
        <v>597</v>
      </c>
      <c r="B120" s="926"/>
      <c r="C120" s="931" t="s">
        <v>598</v>
      </c>
      <c r="D120" s="928">
        <v>0</v>
      </c>
      <c r="E120" s="928">
        <v>0</v>
      </c>
      <c r="F120" s="929">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9811</v>
      </c>
      <c r="E121" s="346">
        <f>SUM(E108:E120)</f>
        <v>0</v>
      </c>
      <c r="F121" s="346">
        <f>SUM(D121:E121)</f>
        <v>9811</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1" customFormat="1" ht="30" customHeight="1" thickBot="1">
      <c r="A123" s="1074" t="s">
        <v>600</v>
      </c>
      <c r="B123" s="1079"/>
      <c r="C123" s="332"/>
      <c r="D123" s="342">
        <f>+D57+D103+D121</f>
        <v>12204587.910000002</v>
      </c>
      <c r="E123" s="342">
        <f>+E57+E103+E121</f>
        <v>0</v>
      </c>
      <c r="F123" s="342">
        <f>SUM(D123:E123)</f>
        <v>12204587.910000002</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08" t="s">
        <v>648</v>
      </c>
      <c r="B126" s="1209"/>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79">
        <v>0</v>
      </c>
      <c r="E127" s="579">
        <v>0</v>
      </c>
      <c r="F127" s="1335">
        <v>0</v>
      </c>
      <c r="G127" s="338"/>
      <c r="H127" s="338"/>
      <c r="I127" s="338"/>
      <c r="J127" s="338"/>
      <c r="K127" s="338"/>
      <c r="L127" s="338"/>
      <c r="M127" s="338"/>
      <c r="N127" s="338"/>
      <c r="O127" s="338"/>
      <c r="P127" s="338"/>
      <c r="Q127" s="338"/>
    </row>
    <row r="128" spans="1:17" s="339" customFormat="1" ht="30" customHeight="1">
      <c r="A128" s="920" t="s">
        <v>650</v>
      </c>
      <c r="B128" s="753"/>
      <c r="C128" s="932"/>
      <c r="D128" s="1332">
        <f>'EXHIBIT C'!H10</f>
        <v>6670900</v>
      </c>
      <c r="E128" s="923">
        <v>0</v>
      </c>
      <c r="F128" s="924">
        <f t="shared" ref="F128:F138" si="3">+D128+E128</f>
        <v>6670900</v>
      </c>
      <c r="G128" s="338"/>
      <c r="H128" s="338"/>
      <c r="I128" s="338"/>
      <c r="J128" s="338"/>
      <c r="K128" s="338"/>
      <c r="L128" s="338"/>
      <c r="M128" s="338"/>
      <c r="N128" s="338"/>
      <c r="O128" s="338"/>
      <c r="P128" s="338"/>
      <c r="Q128" s="338"/>
    </row>
    <row r="129" spans="1:17" s="339" customFormat="1" ht="30" customHeight="1">
      <c r="A129" s="920" t="s">
        <v>651</v>
      </c>
      <c r="B129" s="753"/>
      <c r="C129" s="932"/>
      <c r="D129" s="1332">
        <f>'EXHIBIT C'!F19</f>
        <v>417883</v>
      </c>
      <c r="E129" s="923">
        <v>0</v>
      </c>
      <c r="F129" s="924">
        <f t="shared" si="3"/>
        <v>417883</v>
      </c>
      <c r="G129" s="338"/>
      <c r="H129" s="338"/>
      <c r="I129" s="338"/>
      <c r="J129" s="338"/>
      <c r="K129" s="338"/>
      <c r="L129" s="338"/>
      <c r="M129" s="338"/>
      <c r="N129" s="338"/>
      <c r="O129" s="338"/>
      <c r="P129" s="338"/>
      <c r="Q129" s="338"/>
    </row>
    <row r="130" spans="1:17" s="339" customFormat="1" ht="50.25" customHeight="1">
      <c r="A130" s="920" t="s">
        <v>652</v>
      </c>
      <c r="B130" s="753"/>
      <c r="C130" s="932"/>
      <c r="D130" s="923">
        <v>1702716</v>
      </c>
      <c r="E130" s="923">
        <v>0</v>
      </c>
      <c r="F130" s="924">
        <f t="shared" si="3"/>
        <v>1702716</v>
      </c>
      <c r="G130" s="338"/>
      <c r="H130" s="338"/>
      <c r="I130" s="338"/>
      <c r="J130" s="338"/>
      <c r="K130" s="338"/>
      <c r="L130" s="338"/>
      <c r="M130" s="338"/>
      <c r="N130" s="338"/>
      <c r="O130" s="338"/>
      <c r="P130" s="338"/>
      <c r="Q130" s="338"/>
    </row>
    <row r="131" spans="1:17" s="339" customFormat="1" ht="30" customHeight="1">
      <c r="A131" s="920" t="s">
        <v>653</v>
      </c>
      <c r="B131" s="753"/>
      <c r="C131" s="932"/>
      <c r="D131" s="923">
        <v>0</v>
      </c>
      <c r="E131" s="923">
        <v>0</v>
      </c>
      <c r="F131" s="924">
        <f t="shared" si="3"/>
        <v>0</v>
      </c>
      <c r="G131" s="338"/>
      <c r="H131" s="338"/>
      <c r="I131" s="338"/>
      <c r="J131" s="338"/>
      <c r="K131" s="338"/>
      <c r="L131" s="338"/>
      <c r="M131" s="338"/>
      <c r="N131" s="338"/>
      <c r="O131" s="338"/>
      <c r="P131" s="338"/>
      <c r="Q131" s="338"/>
    </row>
    <row r="132" spans="1:17" s="339" customFormat="1" ht="30" customHeight="1">
      <c r="A132" s="1212" t="s">
        <v>729</v>
      </c>
      <c r="B132" s="1213"/>
      <c r="C132" s="932"/>
      <c r="D132" s="923">
        <v>0</v>
      </c>
      <c r="E132" s="923">
        <v>0</v>
      </c>
      <c r="F132" s="924">
        <f t="shared" si="3"/>
        <v>0</v>
      </c>
      <c r="G132" s="338"/>
      <c r="H132" s="338"/>
      <c r="I132" s="338"/>
      <c r="J132" s="338"/>
      <c r="K132" s="338"/>
      <c r="L132" s="338"/>
      <c r="M132" s="338"/>
      <c r="N132" s="338"/>
      <c r="O132" s="338"/>
      <c r="P132" s="338"/>
      <c r="Q132" s="338"/>
    </row>
    <row r="133" spans="1:17" s="339" customFormat="1" ht="30" customHeight="1">
      <c r="A133" s="920" t="s">
        <v>654</v>
      </c>
      <c r="B133" s="753"/>
      <c r="C133" s="932"/>
      <c r="D133" s="923">
        <v>3413088.91</v>
      </c>
      <c r="E133" s="923">
        <v>0</v>
      </c>
      <c r="F133" s="924">
        <f t="shared" si="3"/>
        <v>3413088.91</v>
      </c>
      <c r="G133" s="338"/>
      <c r="H133" s="338"/>
      <c r="I133" s="338"/>
      <c r="J133" s="338"/>
      <c r="K133" s="338"/>
      <c r="L133" s="338"/>
      <c r="M133" s="338"/>
      <c r="N133" s="338"/>
      <c r="O133" s="338"/>
      <c r="P133" s="338"/>
      <c r="Q133" s="338"/>
    </row>
    <row r="134" spans="1:17" s="339" customFormat="1" ht="30" customHeight="1">
      <c r="A134" s="920" t="s">
        <v>655</v>
      </c>
      <c r="B134" s="753"/>
      <c r="C134" s="932"/>
      <c r="D134" s="923">
        <v>0</v>
      </c>
      <c r="E134" s="923">
        <v>0</v>
      </c>
      <c r="F134" s="924">
        <f t="shared" si="3"/>
        <v>0</v>
      </c>
      <c r="G134" s="338"/>
      <c r="H134" s="338"/>
      <c r="I134" s="338"/>
      <c r="J134" s="338"/>
      <c r="K134" s="338"/>
      <c r="L134" s="338"/>
      <c r="M134" s="338"/>
      <c r="N134" s="338"/>
      <c r="O134" s="338"/>
      <c r="P134" s="338"/>
      <c r="Q134" s="338"/>
    </row>
    <row r="135" spans="1:17" s="339" customFormat="1" ht="30" customHeight="1">
      <c r="A135" s="920" t="s">
        <v>656</v>
      </c>
      <c r="B135" s="753"/>
      <c r="C135" s="932"/>
      <c r="D135" s="923">
        <v>0</v>
      </c>
      <c r="E135" s="923">
        <v>0</v>
      </c>
      <c r="F135" s="924">
        <f t="shared" si="3"/>
        <v>0</v>
      </c>
      <c r="G135" s="338"/>
      <c r="H135" s="338"/>
      <c r="I135" s="338"/>
      <c r="J135" s="338"/>
      <c r="K135" s="338"/>
      <c r="L135" s="338"/>
      <c r="M135" s="338"/>
      <c r="N135" s="338"/>
      <c r="O135" s="338"/>
      <c r="P135" s="338"/>
      <c r="Q135" s="338"/>
    </row>
    <row r="136" spans="1:17" s="339" customFormat="1" ht="30" customHeight="1">
      <c r="A136" s="920" t="s">
        <v>657</v>
      </c>
      <c r="B136" s="753"/>
      <c r="C136" s="932"/>
      <c r="D136" s="923">
        <v>0</v>
      </c>
      <c r="E136" s="923">
        <v>0</v>
      </c>
      <c r="F136" s="924">
        <f t="shared" si="3"/>
        <v>0</v>
      </c>
      <c r="G136" s="338"/>
      <c r="H136" s="338"/>
      <c r="I136" s="338"/>
      <c r="J136" s="338"/>
      <c r="K136" s="338"/>
      <c r="L136" s="338"/>
      <c r="M136" s="338"/>
      <c r="N136" s="338"/>
      <c r="O136" s="338"/>
      <c r="P136" s="338"/>
      <c r="Q136" s="338"/>
    </row>
    <row r="137" spans="1:17" ht="24.75" customHeight="1">
      <c r="A137" s="920" t="s">
        <v>658</v>
      </c>
      <c r="B137" s="753"/>
      <c r="C137" s="932"/>
      <c r="D137" s="923">
        <v>0</v>
      </c>
      <c r="E137" s="923">
        <v>0</v>
      </c>
      <c r="F137" s="924">
        <f t="shared" si="3"/>
        <v>0</v>
      </c>
      <c r="G137" s="322"/>
      <c r="H137" s="322"/>
      <c r="I137" s="322"/>
      <c r="J137" s="322"/>
      <c r="K137" s="322"/>
      <c r="L137" s="322"/>
      <c r="M137" s="322"/>
      <c r="N137" s="322"/>
      <c r="O137" s="322"/>
      <c r="P137" s="322"/>
      <c r="Q137" s="322"/>
    </row>
    <row r="138" spans="1:17" ht="22.5" customHeight="1" thickBot="1">
      <c r="A138" s="925" t="s">
        <v>659</v>
      </c>
      <c r="B138" s="933"/>
      <c r="C138" s="934"/>
      <c r="D138" s="928">
        <v>0</v>
      </c>
      <c r="E138" s="928">
        <v>0</v>
      </c>
      <c r="F138" s="929">
        <f t="shared" si="3"/>
        <v>0</v>
      </c>
      <c r="G138" s="322"/>
      <c r="H138" s="322"/>
      <c r="I138" s="322"/>
      <c r="J138" s="322"/>
      <c r="K138" s="322"/>
      <c r="L138" s="322"/>
      <c r="M138" s="322"/>
      <c r="N138" s="322"/>
      <c r="O138" s="322"/>
      <c r="P138" s="322"/>
      <c r="Q138" s="322"/>
    </row>
    <row r="139" spans="1:17" ht="110.1" customHeight="1" thickBot="1">
      <c r="A139" s="1074" t="s">
        <v>660</v>
      </c>
      <c r="B139" s="1075"/>
      <c r="C139" s="332"/>
      <c r="D139" s="333">
        <f>SUM(D127:D138)</f>
        <v>12204587.91</v>
      </c>
      <c r="E139" s="334">
        <f>SUM(E127:E138)</f>
        <v>0</v>
      </c>
      <c r="F139" s="335">
        <f>SUM(F127:F138)</f>
        <v>12204587.91</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49" t="s">
        <v>799</v>
      </c>
      <c r="B141" s="1149"/>
      <c r="C141" s="1150"/>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4" t="s">
        <v>800</v>
      </c>
      <c r="B143" s="308"/>
      <c r="C143" s="308"/>
      <c r="D143" s="327"/>
      <c r="E143" s="327"/>
      <c r="F143" s="328"/>
      <c r="G143" s="322"/>
      <c r="H143" s="322"/>
      <c r="I143" s="322"/>
      <c r="J143" s="322"/>
      <c r="K143" s="322"/>
      <c r="L143" s="322"/>
      <c r="M143" s="322"/>
      <c r="N143" s="322"/>
      <c r="O143" s="322"/>
      <c r="P143" s="322"/>
      <c r="Q143" s="322"/>
    </row>
    <row r="144" spans="1:17" ht="30" customHeight="1">
      <c r="A144" s="1066"/>
      <c r="B144" s="1067"/>
      <c r="C144" s="1067"/>
      <c r="D144" s="1067"/>
      <c r="E144" s="1067"/>
      <c r="F144" s="1068"/>
      <c r="G144" s="322"/>
      <c r="H144" s="322"/>
      <c r="I144" s="322"/>
      <c r="J144" s="322"/>
      <c r="K144" s="322"/>
      <c r="L144" s="322"/>
      <c r="M144" s="322"/>
      <c r="N144" s="322"/>
      <c r="O144" s="322"/>
      <c r="P144" s="322"/>
      <c r="Q144" s="322"/>
    </row>
    <row r="145" spans="1:17" ht="30" customHeight="1">
      <c r="A145" s="1069"/>
      <c r="B145" s="1022"/>
      <c r="C145" s="1022"/>
      <c r="D145" s="1022"/>
      <c r="E145" s="1022"/>
      <c r="F145" s="1070"/>
      <c r="G145" s="322"/>
      <c r="H145" s="322"/>
      <c r="I145" s="322"/>
      <c r="J145" s="322"/>
      <c r="K145" s="322"/>
      <c r="L145" s="322"/>
      <c r="M145" s="322"/>
      <c r="N145" s="322"/>
      <c r="O145" s="322"/>
      <c r="P145" s="322"/>
      <c r="Q145" s="322"/>
    </row>
    <row r="146" spans="1:17" ht="30" customHeight="1">
      <c r="A146" s="1069"/>
      <c r="B146" s="1022"/>
      <c r="C146" s="1022"/>
      <c r="D146" s="1022"/>
      <c r="E146" s="1022"/>
      <c r="F146" s="1070"/>
      <c r="G146" s="322"/>
      <c r="H146" s="322"/>
      <c r="I146" s="322"/>
      <c r="J146" s="322"/>
      <c r="K146" s="322"/>
      <c r="L146" s="322"/>
      <c r="M146" s="322"/>
      <c r="N146" s="322"/>
      <c r="O146" s="322"/>
      <c r="P146" s="322"/>
      <c r="Q146" s="322"/>
    </row>
    <row r="147" spans="1:17" ht="30" customHeight="1">
      <c r="A147" s="1069"/>
      <c r="B147" s="1022"/>
      <c r="C147" s="1022"/>
      <c r="D147" s="1022"/>
      <c r="E147" s="1022"/>
      <c r="F147" s="1070"/>
      <c r="G147" s="322"/>
      <c r="H147" s="322"/>
      <c r="I147" s="322"/>
      <c r="J147" s="322"/>
      <c r="K147" s="322"/>
      <c r="L147" s="322"/>
      <c r="M147" s="322"/>
      <c r="N147" s="322"/>
      <c r="O147" s="322"/>
      <c r="P147" s="322"/>
      <c r="Q147" s="322"/>
    </row>
    <row r="148" spans="1:17" ht="30" customHeight="1">
      <c r="A148" s="1069"/>
      <c r="B148" s="1022"/>
      <c r="C148" s="1022"/>
      <c r="D148" s="1022"/>
      <c r="E148" s="1022"/>
      <c r="F148" s="1070"/>
      <c r="G148" s="322"/>
      <c r="H148" s="322"/>
      <c r="I148" s="322"/>
      <c r="J148" s="322"/>
      <c r="K148" s="322"/>
      <c r="L148" s="322"/>
      <c r="M148" s="322"/>
      <c r="N148" s="322"/>
      <c r="O148" s="322"/>
      <c r="P148" s="322"/>
      <c r="Q148" s="322"/>
    </row>
    <row r="149" spans="1:17" ht="30" customHeight="1">
      <c r="A149" s="1069"/>
      <c r="B149" s="1022"/>
      <c r="C149" s="1022"/>
      <c r="D149" s="1022"/>
      <c r="E149" s="1022"/>
      <c r="F149" s="1070"/>
      <c r="G149" s="322"/>
      <c r="H149" s="322"/>
      <c r="I149" s="322"/>
      <c r="J149" s="322"/>
      <c r="K149" s="322"/>
      <c r="L149" s="322"/>
      <c r="M149" s="322"/>
      <c r="N149" s="322"/>
      <c r="O149" s="322"/>
      <c r="P149" s="322"/>
      <c r="Q149" s="322"/>
    </row>
    <row r="150" spans="1:17" ht="27" customHeight="1" thickBot="1">
      <c r="A150" s="1071"/>
      <c r="B150" s="1072"/>
      <c r="C150" s="1072"/>
      <c r="D150" s="1072"/>
      <c r="E150" s="1072"/>
      <c r="F150" s="1073"/>
      <c r="G150" s="322"/>
      <c r="H150" s="322"/>
      <c r="I150" s="322"/>
      <c r="J150" s="322"/>
      <c r="K150" s="322"/>
      <c r="L150" s="322"/>
      <c r="M150" s="322"/>
      <c r="N150" s="322"/>
      <c r="O150" s="322"/>
      <c r="P150" s="322"/>
      <c r="Q150" s="322"/>
    </row>
    <row r="151" spans="1:17" ht="30" customHeight="1">
      <c r="A151" s="581"/>
      <c r="B151" s="581"/>
      <c r="C151" s="581"/>
      <c r="D151" s="581"/>
      <c r="E151" s="581"/>
      <c r="F151" s="581"/>
      <c r="G151" s="322"/>
      <c r="H151" s="322"/>
      <c r="I151" s="322"/>
      <c r="J151" s="322"/>
      <c r="K151" s="322"/>
      <c r="L151" s="322"/>
      <c r="M151" s="322"/>
      <c r="N151" s="322"/>
      <c r="O151" s="322"/>
      <c r="P151" s="322"/>
      <c r="Q151" s="322"/>
    </row>
    <row r="152" spans="1:17" ht="30" customHeight="1" thickBot="1">
      <c r="A152" s="584" t="s">
        <v>661</v>
      </c>
      <c r="B152" s="582"/>
      <c r="C152" s="582"/>
      <c r="D152" s="327"/>
      <c r="E152" s="327"/>
      <c r="F152" s="328"/>
      <c r="G152" s="322"/>
      <c r="H152" s="322"/>
      <c r="I152" s="322"/>
      <c r="J152" s="322"/>
      <c r="K152" s="322"/>
      <c r="L152" s="322"/>
      <c r="M152" s="322"/>
      <c r="N152" s="322"/>
      <c r="O152" s="322"/>
      <c r="P152" s="322"/>
      <c r="Q152" s="322"/>
    </row>
    <row r="153" spans="1:17" ht="30" customHeight="1">
      <c r="A153" s="1066"/>
      <c r="B153" s="1067"/>
      <c r="C153" s="1067"/>
      <c r="D153" s="1067"/>
      <c r="E153" s="1067"/>
      <c r="F153" s="1068"/>
      <c r="G153" s="322"/>
      <c r="H153" s="322"/>
      <c r="I153" s="322"/>
      <c r="J153" s="322"/>
      <c r="K153" s="322"/>
      <c r="L153" s="322"/>
      <c r="M153" s="322"/>
      <c r="N153" s="322"/>
      <c r="O153" s="322"/>
      <c r="P153" s="322"/>
      <c r="Q153" s="322"/>
    </row>
    <row r="154" spans="1:17" ht="30" customHeight="1">
      <c r="A154" s="1069"/>
      <c r="B154" s="1022"/>
      <c r="C154" s="1022"/>
      <c r="D154" s="1022"/>
      <c r="E154" s="1022"/>
      <c r="F154" s="1070"/>
      <c r="G154" s="322"/>
      <c r="H154" s="322"/>
      <c r="I154" s="322"/>
      <c r="J154" s="322"/>
      <c r="K154" s="322"/>
      <c r="L154" s="322"/>
      <c r="M154" s="322"/>
      <c r="N154" s="322"/>
      <c r="O154" s="322"/>
      <c r="P154" s="322"/>
      <c r="Q154" s="322"/>
    </row>
    <row r="155" spans="1:17" ht="30" customHeight="1">
      <c r="A155" s="1069"/>
      <c r="B155" s="1022"/>
      <c r="C155" s="1022"/>
      <c r="D155" s="1022"/>
      <c r="E155" s="1022"/>
      <c r="F155" s="1070"/>
      <c r="G155" s="322"/>
      <c r="H155" s="322"/>
      <c r="I155" s="322"/>
      <c r="J155" s="322"/>
      <c r="K155" s="322"/>
      <c r="L155" s="322"/>
      <c r="M155" s="322"/>
      <c r="N155" s="322"/>
      <c r="O155" s="322"/>
      <c r="P155" s="322"/>
      <c r="Q155" s="322"/>
    </row>
    <row r="156" spans="1:17" ht="30" customHeight="1">
      <c r="A156" s="1069"/>
      <c r="B156" s="1022"/>
      <c r="C156" s="1022"/>
      <c r="D156" s="1022"/>
      <c r="E156" s="1022"/>
      <c r="F156" s="1070"/>
      <c r="G156" s="322"/>
      <c r="H156" s="322"/>
      <c r="I156" s="322"/>
      <c r="J156" s="322"/>
      <c r="K156" s="322"/>
      <c r="L156" s="322"/>
      <c r="M156" s="322"/>
      <c r="N156" s="322"/>
      <c r="O156" s="322"/>
      <c r="P156" s="322"/>
      <c r="Q156" s="322"/>
    </row>
    <row r="157" spans="1:17" ht="30" customHeight="1">
      <c r="A157" s="1069"/>
      <c r="B157" s="1022"/>
      <c r="C157" s="1022"/>
      <c r="D157" s="1022"/>
      <c r="E157" s="1022"/>
      <c r="F157" s="1070"/>
      <c r="G157" s="322"/>
      <c r="H157" s="322"/>
      <c r="I157" s="322"/>
      <c r="J157" s="322"/>
      <c r="K157" s="322"/>
      <c r="L157" s="322"/>
      <c r="M157" s="322"/>
      <c r="N157" s="322"/>
      <c r="O157" s="322"/>
      <c r="P157" s="322"/>
      <c r="Q157" s="322"/>
    </row>
    <row r="158" spans="1:17" ht="25.35" customHeight="1">
      <c r="A158" s="1069"/>
      <c r="B158" s="1022"/>
      <c r="C158" s="1022"/>
      <c r="D158" s="1022"/>
      <c r="E158" s="1022"/>
      <c r="F158" s="1070"/>
      <c r="G158" s="322"/>
      <c r="H158" s="322"/>
      <c r="I158" s="322"/>
      <c r="J158" s="322"/>
      <c r="K158" s="322"/>
      <c r="L158" s="322"/>
      <c r="M158" s="322"/>
      <c r="N158" s="322"/>
      <c r="O158" s="322"/>
      <c r="P158" s="322"/>
      <c r="Q158" s="322"/>
    </row>
    <row r="159" spans="1:17" ht="25.35" customHeight="1" thickBot="1">
      <c r="A159" s="1071"/>
      <c r="B159" s="1072"/>
      <c r="C159" s="1072"/>
      <c r="D159" s="1072"/>
      <c r="E159" s="1072"/>
      <c r="F159" s="1073"/>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2" t="s">
        <v>11</v>
      </c>
      <c r="C1" s="1122"/>
      <c r="D1" s="1122"/>
      <c r="E1" s="1122"/>
      <c r="F1" s="352"/>
      <c r="G1" s="352"/>
    </row>
    <row r="2" spans="2:7" ht="26.25">
      <c r="B2" s="1122" t="s">
        <v>756</v>
      </c>
      <c r="C2" s="1122"/>
      <c r="D2" s="1122"/>
      <c r="E2" s="1122"/>
      <c r="F2" s="352"/>
      <c r="G2" s="352"/>
    </row>
    <row r="3" spans="2:7" ht="21">
      <c r="B3" s="1108"/>
      <c r="C3" s="1108"/>
      <c r="D3" s="1108"/>
      <c r="E3" s="1108"/>
      <c r="F3" s="352"/>
      <c r="G3" s="352"/>
    </row>
    <row r="4" spans="2:7" ht="21.75" thickBot="1">
      <c r="B4" s="1237"/>
      <c r="C4" s="1237"/>
      <c r="D4" s="1237"/>
      <c r="E4" s="1237"/>
      <c r="F4" s="352"/>
      <c r="G4" s="352"/>
    </row>
    <row r="5" spans="2:7" ht="48" customHeight="1">
      <c r="B5" s="1101" t="s">
        <v>662</v>
      </c>
      <c r="C5" s="1217" t="s">
        <v>663</v>
      </c>
      <c r="D5" s="1218"/>
      <c r="E5" s="1219"/>
    </row>
    <row r="6" spans="2:7">
      <c r="B6" s="1102"/>
      <c r="C6" s="1088" t="s">
        <v>664</v>
      </c>
      <c r="D6" s="935" t="s">
        <v>665</v>
      </c>
      <c r="E6" s="936" t="s">
        <v>666</v>
      </c>
    </row>
    <row r="7" spans="2:7" ht="29.25" customHeight="1">
      <c r="B7" s="1103"/>
      <c r="C7" s="1089"/>
      <c r="D7" s="937">
        <v>-0.1</v>
      </c>
      <c r="E7" s="938">
        <v>0.15</v>
      </c>
    </row>
    <row r="8" spans="2:7" ht="15" customHeight="1">
      <c r="B8" s="939" t="s">
        <v>205</v>
      </c>
      <c r="C8" s="940">
        <v>71.975999999999999</v>
      </c>
      <c r="D8" s="940">
        <v>64.78</v>
      </c>
      <c r="E8" s="941">
        <v>82.78</v>
      </c>
    </row>
    <row r="9" spans="2:7" ht="15" customHeight="1">
      <c r="B9" s="942" t="s">
        <v>667</v>
      </c>
      <c r="C9" s="943">
        <v>3.6</v>
      </c>
      <c r="D9" s="943">
        <v>3.24</v>
      </c>
      <c r="E9" s="944">
        <v>4.1399999999999997</v>
      </c>
    </row>
    <row r="10" spans="2:7" ht="15" customHeight="1">
      <c r="B10" s="942" t="s">
        <v>668</v>
      </c>
      <c r="C10" s="943">
        <v>3.6</v>
      </c>
      <c r="D10" s="943">
        <v>3.24</v>
      </c>
      <c r="E10" s="944">
        <v>4.1399999999999997</v>
      </c>
    </row>
    <row r="11" spans="2:7" ht="15" customHeight="1">
      <c r="B11" s="945" t="s">
        <v>669</v>
      </c>
      <c r="C11" s="943">
        <v>7.2</v>
      </c>
      <c r="D11" s="943">
        <v>6.48</v>
      </c>
      <c r="E11" s="944">
        <v>8.2799999999999994</v>
      </c>
      <c r="F11" s="671"/>
    </row>
    <row r="12" spans="2:7" ht="15" customHeight="1">
      <c r="B12" s="946" t="s">
        <v>670</v>
      </c>
      <c r="C12" s="947"/>
      <c r="D12" s="947"/>
      <c r="E12" s="948"/>
    </row>
    <row r="13" spans="2:7" ht="42.6" customHeight="1">
      <c r="B13" s="1104" t="s">
        <v>671</v>
      </c>
      <c r="C13" s="1214" t="s">
        <v>663</v>
      </c>
      <c r="D13" s="1215"/>
      <c r="E13" s="1216"/>
    </row>
    <row r="14" spans="2:7">
      <c r="B14" s="1102"/>
      <c r="C14" s="1088" t="s">
        <v>664</v>
      </c>
      <c r="D14" s="949" t="s">
        <v>665</v>
      </c>
      <c r="E14" s="950" t="s">
        <v>666</v>
      </c>
    </row>
    <row r="15" spans="2:7">
      <c r="B15" s="1103"/>
      <c r="C15" s="1089"/>
      <c r="D15" s="937">
        <f>D7</f>
        <v>-0.1</v>
      </c>
      <c r="E15" s="938">
        <f>E7</f>
        <v>0.15</v>
      </c>
    </row>
    <row r="16" spans="2:7" ht="15" customHeight="1">
      <c r="B16" s="951" t="s">
        <v>205</v>
      </c>
      <c r="C16" s="943">
        <v>71.975999999999999</v>
      </c>
      <c r="D16" s="943">
        <v>64.78</v>
      </c>
      <c r="E16" s="944">
        <v>82.78</v>
      </c>
    </row>
    <row r="17" spans="2:5" ht="15" customHeight="1">
      <c r="B17" s="951" t="s">
        <v>672</v>
      </c>
      <c r="C17" s="943">
        <v>215.93799999999999</v>
      </c>
      <c r="D17" s="943">
        <v>194.35</v>
      </c>
      <c r="E17" s="944">
        <v>248.33</v>
      </c>
    </row>
    <row r="18" spans="2:5" ht="15" customHeight="1">
      <c r="B18" s="946" t="s">
        <v>673</v>
      </c>
      <c r="C18" s="943">
        <v>14.4</v>
      </c>
      <c r="D18" s="943">
        <v>12.96</v>
      </c>
      <c r="E18" s="944">
        <v>16.559999999999999</v>
      </c>
    </row>
    <row r="19" spans="2:5" ht="15" customHeight="1">
      <c r="B19" s="946" t="s">
        <v>674</v>
      </c>
      <c r="C19" s="943">
        <v>14.4</v>
      </c>
      <c r="D19" s="943">
        <v>12.96</v>
      </c>
      <c r="E19" s="944">
        <v>16.559999999999999</v>
      </c>
    </row>
    <row r="20" spans="2:5" ht="15" customHeight="1">
      <c r="B20" s="952" t="s">
        <v>675</v>
      </c>
      <c r="C20" s="943">
        <v>7.2</v>
      </c>
      <c r="D20" s="943">
        <v>6.48</v>
      </c>
      <c r="E20" s="944">
        <v>8.2799999999999994</v>
      </c>
    </row>
    <row r="21" spans="2:5" ht="15" customHeight="1" thickBot="1">
      <c r="B21" s="953" t="s">
        <v>676</v>
      </c>
      <c r="C21" s="954">
        <v>57.58</v>
      </c>
      <c r="D21" s="954">
        <v>51.83</v>
      </c>
      <c r="E21" s="955">
        <v>66.22</v>
      </c>
    </row>
    <row r="22" spans="2:5" ht="16.5" thickBot="1">
      <c r="B22" s="354"/>
      <c r="C22" s="355"/>
      <c r="D22" s="355"/>
      <c r="E22" s="355"/>
    </row>
    <row r="23" spans="2:5" ht="34.35" customHeight="1">
      <c r="B23" s="1105" t="s">
        <v>677</v>
      </c>
      <c r="C23" s="1220" t="s">
        <v>663</v>
      </c>
      <c r="D23" s="1221"/>
      <c r="E23" s="1222"/>
    </row>
    <row r="24" spans="2:5">
      <c r="B24" s="1106"/>
      <c r="C24" s="1088" t="s">
        <v>664</v>
      </c>
      <c r="D24" s="935" t="s">
        <v>665</v>
      </c>
      <c r="E24" s="956" t="s">
        <v>666</v>
      </c>
    </row>
    <row r="25" spans="2:5">
      <c r="B25" s="1107"/>
      <c r="C25" s="1089"/>
      <c r="D25" s="937">
        <v>0</v>
      </c>
      <c r="E25" s="957">
        <v>0</v>
      </c>
    </row>
    <row r="26" spans="2:5" ht="15" customHeight="1">
      <c r="B26" s="958" t="s">
        <v>205</v>
      </c>
      <c r="C26" s="943">
        <v>91.79</v>
      </c>
      <c r="D26" s="943">
        <f>ROUND(C26*(1+D25),2)</f>
        <v>91.79</v>
      </c>
      <c r="E26" s="959">
        <f>ROUND(C26*(1+E25),2)</f>
        <v>91.79</v>
      </c>
    </row>
    <row r="27" spans="2:5" ht="15" customHeight="1">
      <c r="B27" s="960" t="s">
        <v>667</v>
      </c>
      <c r="C27" s="943">
        <v>4.59</v>
      </c>
      <c r="D27" s="943">
        <v>4.59</v>
      </c>
      <c r="E27" s="959">
        <v>4.59</v>
      </c>
    </row>
    <row r="28" spans="2:5" ht="15" customHeight="1">
      <c r="B28" s="960" t="s">
        <v>668</v>
      </c>
      <c r="C28" s="943">
        <v>4.59</v>
      </c>
      <c r="D28" s="943">
        <v>4.59</v>
      </c>
      <c r="E28" s="959">
        <v>4.59</v>
      </c>
    </row>
    <row r="29" spans="2:5" ht="15" customHeight="1">
      <c r="B29" s="961" t="s">
        <v>669</v>
      </c>
      <c r="C29" s="943">
        <v>9.18</v>
      </c>
      <c r="D29" s="943">
        <v>9.18</v>
      </c>
      <c r="E29" s="959">
        <v>9.18</v>
      </c>
    </row>
    <row r="30" spans="2:5" ht="15" customHeight="1">
      <c r="B30" s="960" t="s">
        <v>678</v>
      </c>
      <c r="C30" s="947"/>
      <c r="D30" s="947"/>
      <c r="E30" s="962"/>
    </row>
    <row r="31" spans="2:5" ht="41.45" customHeight="1">
      <c r="B31" s="1096" t="s">
        <v>679</v>
      </c>
      <c r="C31" s="1214" t="s">
        <v>663</v>
      </c>
      <c r="D31" s="1215"/>
      <c r="E31" s="1223"/>
    </row>
    <row r="32" spans="2:5">
      <c r="B32" s="1097"/>
      <c r="C32" s="1088" t="s">
        <v>664</v>
      </c>
      <c r="D32" s="935" t="s">
        <v>665</v>
      </c>
      <c r="E32" s="956" t="s">
        <v>666</v>
      </c>
    </row>
    <row r="33" spans="2:7">
      <c r="B33" s="1098"/>
      <c r="C33" s="1089"/>
      <c r="D33" s="937">
        <f>D25</f>
        <v>0</v>
      </c>
      <c r="E33" s="957">
        <f>E25</f>
        <v>0</v>
      </c>
    </row>
    <row r="34" spans="2:7" ht="15" customHeight="1">
      <c r="B34" s="958" t="s">
        <v>205</v>
      </c>
      <c r="C34" s="943">
        <v>91.79</v>
      </c>
      <c r="D34" s="943">
        <f>ROUND(C34*(1+D33),2)</f>
        <v>91.79</v>
      </c>
      <c r="E34" s="959">
        <f>ROUND(C34*(1+E33),2)</f>
        <v>91.79</v>
      </c>
    </row>
    <row r="35" spans="2:7" ht="15" customHeight="1">
      <c r="B35" s="958" t="s">
        <v>672</v>
      </c>
      <c r="C35" s="963" t="s">
        <v>680</v>
      </c>
      <c r="D35" s="963" t="s">
        <v>680</v>
      </c>
      <c r="E35" s="964" t="s">
        <v>680</v>
      </c>
    </row>
    <row r="36" spans="2:7" ht="15" customHeight="1">
      <c r="B36" s="960" t="s">
        <v>673</v>
      </c>
      <c r="C36" s="963" t="s">
        <v>680</v>
      </c>
      <c r="D36" s="963" t="s">
        <v>680</v>
      </c>
      <c r="E36" s="964" t="s">
        <v>680</v>
      </c>
    </row>
    <row r="37" spans="2:7" ht="15" customHeight="1">
      <c r="B37" s="960" t="s">
        <v>674</v>
      </c>
      <c r="C37" s="963" t="s">
        <v>680</v>
      </c>
      <c r="D37" s="963" t="s">
        <v>680</v>
      </c>
      <c r="E37" s="964" t="s">
        <v>680</v>
      </c>
    </row>
    <row r="38" spans="2:7" ht="15" customHeight="1">
      <c r="B38" s="961" t="s">
        <v>675</v>
      </c>
      <c r="C38" s="943">
        <f>C29</f>
        <v>9.18</v>
      </c>
      <c r="D38" s="943">
        <f>D29</f>
        <v>9.18</v>
      </c>
      <c r="E38" s="959">
        <f>E29</f>
        <v>9.18</v>
      </c>
    </row>
    <row r="39" spans="2:7" ht="15" customHeight="1" thickBot="1">
      <c r="B39" s="965" t="s">
        <v>676</v>
      </c>
      <c r="C39" s="966" t="s">
        <v>680</v>
      </c>
      <c r="D39" s="966" t="s">
        <v>680</v>
      </c>
      <c r="E39" s="967" t="s">
        <v>680</v>
      </c>
    </row>
    <row r="40" spans="2:7">
      <c r="B40" s="354"/>
      <c r="C40" s="356"/>
      <c r="D40" s="356"/>
      <c r="E40" s="356"/>
    </row>
    <row r="41" spans="2:7">
      <c r="B41" s="357" t="s">
        <v>681</v>
      </c>
      <c r="C41" s="358"/>
      <c r="D41" s="358"/>
      <c r="E41" s="358"/>
    </row>
    <row r="42" spans="2:7" ht="48" customHeight="1">
      <c r="B42" s="1099" t="s">
        <v>682</v>
      </c>
      <c r="C42" s="1099"/>
      <c r="D42" s="1099"/>
      <c r="E42" s="1099"/>
    </row>
    <row r="43" spans="2:7">
      <c r="B43" s="1099"/>
      <c r="C43" s="1099"/>
      <c r="D43" s="1099"/>
      <c r="E43" s="1099"/>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1"/>
      <c r="D46" s="360"/>
      <c r="E46" s="360"/>
    </row>
    <row r="47" spans="2:7">
      <c r="B47" s="362" t="s">
        <v>684</v>
      </c>
      <c r="D47" s="360"/>
      <c r="E47" s="360"/>
      <c r="G47" s="1152"/>
    </row>
    <row r="48" spans="2:7">
      <c r="D48" s="360"/>
      <c r="E48" s="360"/>
    </row>
    <row r="49" spans="2:5" ht="15" customHeight="1">
      <c r="B49" s="1099"/>
      <c r="C49" s="1099"/>
      <c r="D49" s="1099"/>
      <c r="E49" s="1099"/>
    </row>
    <row r="50" spans="2:5">
      <c r="B50" s="1099"/>
      <c r="C50" s="1099"/>
      <c r="D50" s="1099"/>
      <c r="E50" s="1099"/>
    </row>
    <row r="51" spans="2:5">
      <c r="B51" s="1099"/>
      <c r="C51" s="1099"/>
      <c r="D51" s="1099"/>
      <c r="E51" s="1099"/>
    </row>
    <row r="52" spans="2:5" ht="21">
      <c r="B52" s="1108" t="str">
        <f>B1</f>
        <v>THE FLORIDA COLLEGE SYSTEM</v>
      </c>
      <c r="C52" s="1108"/>
      <c r="D52" s="1108"/>
      <c r="E52" s="1108"/>
    </row>
    <row r="53" spans="2:5" ht="21">
      <c r="B53" s="1108" t="str">
        <f>B2&amp;" , cont."</f>
        <v>FALL 2022-23 TUITION INCREASED BY 0% , cont.</v>
      </c>
      <c r="C53" s="1108"/>
      <c r="D53" s="1108"/>
      <c r="E53" s="1108"/>
    </row>
    <row r="54" spans="2:5" ht="21">
      <c r="B54" s="1108"/>
      <c r="C54" s="1108"/>
      <c r="D54" s="1108"/>
      <c r="E54" s="1108"/>
    </row>
    <row r="55" spans="2:5" ht="16.5" thickBot="1">
      <c r="B55" s="354"/>
      <c r="C55" s="356"/>
      <c r="D55" s="356"/>
      <c r="E55" s="356"/>
    </row>
    <row r="56" spans="2:5" ht="33" customHeight="1">
      <c r="B56" s="1091" t="s">
        <v>685</v>
      </c>
      <c r="C56" s="1220" t="s">
        <v>663</v>
      </c>
      <c r="D56" s="1221"/>
      <c r="E56" s="1222"/>
    </row>
    <row r="57" spans="2:5">
      <c r="B57" s="1092"/>
      <c r="C57" s="1088" t="s">
        <v>664</v>
      </c>
      <c r="D57" s="935" t="s">
        <v>665</v>
      </c>
      <c r="E57" s="956" t="s">
        <v>666</v>
      </c>
    </row>
    <row r="58" spans="2:5">
      <c r="B58" s="1093"/>
      <c r="C58" s="1089"/>
      <c r="D58" s="937">
        <v>-0.05</v>
      </c>
      <c r="E58" s="957">
        <v>0.05</v>
      </c>
    </row>
    <row r="59" spans="2:5" ht="15" customHeight="1">
      <c r="B59" s="958" t="s">
        <v>205</v>
      </c>
      <c r="C59" s="943">
        <v>69.900000000000006</v>
      </c>
      <c r="D59" s="943">
        <f>ROUND(C59*(1+D58),2)</f>
        <v>66.41</v>
      </c>
      <c r="E59" s="959">
        <f>ROUND(C59*(1+E58),2)</f>
        <v>73.400000000000006</v>
      </c>
    </row>
    <row r="60" spans="2:5" ht="15" customHeight="1">
      <c r="B60" s="960" t="s">
        <v>686</v>
      </c>
      <c r="C60" s="943">
        <v>6.99</v>
      </c>
      <c r="D60" s="968">
        <f>ROUND(D59*'DISCRETIONARY FEE PERCENTAGES'!$B$6,2)</f>
        <v>6.64</v>
      </c>
      <c r="E60" s="959">
        <f>ROUND(E59*'DISCRETIONARY FEE PERCENTAGES'!$B$6,2)</f>
        <v>7.34</v>
      </c>
    </row>
    <row r="61" spans="2:5" ht="15" customHeight="1">
      <c r="B61" s="960" t="s">
        <v>668</v>
      </c>
      <c r="C61" s="943">
        <v>3.5</v>
      </c>
      <c r="D61" s="968">
        <f>ROUND(D59*'DISCRETIONARY FEE PERCENTAGES'!$B$25,2)</f>
        <v>3.32</v>
      </c>
      <c r="E61" s="959">
        <f>ROUND(E59*'DISCRETIONARY FEE PERCENTAGES'!$B$25,2)</f>
        <v>3.67</v>
      </c>
    </row>
    <row r="62" spans="2:5" ht="15" customHeight="1">
      <c r="B62" s="960" t="s">
        <v>687</v>
      </c>
      <c r="C62" s="943">
        <v>3.5</v>
      </c>
      <c r="D62" s="968">
        <f>ROUND(D59*'DISCRETIONARY FEE PERCENTAGES'!$B$19,2)</f>
        <v>3.32</v>
      </c>
      <c r="E62" s="959">
        <f>ROUND(E59*'DISCRETIONARY FEE PERCENTAGES'!$B$19,2)</f>
        <v>3.67</v>
      </c>
    </row>
    <row r="63" spans="2:5" ht="33" customHeight="1">
      <c r="B63" s="1094" t="s">
        <v>688</v>
      </c>
      <c r="C63" s="1214" t="s">
        <v>663</v>
      </c>
      <c r="D63" s="1215"/>
      <c r="E63" s="1223"/>
    </row>
    <row r="64" spans="2:5">
      <c r="B64" s="1092"/>
      <c r="C64" s="1088" t="s">
        <v>664</v>
      </c>
      <c r="D64" s="935" t="s">
        <v>665</v>
      </c>
      <c r="E64" s="956" t="s">
        <v>666</v>
      </c>
    </row>
    <row r="65" spans="2:16">
      <c r="B65" s="1093"/>
      <c r="C65" s="1089"/>
      <c r="D65" s="937">
        <f>D58</f>
        <v>-0.05</v>
      </c>
      <c r="E65" s="957">
        <f>E58</f>
        <v>0.05</v>
      </c>
    </row>
    <row r="66" spans="2:16" ht="15" customHeight="1">
      <c r="B66" s="958" t="s">
        <v>205</v>
      </c>
      <c r="C66" s="943">
        <v>69.900000000000006</v>
      </c>
      <c r="D66" s="943">
        <f>ROUND(C66*(1+D65),2)</f>
        <v>66.41</v>
      </c>
      <c r="E66" s="959">
        <f>ROUND(C66*(1+E65),2)</f>
        <v>73.400000000000006</v>
      </c>
    </row>
    <row r="67" spans="2:16" ht="15" customHeight="1">
      <c r="B67" s="958" t="s">
        <v>672</v>
      </c>
      <c r="C67" s="943">
        <v>209.70000000000002</v>
      </c>
      <c r="D67" s="943">
        <f>ROUND(C67*(1+D65),2)</f>
        <v>199.22</v>
      </c>
      <c r="E67" s="959">
        <f>ROUND(C67*(1+E65),2)</f>
        <v>220.19</v>
      </c>
    </row>
    <row r="68" spans="2:16" ht="15" customHeight="1">
      <c r="B68" s="960" t="s">
        <v>689</v>
      </c>
      <c r="C68" s="943">
        <v>27.96</v>
      </c>
      <c r="D68" s="968">
        <f>ROUND((D66+D67)*'DISCRETIONARY FEE PERCENTAGES'!$B$10,2)</f>
        <v>26.56</v>
      </c>
      <c r="E68" s="959">
        <f>ROUND((E66+E67)*'DISCRETIONARY FEE PERCENTAGES'!$B$10,2)</f>
        <v>29.36</v>
      </c>
    </row>
    <row r="69" spans="2:16" ht="15" customHeight="1">
      <c r="B69" s="960" t="s">
        <v>674</v>
      </c>
      <c r="C69" s="943">
        <v>13.98</v>
      </c>
      <c r="D69" s="968">
        <f>ROUND((D66+D67)*'DISCRETIONARY FEE PERCENTAGES'!$B$28,2)</f>
        <v>13.28</v>
      </c>
      <c r="E69" s="959">
        <f>ROUND((E66+E67)*'DISCRETIONARY FEE PERCENTAGES'!$B$28,2)</f>
        <v>14.68</v>
      </c>
    </row>
    <row r="70" spans="2:16" ht="15" customHeight="1" thickBot="1">
      <c r="B70" s="965" t="s">
        <v>690</v>
      </c>
      <c r="C70" s="969">
        <v>13.98</v>
      </c>
      <c r="D70" s="970">
        <f>ROUND((D66+D67)*'DISCRETIONARY FEE PERCENTAGES'!$B$22,2)</f>
        <v>13.28</v>
      </c>
      <c r="E70" s="971">
        <f>ROUND((E66+E67)*'DISCRETIONARY FEE PERCENTAGES'!$B$22,2)</f>
        <v>14.68</v>
      </c>
    </row>
    <row r="71" spans="2:16" ht="16.5" thickBot="1">
      <c r="B71" s="354"/>
      <c r="C71" s="363"/>
      <c r="D71" s="363"/>
      <c r="E71" s="363"/>
    </row>
    <row r="72" spans="2:16" ht="32.25" customHeight="1">
      <c r="B72" s="1085" t="s">
        <v>691</v>
      </c>
      <c r="C72" s="1220" t="s">
        <v>692</v>
      </c>
      <c r="D72" s="1221"/>
      <c r="E72" s="1222"/>
    </row>
    <row r="73" spans="2:16">
      <c r="B73" s="1086"/>
      <c r="C73" s="1088" t="s">
        <v>664</v>
      </c>
      <c r="D73" s="935" t="s">
        <v>665</v>
      </c>
      <c r="E73" s="956" t="s">
        <v>666</v>
      </c>
    </row>
    <row r="74" spans="2:16">
      <c r="B74" s="1087"/>
      <c r="C74" s="1089"/>
      <c r="D74" s="937">
        <v>-0.05</v>
      </c>
      <c r="E74" s="957">
        <v>0.05</v>
      </c>
    </row>
    <row r="75" spans="2:16" ht="15" customHeight="1">
      <c r="B75" s="958" t="s">
        <v>693</v>
      </c>
      <c r="C75" s="943">
        <v>30</v>
      </c>
      <c r="D75" s="943">
        <f>ROUND(C75*(1+D74),2)</f>
        <v>28.5</v>
      </c>
      <c r="E75" s="959">
        <f>ROUND(C75*(1+E74),2)</f>
        <v>31.5</v>
      </c>
    </row>
    <row r="76" spans="2:16" ht="15" customHeight="1">
      <c r="B76" s="958"/>
      <c r="C76" s="943"/>
      <c r="D76" s="943"/>
      <c r="E76" s="959"/>
      <c r="F76" s="1100"/>
      <c r="G76" s="1100"/>
      <c r="H76" s="1100"/>
      <c r="I76" s="1100"/>
      <c r="J76" s="1100"/>
      <c r="K76" s="1100"/>
      <c r="L76" s="1100"/>
      <c r="M76" s="1100"/>
      <c r="N76" s="1100"/>
      <c r="O76" s="1100"/>
      <c r="P76" s="1100"/>
    </row>
    <row r="77" spans="2:16" ht="15" customHeight="1">
      <c r="B77" s="958" t="s">
        <v>694</v>
      </c>
      <c r="C77" s="943">
        <v>45</v>
      </c>
      <c r="D77" s="943">
        <f>ROUND(C77*(1+D74),2)</f>
        <v>42.75</v>
      </c>
      <c r="E77" s="972">
        <f>ROUND(C77*(1+E74),2)</f>
        <v>47.25</v>
      </c>
      <c r="F77" s="364"/>
      <c r="G77" s="364"/>
      <c r="H77" s="364"/>
      <c r="I77" s="364"/>
      <c r="J77" s="364"/>
      <c r="K77" s="364"/>
      <c r="L77" s="364"/>
      <c r="M77" s="364"/>
      <c r="N77" s="364"/>
      <c r="O77" s="364"/>
      <c r="P77" s="364"/>
    </row>
    <row r="78" spans="2:16" ht="15" customHeight="1">
      <c r="B78" s="365"/>
      <c r="C78" s="363"/>
      <c r="D78" s="363"/>
      <c r="E78" s="363"/>
      <c r="F78" s="1100"/>
      <c r="G78" s="1100"/>
      <c r="H78" s="1100"/>
      <c r="I78" s="1100"/>
      <c r="J78" s="1100"/>
      <c r="K78" s="1100"/>
      <c r="L78" s="1100"/>
      <c r="M78" s="1100"/>
      <c r="N78" s="1100"/>
      <c r="O78" s="1100"/>
      <c r="P78" s="1100"/>
    </row>
    <row r="79" spans="2:16" ht="15" customHeight="1">
      <c r="B79" s="357" t="s">
        <v>695</v>
      </c>
      <c r="C79" s="358"/>
      <c r="D79" s="358"/>
      <c r="E79" s="358"/>
    </row>
    <row r="80" spans="2:16" ht="15" customHeight="1">
      <c r="B80" s="357"/>
      <c r="C80" s="358"/>
      <c r="D80" s="358"/>
      <c r="E80" s="358"/>
    </row>
    <row r="81" spans="2:5" ht="30.6" customHeight="1">
      <c r="B81" s="1095" t="s">
        <v>696</v>
      </c>
      <c r="C81" s="1095"/>
      <c r="D81" s="1095"/>
      <c r="E81" s="1095"/>
    </row>
    <row r="83" spans="2:5" ht="15" customHeight="1"/>
    <row r="85" spans="2:5">
      <c r="B85" s="360"/>
      <c r="C85" s="1153"/>
      <c r="D85" s="1153"/>
      <c r="E85" s="1153"/>
    </row>
    <row r="86" spans="2:5">
      <c r="B86" s="360"/>
      <c r="C86" s="361"/>
      <c r="D86" s="361"/>
      <c r="E86" s="361"/>
    </row>
    <row r="87" spans="2:5">
      <c r="B87" s="360"/>
      <c r="C87" s="1151"/>
      <c r="D87" s="360"/>
      <c r="E87" s="360"/>
    </row>
    <row r="88" spans="2:5">
      <c r="B88" s="360"/>
      <c r="C88" s="1151"/>
      <c r="D88" s="360"/>
      <c r="E88" s="360"/>
    </row>
    <row r="89" spans="2:5">
      <c r="B89" s="360"/>
      <c r="C89" s="360"/>
      <c r="D89" s="360"/>
      <c r="E89" s="360"/>
    </row>
    <row r="90" spans="2:5">
      <c r="B90" s="360"/>
      <c r="C90" s="360"/>
      <c r="D90" s="360"/>
      <c r="E90" s="360"/>
    </row>
    <row r="91" spans="2:5">
      <c r="B91" s="1090"/>
      <c r="C91" s="1090"/>
      <c r="D91" s="1090"/>
      <c r="E91" s="1090"/>
    </row>
    <row r="92" spans="2:5">
      <c r="B92" s="1090"/>
      <c r="C92" s="1090"/>
      <c r="D92" s="1090"/>
      <c r="E92" s="1090"/>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2" t="s">
        <v>11</v>
      </c>
      <c r="B1" s="1122"/>
      <c r="C1" s="1122"/>
    </row>
    <row r="2" spans="1:21" s="101" customFormat="1" ht="21" customHeight="1" thickBot="1">
      <c r="A2" s="1122" t="s">
        <v>757</v>
      </c>
      <c r="B2" s="1122"/>
      <c r="C2" s="1122"/>
      <c r="D2" s="102"/>
      <c r="E2" s="102"/>
      <c r="F2" s="102"/>
      <c r="G2" s="102"/>
      <c r="H2" s="102"/>
      <c r="I2" s="102"/>
      <c r="J2" s="102"/>
      <c r="K2" s="102"/>
      <c r="L2" s="102"/>
      <c r="M2" s="102"/>
      <c r="N2" s="102"/>
      <c r="O2" s="102"/>
      <c r="P2" s="102"/>
      <c r="Q2" s="102"/>
      <c r="R2" s="102"/>
      <c r="S2" s="102"/>
      <c r="T2" s="102"/>
      <c r="U2" s="102"/>
    </row>
    <row r="3" spans="1:21" s="101" customFormat="1" ht="26.45" customHeight="1">
      <c r="A3" s="1236" t="s">
        <v>697</v>
      </c>
      <c r="B3" s="1224"/>
      <c r="C3" s="1225"/>
      <c r="D3" s="102"/>
      <c r="E3" s="102"/>
      <c r="F3" s="102"/>
      <c r="G3" s="102"/>
      <c r="H3" s="102"/>
      <c r="I3" s="102"/>
      <c r="J3" s="102"/>
      <c r="K3" s="102"/>
      <c r="L3" s="102"/>
      <c r="M3" s="102"/>
      <c r="N3" s="102"/>
      <c r="O3" s="102"/>
      <c r="P3" s="102"/>
      <c r="Q3" s="102"/>
      <c r="R3" s="102"/>
      <c r="S3" s="102"/>
      <c r="T3" s="102"/>
      <c r="U3" s="102"/>
    </row>
    <row r="4" spans="1:21" s="101" customFormat="1" ht="42">
      <c r="A4" s="973" t="s">
        <v>698</v>
      </c>
      <c r="B4" s="974">
        <v>7.0000000000000007E-2</v>
      </c>
      <c r="C4" s="975" t="s">
        <v>699</v>
      </c>
      <c r="D4" s="102"/>
      <c r="E4" s="102"/>
      <c r="F4" s="102"/>
      <c r="G4" s="102"/>
      <c r="H4" s="102"/>
      <c r="I4" s="102"/>
      <c r="J4" s="102"/>
      <c r="K4" s="102"/>
      <c r="L4" s="102"/>
      <c r="M4" s="102"/>
      <c r="N4" s="102"/>
      <c r="O4" s="102"/>
      <c r="P4" s="102"/>
      <c r="Q4" s="102"/>
      <c r="R4" s="102"/>
      <c r="S4" s="102"/>
      <c r="T4" s="102"/>
      <c r="U4" s="102"/>
    </row>
    <row r="5" spans="1:21" s="101" customFormat="1" ht="42">
      <c r="A5" s="973" t="s">
        <v>700</v>
      </c>
      <c r="B5" s="974">
        <v>0.05</v>
      </c>
      <c r="C5" s="975" t="s">
        <v>699</v>
      </c>
      <c r="D5" s="102"/>
      <c r="E5" s="102"/>
      <c r="F5" s="102"/>
      <c r="G5" s="102"/>
      <c r="H5" s="102"/>
      <c r="I5" s="102"/>
      <c r="J5" s="102"/>
      <c r="K5" s="102"/>
      <c r="L5" s="102"/>
      <c r="M5" s="102"/>
      <c r="N5" s="102"/>
      <c r="O5" s="102"/>
      <c r="P5" s="102"/>
      <c r="Q5" s="102"/>
      <c r="R5" s="102"/>
      <c r="S5" s="102"/>
      <c r="T5" s="102"/>
      <c r="U5" s="102"/>
    </row>
    <row r="6" spans="1:21" s="101" customFormat="1" ht="30.95" customHeight="1">
      <c r="A6" s="976" t="s">
        <v>701</v>
      </c>
      <c r="B6" s="977">
        <v>0.1</v>
      </c>
      <c r="C6" s="978"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0" t="s">
        <v>702</v>
      </c>
      <c r="B7" s="1231"/>
      <c r="C7" s="1232"/>
      <c r="D7" s="102"/>
      <c r="E7" s="102"/>
      <c r="F7" s="102"/>
      <c r="G7" s="102"/>
      <c r="H7" s="102"/>
      <c r="I7" s="102"/>
      <c r="J7" s="102"/>
      <c r="K7" s="102"/>
      <c r="L7" s="102"/>
      <c r="M7" s="102"/>
      <c r="N7" s="102"/>
      <c r="O7" s="102"/>
      <c r="P7" s="102"/>
      <c r="Q7" s="102"/>
      <c r="R7" s="102"/>
      <c r="S7" s="102"/>
      <c r="T7" s="102"/>
      <c r="U7" s="102"/>
    </row>
    <row r="8" spans="1:21" s="101" customFormat="1" ht="42">
      <c r="A8" s="973" t="s">
        <v>698</v>
      </c>
      <c r="B8" s="974">
        <v>7.0000000000000007E-2</v>
      </c>
      <c r="C8" s="975" t="s">
        <v>703</v>
      </c>
      <c r="D8" s="102"/>
      <c r="E8" s="102"/>
      <c r="F8" s="102"/>
      <c r="G8" s="102"/>
      <c r="H8" s="102"/>
      <c r="I8" s="102"/>
      <c r="J8" s="102"/>
      <c r="K8" s="102"/>
      <c r="L8" s="102"/>
      <c r="M8" s="102"/>
      <c r="N8" s="102"/>
      <c r="O8" s="102"/>
      <c r="P8" s="102"/>
      <c r="Q8" s="102"/>
      <c r="R8" s="102"/>
      <c r="S8" s="102"/>
      <c r="T8" s="102"/>
      <c r="U8" s="102"/>
    </row>
    <row r="9" spans="1:21" s="101" customFormat="1" ht="42">
      <c r="A9" s="973" t="s">
        <v>700</v>
      </c>
      <c r="B9" s="974">
        <v>0.05</v>
      </c>
      <c r="C9" s="975"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6" t="str">
        <f>A6</f>
        <v>CCATD</v>
      </c>
      <c r="B10" s="977">
        <v>0.1</v>
      </c>
      <c r="C10" s="978"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0" t="s">
        <v>704</v>
      </c>
      <c r="B11" s="1231"/>
      <c r="C11" s="1232"/>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3" t="s">
        <v>705</v>
      </c>
      <c r="B12" s="974">
        <v>0.1</v>
      </c>
      <c r="C12" s="975"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6" t="str">
        <f>A6</f>
        <v>CCATD</v>
      </c>
      <c r="B13" s="977">
        <v>0</v>
      </c>
      <c r="C13" s="978"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33" t="s">
        <v>708</v>
      </c>
      <c r="B14" s="1234"/>
      <c r="C14" s="1235"/>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3" t="s">
        <v>705</v>
      </c>
      <c r="B15" s="974">
        <v>0.1</v>
      </c>
      <c r="C15" s="975"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6" t="str">
        <f>A6</f>
        <v>CCATD</v>
      </c>
      <c r="B16" s="977">
        <v>0</v>
      </c>
      <c r="C16" s="978"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0" t="s">
        <v>710</v>
      </c>
      <c r="B17" s="1231"/>
      <c r="C17" s="1232"/>
      <c r="D17" s="102"/>
      <c r="E17" s="102"/>
      <c r="F17" s="102"/>
      <c r="G17" s="102"/>
      <c r="H17" s="102"/>
      <c r="I17" s="102"/>
      <c r="J17" s="102"/>
      <c r="K17" s="102"/>
      <c r="L17" s="102"/>
      <c r="M17" s="102"/>
      <c r="N17" s="102"/>
      <c r="O17" s="102"/>
      <c r="P17" s="102"/>
      <c r="Q17" s="102"/>
      <c r="R17" s="102"/>
      <c r="S17" s="102"/>
      <c r="T17" s="102"/>
      <c r="U17" s="102"/>
    </row>
    <row r="18" spans="1:21" s="101" customFormat="1" ht="42">
      <c r="A18" s="979" t="s">
        <v>705</v>
      </c>
      <c r="B18" s="974">
        <v>0.2</v>
      </c>
      <c r="C18" s="980"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6" t="str">
        <f>A6</f>
        <v>CCATD</v>
      </c>
      <c r="B19" s="977">
        <v>0.05</v>
      </c>
      <c r="C19" s="978"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0" t="s">
        <v>713</v>
      </c>
      <c r="B20" s="1231"/>
      <c r="C20" s="1232"/>
      <c r="D20" s="102"/>
      <c r="E20" s="102"/>
      <c r="F20" s="102"/>
      <c r="G20" s="102"/>
      <c r="H20" s="102"/>
      <c r="I20" s="102"/>
      <c r="J20" s="102"/>
      <c r="K20" s="102"/>
      <c r="L20" s="102"/>
      <c r="M20" s="102"/>
      <c r="N20" s="102"/>
      <c r="O20" s="102"/>
      <c r="P20" s="102"/>
      <c r="Q20" s="102"/>
      <c r="R20" s="102"/>
      <c r="S20" s="102"/>
      <c r="T20" s="102"/>
      <c r="U20" s="102"/>
    </row>
    <row r="21" spans="1:21" s="101" customFormat="1" ht="21">
      <c r="A21" s="979" t="s">
        <v>705</v>
      </c>
      <c r="B21" s="974">
        <v>0.2</v>
      </c>
      <c r="C21" s="975"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6" t="str">
        <f>A6</f>
        <v>CCATD</v>
      </c>
      <c r="B22" s="977">
        <v>0.05</v>
      </c>
      <c r="C22" s="978"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0" t="s">
        <v>714</v>
      </c>
      <c r="B23" s="1231"/>
      <c r="C23" s="1232"/>
      <c r="D23" s="102"/>
      <c r="E23" s="102"/>
      <c r="F23" s="102"/>
      <c r="G23" s="102"/>
      <c r="H23" s="102"/>
      <c r="I23" s="102"/>
      <c r="J23" s="102"/>
      <c r="K23" s="102"/>
      <c r="L23" s="102"/>
      <c r="M23" s="102"/>
      <c r="N23" s="102"/>
      <c r="O23" s="102"/>
      <c r="P23" s="102"/>
      <c r="Q23" s="102"/>
      <c r="R23" s="102"/>
      <c r="S23" s="102"/>
      <c r="T23" s="102"/>
      <c r="U23" s="102"/>
    </row>
    <row r="24" spans="1:21" s="101" customFormat="1" ht="21">
      <c r="A24" s="979" t="s">
        <v>705</v>
      </c>
      <c r="B24" s="974">
        <v>0.05</v>
      </c>
      <c r="C24" s="975"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6" t="str">
        <f>A6</f>
        <v>CCATD</v>
      </c>
      <c r="B25" s="977">
        <v>0.05</v>
      </c>
      <c r="C25" s="981"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0" t="s">
        <v>715</v>
      </c>
      <c r="B26" s="1231"/>
      <c r="C26" s="1232"/>
      <c r="D26" s="102"/>
      <c r="E26" s="102"/>
      <c r="F26" s="102"/>
      <c r="G26" s="102"/>
      <c r="H26" s="102"/>
      <c r="I26" s="102"/>
      <c r="J26" s="102"/>
      <c r="K26" s="102"/>
      <c r="L26" s="102"/>
      <c r="M26" s="102"/>
      <c r="N26" s="102"/>
      <c r="O26" s="102"/>
      <c r="P26" s="102"/>
      <c r="Q26" s="102"/>
      <c r="R26" s="102"/>
      <c r="S26" s="102"/>
      <c r="T26" s="102"/>
      <c r="U26" s="102"/>
    </row>
    <row r="27" spans="1:21" s="101" customFormat="1" ht="21">
      <c r="A27" s="979" t="s">
        <v>705</v>
      </c>
      <c r="B27" s="974">
        <v>0.05</v>
      </c>
      <c r="C27" s="975"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2" t="str">
        <f>A6</f>
        <v>CCATD</v>
      </c>
      <c r="B28" s="983">
        <v>0.05</v>
      </c>
      <c r="C28" s="984"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26" t="s">
        <v>716</v>
      </c>
      <c r="B30" s="1226"/>
      <c r="C30" s="1226"/>
    </row>
    <row r="31" spans="1:21" ht="14.45" customHeight="1">
      <c r="A31" s="1227"/>
      <c r="B31" s="1227"/>
      <c r="C31" s="1227"/>
    </row>
    <row r="32" spans="1:21" ht="31.35" customHeight="1">
      <c r="A32" s="1226" t="s">
        <v>717</v>
      </c>
      <c r="B32" s="1226"/>
      <c r="C32" s="1226"/>
    </row>
    <row r="33" spans="1:3" ht="14.45" customHeight="1">
      <c r="A33" s="1227"/>
      <c r="B33" s="1227"/>
      <c r="C33" s="1227"/>
    </row>
    <row r="34" spans="1:3" ht="30" customHeight="1">
      <c r="A34" s="1226" t="s">
        <v>718</v>
      </c>
      <c r="B34" s="1226"/>
      <c r="C34" s="1226"/>
    </row>
    <row r="35" spans="1:3" ht="14.45" customHeight="1">
      <c r="A35" s="1227"/>
      <c r="B35" s="1227"/>
      <c r="C35" s="1227"/>
    </row>
    <row r="36" spans="1:3" ht="15" customHeight="1">
      <c r="A36" s="1228" t="s">
        <v>719</v>
      </c>
      <c r="B36" s="1227"/>
      <c r="C36" s="1227"/>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7" t="s">
        <v>720</v>
      </c>
    </row>
    <row r="2" spans="1:1">
      <c r="A2" s="757" t="s">
        <v>721</v>
      </c>
    </row>
    <row r="3" spans="1:1">
      <c r="A3" s="757"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3" t="s">
        <v>11</v>
      </c>
      <c r="B1" s="759"/>
      <c r="C1" s="759"/>
      <c r="D1" s="759"/>
      <c r="E1" s="759"/>
      <c r="F1" s="759"/>
      <c r="G1" s="759"/>
      <c r="H1" s="759"/>
      <c r="I1" s="759"/>
      <c r="J1" s="759"/>
    </row>
    <row r="2" spans="1:10" s="223" customFormat="1" ht="22.35" customHeight="1">
      <c r="A2" s="763" t="s">
        <v>762</v>
      </c>
      <c r="B2" s="759"/>
      <c r="C2" s="759"/>
      <c r="D2" s="759"/>
      <c r="E2" s="759"/>
      <c r="F2" s="759"/>
      <c r="G2" s="759"/>
      <c r="H2" s="759"/>
      <c r="I2" s="759"/>
      <c r="J2" s="759"/>
    </row>
    <row r="3" spans="1:10" s="223" customFormat="1" ht="22.35" customHeight="1">
      <c r="A3" s="763" t="s">
        <v>12</v>
      </c>
      <c r="B3" s="759"/>
      <c r="C3" s="759"/>
      <c r="D3" s="759"/>
      <c r="E3" s="759"/>
      <c r="F3" s="759"/>
      <c r="G3" s="759"/>
      <c r="H3" s="759"/>
      <c r="I3" s="759"/>
      <c r="J3" s="759"/>
    </row>
    <row r="4" spans="1:10" ht="26.45" customHeight="1">
      <c r="A4" s="764" t="s">
        <v>13</v>
      </c>
      <c r="B4" s="765"/>
      <c r="C4" s="765"/>
      <c r="D4" s="765"/>
      <c r="E4" s="765"/>
      <c r="F4" s="765"/>
      <c r="G4" s="765"/>
      <c r="H4" s="765"/>
      <c r="I4" s="765"/>
      <c r="J4" s="765"/>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48" t="s">
        <v>14</v>
      </c>
      <c r="B1" s="1248"/>
      <c r="C1" s="1248"/>
      <c r="D1" s="1248"/>
      <c r="E1" s="18"/>
      <c r="F1" s="19"/>
    </row>
    <row r="2" spans="1:10" ht="33.6" customHeight="1" thickBot="1">
      <c r="A2" s="1255" t="s">
        <v>15</v>
      </c>
      <c r="B2" s="1255"/>
      <c r="C2" s="1255"/>
      <c r="D2" s="1255"/>
      <c r="E2" s="19"/>
    </row>
    <row r="3" spans="1:10" ht="25.35" customHeight="1" thickBot="1">
      <c r="A3" s="75"/>
      <c r="B3" s="76" t="s">
        <v>794</v>
      </c>
      <c r="C3" s="77"/>
      <c r="D3" s="86"/>
      <c r="E3" s="85"/>
      <c r="F3" s="25"/>
    </row>
    <row r="4" spans="1:10" ht="25.35" customHeight="1" thickBot="1">
      <c r="A4" s="75">
        <v>1</v>
      </c>
      <c r="B4" s="64">
        <v>2</v>
      </c>
      <c r="C4" s="64">
        <v>3</v>
      </c>
      <c r="D4" s="64">
        <v>4</v>
      </c>
      <c r="E4" s="68"/>
      <c r="F4" s="25"/>
    </row>
    <row r="5" spans="1:10" ht="44.1" customHeight="1" thickBot="1">
      <c r="A5" s="1265" t="s">
        <v>16</v>
      </c>
      <c r="B5" s="1314" t="s">
        <v>775</v>
      </c>
      <c r="C5" s="1315"/>
      <c r="D5" s="1316"/>
      <c r="E5" s="727"/>
      <c r="F5" s="22"/>
    </row>
    <row r="6" spans="1:10" ht="89.1" customHeight="1" thickBot="1">
      <c r="A6" s="525" t="s">
        <v>17</v>
      </c>
      <c r="B6" s="74" t="s">
        <v>18</v>
      </c>
      <c r="C6" s="90" t="s">
        <v>19</v>
      </c>
      <c r="D6" s="89" t="s">
        <v>20</v>
      </c>
      <c r="E6" s="25"/>
      <c r="F6" s="22"/>
    </row>
    <row r="7" spans="1:10" ht="25.35" customHeight="1">
      <c r="A7" s="524" t="s">
        <v>21</v>
      </c>
      <c r="B7" s="1158">
        <v>39410676.032799996</v>
      </c>
      <c r="C7" s="1159">
        <v>9012111</v>
      </c>
      <c r="D7" s="96">
        <f t="shared" ref="D7:D34" si="0">SUM(B7:C7)</f>
        <v>48422787.032799996</v>
      </c>
      <c r="E7" s="558"/>
      <c r="F7" s="559"/>
      <c r="G7" s="59"/>
      <c r="I7" s="59"/>
      <c r="J7" s="59"/>
    </row>
    <row r="8" spans="1:10" ht="25.35" customHeight="1">
      <c r="A8" s="501" t="s">
        <v>22</v>
      </c>
      <c r="B8" s="1160">
        <v>78888612.198300004</v>
      </c>
      <c r="C8" s="1161">
        <v>18061799</v>
      </c>
      <c r="D8" s="87">
        <f t="shared" si="0"/>
        <v>96950411.198300004</v>
      </c>
      <c r="E8" s="529"/>
      <c r="F8" s="59"/>
      <c r="G8" s="59"/>
      <c r="I8" s="59"/>
      <c r="J8" s="59"/>
    </row>
    <row r="9" spans="1:10" ht="25.35" customHeight="1">
      <c r="A9" s="501" t="s">
        <v>23</v>
      </c>
      <c r="B9" s="1160">
        <v>33122473.964400001</v>
      </c>
      <c r="C9" s="1161">
        <v>5159428</v>
      </c>
      <c r="D9" s="87">
        <f t="shared" si="0"/>
        <v>38281901.964400001</v>
      </c>
      <c r="E9" s="529"/>
      <c r="F9" s="59"/>
      <c r="G9" s="59"/>
      <c r="I9" s="59"/>
      <c r="J9" s="59"/>
    </row>
    <row r="10" spans="1:10" ht="25.35" customHeight="1">
      <c r="A10" s="501" t="s">
        <v>24</v>
      </c>
      <c r="B10" s="1160">
        <v>10140122.1391</v>
      </c>
      <c r="C10" s="1161">
        <v>2837892</v>
      </c>
      <c r="D10" s="87">
        <f t="shared" si="0"/>
        <v>12978014.1391</v>
      </c>
      <c r="E10" s="529"/>
      <c r="F10" s="59"/>
      <c r="G10" s="59"/>
      <c r="I10" s="59"/>
      <c r="J10" s="59"/>
    </row>
    <row r="11" spans="1:10" ht="25.35" customHeight="1">
      <c r="A11" s="501" t="s">
        <v>25</v>
      </c>
      <c r="B11" s="1160">
        <v>43596058.663999997</v>
      </c>
      <c r="C11" s="1161">
        <v>10843888</v>
      </c>
      <c r="D11" s="87">
        <f t="shared" si="0"/>
        <v>54439946.663999997</v>
      </c>
      <c r="E11" s="529"/>
      <c r="F11" s="59"/>
      <c r="G11" s="59"/>
      <c r="I11" s="59"/>
      <c r="J11" s="59"/>
    </row>
    <row r="12" spans="1:10" ht="25.35" customHeight="1">
      <c r="A12" s="501" t="s">
        <v>26</v>
      </c>
      <c r="B12" s="1160">
        <v>31716135.217799999</v>
      </c>
      <c r="C12" s="1161">
        <v>6909047</v>
      </c>
      <c r="D12" s="87">
        <f t="shared" si="0"/>
        <v>38625182.217799999</v>
      </c>
      <c r="E12" s="529"/>
      <c r="F12" s="59"/>
      <c r="G12" s="59"/>
      <c r="I12" s="59"/>
      <c r="J12" s="59"/>
    </row>
    <row r="13" spans="1:10" ht="25.35" customHeight="1">
      <c r="A13" s="501" t="s">
        <v>27</v>
      </c>
      <c r="B13" s="1160">
        <v>65338110.648300007</v>
      </c>
      <c r="C13" s="1161">
        <v>16235011</v>
      </c>
      <c r="D13" s="87">
        <f t="shared" si="0"/>
        <v>81573121.648300007</v>
      </c>
      <c r="E13" s="529"/>
      <c r="F13" s="59"/>
      <c r="G13" s="59"/>
      <c r="I13" s="59"/>
      <c r="J13" s="59"/>
    </row>
    <row r="14" spans="1:10" ht="25.35" customHeight="1">
      <c r="A14" s="501" t="s">
        <v>28</v>
      </c>
      <c r="B14" s="1160">
        <v>7222490.6436999999</v>
      </c>
      <c r="C14" s="1161">
        <v>1462858</v>
      </c>
      <c r="D14" s="87">
        <f t="shared" si="0"/>
        <v>8685348.6436999999</v>
      </c>
      <c r="E14" s="529"/>
      <c r="F14" s="59"/>
      <c r="G14" s="59"/>
      <c r="I14" s="59"/>
      <c r="J14" s="59"/>
    </row>
    <row r="15" spans="1:10" ht="25.35" customHeight="1">
      <c r="A15" s="501" t="s">
        <v>29</v>
      </c>
      <c r="B15" s="1160">
        <v>20557563.359499998</v>
      </c>
      <c r="C15" s="1161">
        <v>4625762</v>
      </c>
      <c r="D15" s="87">
        <f t="shared" si="0"/>
        <v>25183325.359499998</v>
      </c>
      <c r="E15" s="529"/>
      <c r="F15" s="59"/>
      <c r="G15" s="59"/>
      <c r="I15" s="59"/>
      <c r="J15" s="59"/>
    </row>
    <row r="16" spans="1:10" ht="25.35" customHeight="1">
      <c r="A16" s="501" t="s">
        <v>30</v>
      </c>
      <c r="B16" s="1160">
        <v>62210734.112299994</v>
      </c>
      <c r="C16" s="1161">
        <v>12266869</v>
      </c>
      <c r="D16" s="87">
        <f t="shared" si="0"/>
        <v>74477603.112299994</v>
      </c>
      <c r="E16" s="529"/>
      <c r="F16" s="59"/>
      <c r="G16" s="59"/>
      <c r="I16" s="59"/>
      <c r="J16" s="59"/>
    </row>
    <row r="17" spans="1:10" ht="25.35" customHeight="1">
      <c r="A17" s="501" t="s">
        <v>31</v>
      </c>
      <c r="B17" s="1160">
        <v>43473852.9881</v>
      </c>
      <c r="C17" s="1161">
        <v>9941113</v>
      </c>
      <c r="D17" s="87">
        <f t="shared" si="0"/>
        <v>53414965.9881</v>
      </c>
      <c r="E17" s="529"/>
      <c r="F17" s="59"/>
      <c r="G17" s="59"/>
      <c r="I17" s="59"/>
      <c r="J17" s="59"/>
    </row>
    <row r="18" spans="1:10" ht="25.35" customHeight="1">
      <c r="A18" s="501" t="s">
        <v>32</v>
      </c>
      <c r="B18" s="1160">
        <v>12328495.215399999</v>
      </c>
      <c r="C18" s="1161">
        <v>2894280</v>
      </c>
      <c r="D18" s="87">
        <f t="shared" si="0"/>
        <v>15222775.215399999</v>
      </c>
      <c r="E18" s="529"/>
      <c r="F18" s="59"/>
      <c r="G18" s="59"/>
      <c r="I18" s="59"/>
      <c r="J18" s="59"/>
    </row>
    <row r="19" spans="1:10" ht="25.35" customHeight="1">
      <c r="A19" s="501" t="s">
        <v>33</v>
      </c>
      <c r="B19" s="1160">
        <v>18725936.7663</v>
      </c>
      <c r="C19" s="1161">
        <v>2843909</v>
      </c>
      <c r="D19" s="87">
        <f t="shared" si="0"/>
        <v>21569845.7663</v>
      </c>
      <c r="E19" s="529"/>
      <c r="F19" s="59"/>
      <c r="G19" s="59"/>
      <c r="I19" s="59"/>
      <c r="J19" s="59"/>
    </row>
    <row r="20" spans="1:10" ht="25.35" customHeight="1">
      <c r="A20" s="501" t="s">
        <v>34</v>
      </c>
      <c r="B20" s="1160">
        <v>24920093.315499999</v>
      </c>
      <c r="C20" s="1161">
        <v>4791952</v>
      </c>
      <c r="D20" s="87">
        <f t="shared" si="0"/>
        <v>29712045.315499999</v>
      </c>
      <c r="E20" s="529"/>
      <c r="F20" s="59"/>
      <c r="G20" s="59"/>
      <c r="I20" s="59"/>
      <c r="J20" s="59"/>
    </row>
    <row r="21" spans="1:10" ht="25.35" customHeight="1">
      <c r="A21" s="501" t="s">
        <v>35</v>
      </c>
      <c r="B21" s="1160">
        <v>151429109.92829999</v>
      </c>
      <c r="C21" s="1161">
        <v>36629438</v>
      </c>
      <c r="D21" s="87">
        <f t="shared" si="0"/>
        <v>188058547.92829999</v>
      </c>
      <c r="E21" s="529"/>
      <c r="F21" s="59"/>
      <c r="G21" s="59"/>
      <c r="I21" s="59"/>
      <c r="J21" s="59"/>
    </row>
    <row r="22" spans="1:10" ht="25.35" customHeight="1">
      <c r="A22" s="501" t="s">
        <v>36</v>
      </c>
      <c r="B22" s="1160">
        <v>7283864.2276000008</v>
      </c>
      <c r="C22" s="1161">
        <v>1541928</v>
      </c>
      <c r="D22" s="87">
        <f t="shared" si="0"/>
        <v>8825792.2276000008</v>
      </c>
      <c r="E22" s="529"/>
      <c r="F22" s="59"/>
      <c r="G22" s="59"/>
      <c r="I22" s="59"/>
      <c r="J22" s="59"/>
    </row>
    <row r="23" spans="1:10" ht="25.35" customHeight="1">
      <c r="A23" s="501" t="s">
        <v>37</v>
      </c>
      <c r="B23" s="1160">
        <v>17597037.0526</v>
      </c>
      <c r="C23" s="1161">
        <v>4074354</v>
      </c>
      <c r="D23" s="87">
        <f t="shared" si="0"/>
        <v>21671391.0526</v>
      </c>
      <c r="E23" s="529"/>
      <c r="F23" s="59"/>
      <c r="G23" s="59"/>
      <c r="I23" s="59"/>
      <c r="J23" s="59"/>
    </row>
    <row r="24" spans="1:10" ht="25.35" customHeight="1">
      <c r="A24" s="501" t="s">
        <v>38</v>
      </c>
      <c r="B24" s="1160">
        <v>58747439.630400002</v>
      </c>
      <c r="C24" s="1161">
        <v>12285532</v>
      </c>
      <c r="D24" s="87">
        <f t="shared" si="0"/>
        <v>71032971.630400002</v>
      </c>
      <c r="E24" s="529"/>
      <c r="F24" s="59"/>
      <c r="G24" s="59"/>
      <c r="I24" s="59"/>
      <c r="J24" s="59"/>
    </row>
    <row r="25" spans="1:10" ht="25.35" customHeight="1">
      <c r="A25" s="501" t="s">
        <v>39</v>
      </c>
      <c r="B25" s="1160">
        <v>40593262.803199999</v>
      </c>
      <c r="C25" s="1161">
        <v>5931856</v>
      </c>
      <c r="D25" s="87">
        <f t="shared" si="0"/>
        <v>46525118.803199999</v>
      </c>
      <c r="E25" s="529"/>
      <c r="F25" s="59"/>
      <c r="G25" s="59"/>
      <c r="I25" s="59"/>
      <c r="J25" s="59"/>
    </row>
    <row r="26" spans="1:10" ht="25.35" customHeight="1">
      <c r="A26" s="501" t="s">
        <v>40</v>
      </c>
      <c r="B26" s="1160">
        <v>32670984.101199999</v>
      </c>
      <c r="C26" s="1161">
        <v>7356570</v>
      </c>
      <c r="D26" s="87">
        <f t="shared" si="0"/>
        <v>40027554.101199999</v>
      </c>
      <c r="E26" s="529"/>
      <c r="F26" s="59"/>
      <c r="G26" s="59"/>
      <c r="I26" s="59"/>
      <c r="J26" s="59"/>
    </row>
    <row r="27" spans="1:10" ht="25.35" customHeight="1">
      <c r="A27" s="501" t="s">
        <v>41</v>
      </c>
      <c r="B27" s="1160">
        <v>46191757.493199997</v>
      </c>
      <c r="C27" s="1161">
        <v>6030014</v>
      </c>
      <c r="D27" s="87">
        <f t="shared" si="0"/>
        <v>52221771.493199997</v>
      </c>
      <c r="E27" s="529"/>
      <c r="F27" s="59"/>
      <c r="G27" s="59"/>
      <c r="I27" s="59"/>
      <c r="J27" s="59"/>
    </row>
    <row r="28" spans="1:10" ht="25.35" customHeight="1">
      <c r="A28" s="501" t="s">
        <v>42</v>
      </c>
      <c r="B28" s="1160">
        <v>21709062.337499999</v>
      </c>
      <c r="C28" s="1161">
        <v>4113436</v>
      </c>
      <c r="D28" s="87">
        <f t="shared" si="0"/>
        <v>25822498.337499999</v>
      </c>
      <c r="E28" s="529"/>
      <c r="F28" s="59"/>
      <c r="G28" s="59"/>
      <c r="I28" s="59"/>
      <c r="J28" s="59"/>
    </row>
    <row r="29" spans="1:10" ht="25.35" customHeight="1">
      <c r="A29" s="501" t="s">
        <v>43</v>
      </c>
      <c r="B29" s="1160">
        <v>71617032.119900003</v>
      </c>
      <c r="C29" s="1161">
        <v>14743060</v>
      </c>
      <c r="D29" s="87">
        <f t="shared" si="0"/>
        <v>86360092.119900003</v>
      </c>
      <c r="E29" s="529"/>
      <c r="F29" s="59"/>
      <c r="G29" s="59"/>
      <c r="I29" s="59"/>
      <c r="J29" s="59"/>
    </row>
    <row r="30" spans="1:10" ht="25.35" customHeight="1">
      <c r="A30" s="501" t="s">
        <v>44</v>
      </c>
      <c r="B30" s="1160">
        <v>38953794.723999999</v>
      </c>
      <c r="C30" s="1161">
        <v>7484787</v>
      </c>
      <c r="D30" s="87">
        <f t="shared" si="0"/>
        <v>46438581.723999999</v>
      </c>
      <c r="E30" s="529"/>
      <c r="F30" s="59"/>
      <c r="G30" s="59"/>
      <c r="I30" s="59"/>
      <c r="J30" s="59"/>
    </row>
    <row r="31" spans="1:10" ht="25.35" customHeight="1">
      <c r="A31" s="501" t="s">
        <v>45</v>
      </c>
      <c r="B31" s="1160">
        <v>41670946.726499997</v>
      </c>
      <c r="C31" s="1161">
        <v>8063557</v>
      </c>
      <c r="D31" s="87">
        <f t="shared" si="0"/>
        <v>49734503.726499997</v>
      </c>
      <c r="E31" s="529"/>
      <c r="F31" s="59"/>
      <c r="G31" s="59"/>
      <c r="I31" s="59"/>
      <c r="J31" s="59"/>
    </row>
    <row r="32" spans="1:10" ht="25.35" customHeight="1">
      <c r="A32" s="501" t="s">
        <v>46</v>
      </c>
      <c r="B32" s="1160">
        <v>17675458.982799999</v>
      </c>
      <c r="C32" s="1161">
        <v>3461595</v>
      </c>
      <c r="D32" s="87">
        <f t="shared" si="0"/>
        <v>21137053.982799999</v>
      </c>
      <c r="E32" s="529"/>
      <c r="F32" s="59"/>
      <c r="G32" s="59"/>
      <c r="I32" s="59" t="s">
        <v>47</v>
      </c>
      <c r="J32" s="59"/>
    </row>
    <row r="33" spans="1:21" ht="25.35" customHeight="1">
      <c r="A33" s="501" t="s">
        <v>48</v>
      </c>
      <c r="B33" s="1160">
        <v>29636356.845799997</v>
      </c>
      <c r="C33" s="1161">
        <v>6733218</v>
      </c>
      <c r="D33" s="87">
        <f t="shared" si="0"/>
        <v>36369574.845799997</v>
      </c>
      <c r="E33" s="529"/>
      <c r="F33" s="59"/>
      <c r="G33" s="59"/>
      <c r="I33" s="529"/>
      <c r="J33" s="59"/>
      <c r="K33" s="529"/>
    </row>
    <row r="34" spans="1:21" ht="25.35" customHeight="1" thickBot="1">
      <c r="A34" s="502" t="s">
        <v>49</v>
      </c>
      <c r="B34" s="1160">
        <v>88194296.761600003</v>
      </c>
      <c r="C34" s="1161">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17" t="s">
        <v>51</v>
      </c>
      <c r="B36" s="1317"/>
      <c r="C36" s="1317"/>
      <c r="D36" s="1317"/>
      <c r="E36" s="606"/>
      <c r="F36" s="24"/>
      <c r="K36" s="529"/>
    </row>
    <row r="37" spans="1:21" ht="44.45" customHeight="1">
      <c r="A37" s="1318" t="s">
        <v>795</v>
      </c>
      <c r="B37" s="1318"/>
      <c r="C37" s="1318"/>
      <c r="D37" s="1318"/>
      <c r="E37" s="605"/>
      <c r="F37" s="24"/>
      <c r="K37" s="529"/>
    </row>
    <row r="38" spans="1:21" ht="26.45" customHeight="1">
      <c r="A38" s="1276"/>
      <c r="B38" s="1276"/>
      <c r="C38" s="1276"/>
      <c r="D38" s="1276"/>
      <c r="E38" s="605"/>
      <c r="F38" s="24"/>
      <c r="K38" s="529"/>
    </row>
    <row r="39" spans="1:21" ht="36.6" customHeight="1" thickBot="1">
      <c r="A39" s="599" t="s">
        <v>15</v>
      </c>
      <c r="B39" s="600"/>
      <c r="C39" s="600"/>
      <c r="D39" s="27"/>
      <c r="E39" s="19"/>
      <c r="F39" s="19"/>
      <c r="G39" s="24"/>
      <c r="H39" s="24"/>
      <c r="I39" s="24"/>
      <c r="J39" s="24"/>
      <c r="K39" s="209"/>
      <c r="L39" s="24"/>
      <c r="M39" s="24"/>
      <c r="N39" s="24"/>
      <c r="O39" s="24"/>
      <c r="P39" s="24"/>
      <c r="Q39" s="24"/>
      <c r="R39" s="24"/>
      <c r="S39" s="24"/>
      <c r="T39" s="24"/>
      <c r="U39" s="24"/>
    </row>
    <row r="40" spans="1:21" ht="24" customHeight="1" thickBot="1">
      <c r="A40" s="1261" t="s">
        <v>758</v>
      </c>
      <c r="B40" s="1154" t="s">
        <v>793</v>
      </c>
      <c r="C40" s="1155"/>
      <c r="D40" s="1155"/>
      <c r="E40" s="1156"/>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63" t="str">
        <f>A10</f>
        <v>Chipola College</v>
      </c>
      <c r="B43" s="778" t="s">
        <v>56</v>
      </c>
      <c r="C43" s="779">
        <v>200000</v>
      </c>
      <c r="D43" s="779"/>
      <c r="E43" s="780">
        <f t="shared" ref="E43:E62" si="1">C43+D43</f>
        <v>200000</v>
      </c>
    </row>
    <row r="44" spans="1:21" ht="42">
      <c r="A44" s="1164" t="s">
        <v>23</v>
      </c>
      <c r="B44" s="1319" t="s">
        <v>777</v>
      </c>
      <c r="C44" s="1245"/>
      <c r="D44" s="1245">
        <v>375000</v>
      </c>
      <c r="E44" s="780">
        <f t="shared" si="1"/>
        <v>375000</v>
      </c>
    </row>
    <row r="45" spans="1:21" ht="42">
      <c r="A45" s="1164" t="str">
        <f>A11</f>
        <v>Daytona State College</v>
      </c>
      <c r="B45" s="781" t="s">
        <v>57</v>
      </c>
      <c r="C45" s="779">
        <v>500000</v>
      </c>
      <c r="D45" s="779"/>
      <c r="E45" s="780">
        <f t="shared" si="1"/>
        <v>500000</v>
      </c>
      <c r="H45" s="24"/>
    </row>
    <row r="46" spans="1:21" ht="84.75" customHeight="1">
      <c r="A46" s="1162" t="s">
        <v>25</v>
      </c>
      <c r="B46" s="781" t="s">
        <v>776</v>
      </c>
      <c r="C46" s="779"/>
      <c r="D46" s="779">
        <v>315500</v>
      </c>
      <c r="E46" s="780">
        <f t="shared" si="1"/>
        <v>315500</v>
      </c>
      <c r="H46" s="24"/>
    </row>
    <row r="47" spans="1:21" ht="84.75" customHeight="1">
      <c r="A47" s="1162" t="s">
        <v>25</v>
      </c>
      <c r="B47" s="1244" t="s">
        <v>779</v>
      </c>
      <c r="C47" s="1245"/>
      <c r="D47" s="1245">
        <v>447123</v>
      </c>
      <c r="E47" s="780">
        <f t="shared" si="1"/>
        <v>447123</v>
      </c>
      <c r="H47" s="24"/>
    </row>
    <row r="48" spans="1:21" ht="84.75" customHeight="1">
      <c r="A48" s="1162" t="s">
        <v>21</v>
      </c>
      <c r="B48" s="1244" t="s">
        <v>778</v>
      </c>
      <c r="C48" s="1245"/>
      <c r="D48" s="1245">
        <v>1200000</v>
      </c>
      <c r="E48" s="780">
        <f t="shared" si="1"/>
        <v>1200000</v>
      </c>
      <c r="H48" s="24"/>
    </row>
    <row r="49" spans="1:8" ht="62.45" customHeight="1">
      <c r="A49" s="1162" t="s">
        <v>30</v>
      </c>
      <c r="B49" s="781" t="s">
        <v>58</v>
      </c>
      <c r="C49" s="779">
        <v>2500000</v>
      </c>
      <c r="D49" s="779"/>
      <c r="E49" s="780">
        <f t="shared" si="1"/>
        <v>2500000</v>
      </c>
      <c r="H49" s="24"/>
    </row>
    <row r="50" spans="1:8" ht="62.45" customHeight="1">
      <c r="A50" s="1162" t="s">
        <v>35</v>
      </c>
      <c r="B50" s="1244" t="s">
        <v>781</v>
      </c>
      <c r="C50" s="1245"/>
      <c r="D50" s="1245">
        <v>1000000</v>
      </c>
      <c r="E50" s="780">
        <f t="shared" si="1"/>
        <v>1000000</v>
      </c>
      <c r="H50" s="24"/>
    </row>
    <row r="51" spans="1:8" ht="62.45" customHeight="1">
      <c r="A51" s="1162" t="s">
        <v>35</v>
      </c>
      <c r="B51" s="1244" t="s">
        <v>780</v>
      </c>
      <c r="C51" s="1245"/>
      <c r="D51" s="1245">
        <v>600050</v>
      </c>
      <c r="E51" s="780">
        <f t="shared" si="1"/>
        <v>600050</v>
      </c>
      <c r="H51" s="24"/>
    </row>
    <row r="52" spans="1:8" ht="62.45" customHeight="1">
      <c r="A52" s="1162" t="s">
        <v>36</v>
      </c>
      <c r="B52" s="1244" t="s">
        <v>782</v>
      </c>
      <c r="C52" s="1245"/>
      <c r="D52" s="1245">
        <v>400000</v>
      </c>
      <c r="E52" s="780">
        <f t="shared" si="1"/>
        <v>400000</v>
      </c>
      <c r="H52" s="24"/>
    </row>
    <row r="53" spans="1:8" ht="62.45" customHeight="1">
      <c r="A53" s="1162" t="s">
        <v>37</v>
      </c>
      <c r="B53" s="1244" t="s">
        <v>783</v>
      </c>
      <c r="C53" s="1245"/>
      <c r="D53" s="1245">
        <v>500000</v>
      </c>
      <c r="E53" s="780">
        <f t="shared" si="1"/>
        <v>500000</v>
      </c>
      <c r="H53" s="24"/>
    </row>
    <row r="54" spans="1:8" ht="62.45" customHeight="1">
      <c r="A54" s="1162" t="s">
        <v>39</v>
      </c>
      <c r="B54" s="1244" t="s">
        <v>784</v>
      </c>
      <c r="C54" s="1245"/>
      <c r="D54" s="1245">
        <v>400000</v>
      </c>
      <c r="E54" s="780">
        <f t="shared" si="1"/>
        <v>400000</v>
      </c>
      <c r="H54" s="24"/>
    </row>
    <row r="55" spans="1:8">
      <c r="A55" s="1162" t="str">
        <f>A25</f>
        <v>Pasco-Hernando State College</v>
      </c>
      <c r="B55" s="781" t="s">
        <v>59</v>
      </c>
      <c r="C55" s="779">
        <v>2306271</v>
      </c>
      <c r="D55" s="779"/>
      <c r="E55" s="780">
        <f t="shared" si="1"/>
        <v>2306271</v>
      </c>
      <c r="H55" s="24"/>
    </row>
    <row r="56" spans="1:8">
      <c r="A56" s="1323" t="s">
        <v>785</v>
      </c>
      <c r="B56" s="1244" t="s">
        <v>786</v>
      </c>
      <c r="C56" s="1245"/>
      <c r="D56" s="1245">
        <v>765645</v>
      </c>
      <c r="E56" s="780">
        <f t="shared" si="1"/>
        <v>765645</v>
      </c>
      <c r="H56" s="24"/>
    </row>
    <row r="57" spans="1:8" ht="42">
      <c r="A57" s="1321" t="s">
        <v>787</v>
      </c>
      <c r="B57" s="1244" t="s">
        <v>788</v>
      </c>
      <c r="C57" s="1245"/>
      <c r="D57" s="1245">
        <v>5000000</v>
      </c>
      <c r="E57" s="780">
        <f t="shared" si="1"/>
        <v>5000000</v>
      </c>
      <c r="H57" s="24"/>
    </row>
    <row r="58" spans="1:8" ht="42">
      <c r="A58" s="1320" t="s">
        <v>726</v>
      </c>
      <c r="B58" s="1244" t="s">
        <v>789</v>
      </c>
      <c r="C58" s="1245"/>
      <c r="D58" s="1245">
        <v>756722</v>
      </c>
      <c r="E58" s="780">
        <f t="shared" si="1"/>
        <v>756722</v>
      </c>
      <c r="H58" s="24"/>
    </row>
    <row r="59" spans="1:8" ht="63">
      <c r="A59" s="1165" t="s">
        <v>43</v>
      </c>
      <c r="B59" s="781" t="s">
        <v>790</v>
      </c>
      <c r="C59" s="779"/>
      <c r="D59" s="779">
        <v>955600</v>
      </c>
      <c r="E59" s="780">
        <f t="shared" si="1"/>
        <v>955600</v>
      </c>
      <c r="H59" s="24"/>
    </row>
    <row r="60" spans="1:8" ht="62.45" customHeight="1">
      <c r="A60" s="1165" t="s">
        <v>46</v>
      </c>
      <c r="B60" s="1244" t="s">
        <v>723</v>
      </c>
      <c r="C60" s="1245"/>
      <c r="D60" s="1245">
        <v>1400000</v>
      </c>
      <c r="E60" s="780">
        <f t="shared" si="1"/>
        <v>1400000</v>
      </c>
      <c r="H60" s="24"/>
    </row>
    <row r="61" spans="1:8" ht="86.25" customHeight="1">
      <c r="A61" s="1165" t="s">
        <v>60</v>
      </c>
      <c r="B61" s="1244" t="s">
        <v>791</v>
      </c>
      <c r="C61" s="1245"/>
      <c r="D61" s="1245">
        <v>50000</v>
      </c>
      <c r="E61" s="780">
        <f t="shared" si="1"/>
        <v>50000</v>
      </c>
      <c r="H61" s="24"/>
    </row>
    <row r="62" spans="1:8" ht="86.25" customHeight="1" thickBot="1">
      <c r="A62" s="1320" t="s">
        <v>49</v>
      </c>
      <c r="B62" s="729" t="s">
        <v>792</v>
      </c>
      <c r="C62" s="730"/>
      <c r="D62" s="730">
        <v>1000000</v>
      </c>
      <c r="E62" s="1322">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599" t="s">
        <v>15</v>
      </c>
      <c r="B66" s="600"/>
      <c r="C66" s="600"/>
      <c r="D66" s="27"/>
      <c r="E66" s="19"/>
      <c r="H66" s="24"/>
    </row>
    <row r="67" spans="1:13" ht="41.1" customHeight="1" thickBot="1">
      <c r="A67" s="56" t="s">
        <v>737</v>
      </c>
      <c r="B67" s="505" t="str">
        <f>B3</f>
        <v>Date Updated:   05.03.22    BY:  EN</v>
      </c>
      <c r="C67" s="53" t="s">
        <v>10</v>
      </c>
      <c r="D67" s="53"/>
      <c r="F67" s="24"/>
      <c r="G67" s="24"/>
      <c r="H67" s="24"/>
    </row>
    <row r="68" spans="1:13" ht="45" customHeight="1" thickBot="1">
      <c r="A68" s="1269" t="s">
        <v>727</v>
      </c>
      <c r="B68" s="1270"/>
      <c r="C68" s="506"/>
      <c r="H68" s="24"/>
    </row>
    <row r="69" spans="1:13" ht="37.35" customHeight="1" thickBot="1">
      <c r="A69" s="462" t="s">
        <v>17</v>
      </c>
      <c r="B69" s="583" t="s">
        <v>50</v>
      </c>
      <c r="C69" s="25"/>
      <c r="D69" s="28"/>
      <c r="H69" s="24"/>
    </row>
    <row r="70" spans="1:13" ht="25.35" customHeight="1">
      <c r="A70" s="526" t="str">
        <f>A11</f>
        <v>Daytona State College</v>
      </c>
      <c r="B70" s="782">
        <v>70000</v>
      </c>
      <c r="C70" s="507"/>
      <c r="H70" s="24"/>
    </row>
    <row r="71" spans="1:13" ht="25.35" customHeight="1" thickBot="1">
      <c r="A71" s="528" t="str">
        <f>A33</f>
        <v>Tallahassee Community College</v>
      </c>
      <c r="B71" s="601">
        <v>25000</v>
      </c>
      <c r="C71" s="507"/>
      <c r="H71" s="24"/>
    </row>
    <row r="72" spans="1:13" ht="25.35" customHeight="1" thickBot="1">
      <c r="A72" s="492" t="s">
        <v>50</v>
      </c>
      <c r="B72" s="602">
        <f>SUM(B70:B71)</f>
        <v>95000</v>
      </c>
      <c r="C72" s="508"/>
    </row>
    <row r="73" spans="1:13" ht="24.6" customHeight="1">
      <c r="A73" s="608"/>
      <c r="B73" s="607"/>
      <c r="C73" s="607"/>
      <c r="D73" s="24"/>
      <c r="E73" s="24"/>
      <c r="F73" s="24"/>
      <c r="G73" s="19"/>
      <c r="H73" s="24"/>
    </row>
    <row r="74" spans="1:13" ht="32.1" customHeight="1" thickBot="1">
      <c r="A74" s="599" t="s">
        <v>62</v>
      </c>
      <c r="B74" s="600"/>
      <c r="C74" s="600"/>
      <c r="D74" s="27"/>
      <c r="E74" s="19"/>
      <c r="F74" s="24"/>
      <c r="G74" s="19"/>
      <c r="H74" s="24"/>
    </row>
    <row r="75" spans="1:13" ht="44.45" customHeight="1" thickBot="1">
      <c r="A75" s="47" t="s">
        <v>759</v>
      </c>
      <c r="B75" s="1273" t="s">
        <v>766</v>
      </c>
      <c r="C75" s="1274"/>
      <c r="D75" s="1274"/>
      <c r="E75" s="1275"/>
      <c r="F75" s="21"/>
      <c r="G75" s="53"/>
      <c r="H75" s="24"/>
    </row>
    <row r="76" spans="1:13" ht="87.6" customHeight="1" thickBot="1">
      <c r="A76" s="50" t="s">
        <v>17</v>
      </c>
      <c r="B76" s="30" t="s">
        <v>796</v>
      </c>
      <c r="C76" s="49" t="s">
        <v>63</v>
      </c>
      <c r="D76" s="31" t="s">
        <v>64</v>
      </c>
      <c r="E76" s="32" t="s">
        <v>65</v>
      </c>
      <c r="F76" s="30" t="s">
        <v>66</v>
      </c>
      <c r="G76" s="25"/>
      <c r="H76" s="24"/>
    </row>
    <row r="77" spans="1:13" ht="25.35" customHeight="1">
      <c r="A77" s="783" t="str">
        <f t="shared" ref="A77:A104" si="2">A7</f>
        <v>Eastern Florida State College</v>
      </c>
      <c r="B77" s="531">
        <v>18754321.203717429</v>
      </c>
      <c r="C77" s="531">
        <f t="shared" ref="C77:C104" si="3">B77*0.05</f>
        <v>937716.06018587155</v>
      </c>
      <c r="D77" s="1328">
        <f t="shared" ref="D77:D104" si="4">IF(C77&gt;500000,0,1)</f>
        <v>0</v>
      </c>
      <c r="E77" s="532">
        <f t="shared" ref="E77:E104" si="5">IF(D77&lt;1,0,B77*0.02)</f>
        <v>0</v>
      </c>
      <c r="F77" s="531">
        <f>C77+E77</f>
        <v>937716.06018587155</v>
      </c>
      <c r="H77" s="24"/>
      <c r="I77" s="24"/>
      <c r="J77" s="24"/>
      <c r="K77" s="24"/>
      <c r="L77" s="24"/>
      <c r="M77" s="24"/>
    </row>
    <row r="78" spans="1:13" ht="25.35" customHeight="1">
      <c r="A78" s="784"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5"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5"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4"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4"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4"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5"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5"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4"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4"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5"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5"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4"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4"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5"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5"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4"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4"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4"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4"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5"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4"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4"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4"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5"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4"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4" t="str">
        <f t="shared" si="2"/>
        <v>Valencia College</v>
      </c>
      <c r="B104" s="609">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56" t="s">
        <v>767</v>
      </c>
      <c r="B108" s="1256"/>
      <c r="C108" s="1256"/>
      <c r="D108" s="1256"/>
      <c r="E108" s="1256"/>
      <c r="F108" s="1256"/>
      <c r="G108" s="1256"/>
      <c r="H108" s="1256"/>
      <c r="I108" s="1256"/>
      <c r="J108" s="1256"/>
      <c r="K108" s="1256"/>
      <c r="L108" s="1256"/>
      <c r="M108" s="1256"/>
      <c r="N108" s="1256"/>
      <c r="O108" s="1256"/>
      <c r="P108" s="1256"/>
      <c r="Q108" s="1256"/>
      <c r="R108" s="1256"/>
    </row>
    <row r="109" spans="1:19" ht="20.100000000000001" customHeight="1">
      <c r="A109" s="1254" t="s">
        <v>68</v>
      </c>
      <c r="B109" s="1254"/>
      <c r="C109" s="1254"/>
      <c r="D109" s="1254"/>
      <c r="E109" s="1254"/>
      <c r="F109" s="1254"/>
      <c r="G109" s="1254"/>
      <c r="H109" s="1254"/>
      <c r="I109" s="1254"/>
      <c r="J109" s="1254"/>
      <c r="K109" s="1254"/>
      <c r="L109" s="1254"/>
      <c r="M109" s="1254"/>
      <c r="N109" s="1254"/>
      <c r="O109" s="1254"/>
      <c r="P109" s="1254"/>
      <c r="Q109" s="1254"/>
      <c r="R109" s="1254"/>
      <c r="S109" s="604"/>
    </row>
    <row r="110" spans="1:19" ht="20.100000000000001" customHeight="1">
      <c r="A110" s="585" t="s">
        <v>69</v>
      </c>
      <c r="B110" s="585"/>
      <c r="C110" s="585"/>
      <c r="D110" s="585"/>
      <c r="E110" s="585"/>
      <c r="F110" s="585"/>
      <c r="G110" s="585"/>
      <c r="H110" s="585"/>
      <c r="I110" s="585"/>
      <c r="J110" s="585"/>
      <c r="K110" s="585"/>
      <c r="L110" s="585"/>
      <c r="M110" s="585"/>
      <c r="N110" s="585"/>
      <c r="O110" s="585"/>
      <c r="P110" s="585"/>
      <c r="Q110" s="585"/>
      <c r="R110" s="585"/>
    </row>
    <row r="111" spans="1:19" ht="20.100000000000001" customHeight="1">
      <c r="A111" s="1254" t="s">
        <v>70</v>
      </c>
      <c r="B111" s="1254"/>
      <c r="C111" s="1254"/>
      <c r="D111" s="1254"/>
      <c r="E111" s="1254"/>
      <c r="F111" s="1254"/>
      <c r="G111" s="1254"/>
      <c r="H111" s="1254"/>
      <c r="I111" s="1254"/>
      <c r="J111" s="1254"/>
      <c r="K111" s="1254"/>
      <c r="L111" s="1254"/>
      <c r="M111" s="1254"/>
      <c r="N111" s="1254"/>
      <c r="O111" s="1254"/>
      <c r="P111" s="1254"/>
      <c r="Q111" s="1254"/>
      <c r="R111" s="1254"/>
    </row>
    <row r="112" spans="1:19" ht="20.100000000000001" customHeight="1">
      <c r="A112" s="1254"/>
      <c r="B112" s="1254"/>
      <c r="C112" s="1254"/>
      <c r="D112" s="1254"/>
      <c r="E112" s="1254"/>
      <c r="F112" s="1254"/>
      <c r="G112" s="1254"/>
    </row>
    <row r="113" spans="1:54" ht="32.450000000000003" customHeight="1" thickBot="1">
      <c r="E113" s="598"/>
      <c r="F113" s="598"/>
      <c r="G113" s="598"/>
      <c r="H113" s="27"/>
      <c r="I113" s="27"/>
      <c r="J113" s="27"/>
      <c r="K113" s="27"/>
    </row>
    <row r="114" spans="1:54" ht="43.35" customHeight="1" thickBot="1">
      <c r="A114" s="58" t="s">
        <v>760</v>
      </c>
      <c r="B114" s="1249" t="s">
        <v>773</v>
      </c>
      <c r="C114" s="1250"/>
      <c r="D114" s="1251"/>
      <c r="E114" s="1252" t="s">
        <v>71</v>
      </c>
      <c r="F114" s="1252"/>
      <c r="G114" s="1252"/>
      <c r="H114" s="1252"/>
      <c r="I114" s="1252"/>
      <c r="J114" s="1252"/>
      <c r="K114" s="1252"/>
      <c r="L114" s="1252"/>
      <c r="M114" s="1252"/>
      <c r="N114" s="1252"/>
      <c r="O114" s="1252"/>
      <c r="P114" s="1252"/>
      <c r="Q114" s="1252"/>
      <c r="R114" s="1252"/>
      <c r="S114" s="1253"/>
      <c r="T114" s="762"/>
      <c r="U114" s="762"/>
      <c r="AC114" s="22"/>
      <c r="AD114" s="37"/>
      <c r="AK114" s="497"/>
    </row>
    <row r="115" spans="1:54" ht="39" customHeight="1" thickBot="1">
      <c r="A115" s="57">
        <v>1</v>
      </c>
      <c r="B115" s="55">
        <v>2</v>
      </c>
      <c r="C115" s="1252">
        <v>3</v>
      </c>
      <c r="D115" s="1253">
        <v>4</v>
      </c>
      <c r="E115" s="1252">
        <v>5</v>
      </c>
      <c r="F115" s="1252">
        <v>6</v>
      </c>
      <c r="G115" s="1252">
        <v>7</v>
      </c>
      <c r="H115" s="1252">
        <v>8</v>
      </c>
      <c r="I115" s="1252">
        <v>9</v>
      </c>
      <c r="J115" s="1252">
        <v>10</v>
      </c>
      <c r="K115" s="1252">
        <v>11</v>
      </c>
      <c r="L115" s="1252">
        <v>12</v>
      </c>
      <c r="M115" s="1252">
        <v>13</v>
      </c>
      <c r="N115" s="1252">
        <v>14</v>
      </c>
      <c r="O115" s="1252">
        <v>15</v>
      </c>
      <c r="P115" s="1252">
        <v>16</v>
      </c>
      <c r="Q115" s="1252">
        <v>17</v>
      </c>
      <c r="R115" s="1252">
        <v>18</v>
      </c>
      <c r="S115" s="1253">
        <v>19</v>
      </c>
      <c r="T115" s="1310" t="s">
        <v>50</v>
      </c>
      <c r="U115" s="38"/>
      <c r="V115" s="55">
        <v>20</v>
      </c>
      <c r="W115" s="1252">
        <v>21</v>
      </c>
      <c r="X115" s="1252">
        <v>22</v>
      </c>
      <c r="Y115" s="71"/>
      <c r="Z115" s="1252">
        <v>23</v>
      </c>
      <c r="AA115" s="1252">
        <v>24</v>
      </c>
      <c r="AB115" s="1253">
        <v>25</v>
      </c>
      <c r="AC115" s="40"/>
      <c r="AD115" s="37"/>
    </row>
    <row r="116" spans="1:54" ht="29.45" customHeight="1" thickBot="1">
      <c r="A116" s="67" t="s">
        <v>73</v>
      </c>
      <c r="B116" s="1324" t="s">
        <v>74</v>
      </c>
      <c r="C116" s="1325"/>
      <c r="D116" s="1326"/>
      <c r="E116" s="39"/>
      <c r="G116" s="1279"/>
      <c r="H116" s="1279"/>
      <c r="I116" s="1279"/>
      <c r="J116" s="1279" t="s">
        <v>75</v>
      </c>
      <c r="K116" s="1279"/>
      <c r="L116" s="1279"/>
      <c r="M116" s="1279"/>
      <c r="N116" s="1279"/>
      <c r="O116" s="1279"/>
      <c r="P116" s="1279"/>
      <c r="Q116" s="1304" t="s">
        <v>76</v>
      </c>
      <c r="R116" s="1305"/>
      <c r="S116" s="1306"/>
      <c r="T116" s="1311" t="s">
        <v>768</v>
      </c>
      <c r="U116" s="41"/>
      <c r="V116" s="42"/>
      <c r="W116" s="43"/>
      <c r="X116" s="44"/>
      <c r="Y116" s="72"/>
      <c r="Z116" s="1282"/>
      <c r="AA116" s="1283"/>
      <c r="AB116" s="1284"/>
      <c r="AC116" s="22"/>
      <c r="AD116" s="728" t="s">
        <v>769</v>
      </c>
      <c r="AF116" s="36"/>
      <c r="AG116" s="37"/>
    </row>
    <row r="117" spans="1:54" ht="66" customHeight="1" thickBot="1">
      <c r="A117" s="45"/>
      <c r="B117" s="1261" t="s">
        <v>77</v>
      </c>
      <c r="C117" s="1262"/>
      <c r="D117" s="1263"/>
      <c r="E117" s="1261" t="s">
        <v>78</v>
      </c>
      <c r="F117" s="1262"/>
      <c r="G117" s="1263"/>
      <c r="H117" s="1261" t="s">
        <v>79</v>
      </c>
      <c r="I117" s="1262"/>
      <c r="J117" s="1263"/>
      <c r="K117" s="1264" t="s">
        <v>80</v>
      </c>
      <c r="L117" s="1264"/>
      <c r="M117" s="1264"/>
      <c r="N117" s="1265" t="s">
        <v>81</v>
      </c>
      <c r="O117" s="1266"/>
      <c r="P117" s="1267"/>
      <c r="Q117" s="1307" t="s">
        <v>82</v>
      </c>
      <c r="R117" s="1308"/>
      <c r="S117" s="1309"/>
      <c r="T117" s="1280" t="s">
        <v>83</v>
      </c>
      <c r="U117" s="26"/>
      <c r="V117" s="1258" t="s">
        <v>84</v>
      </c>
      <c r="W117" s="1259"/>
      <c r="X117" s="1268"/>
      <c r="Y117" s="1312"/>
      <c r="Z117" s="1258" t="s">
        <v>85</v>
      </c>
      <c r="AA117" s="1259"/>
      <c r="AB117" s="1260"/>
      <c r="AC117" s="27"/>
      <c r="AD117" s="54" t="s">
        <v>86</v>
      </c>
      <c r="AF117" s="22"/>
      <c r="AG117" s="24"/>
      <c r="AI117" s="1313" t="s">
        <v>770</v>
      </c>
      <c r="AJ117" s="1313"/>
      <c r="AK117" s="1313"/>
      <c r="AL117" s="1313"/>
      <c r="AM117" s="1313"/>
      <c r="AN117" s="1313"/>
      <c r="AO117" s="1313"/>
      <c r="AP117" s="27"/>
      <c r="AS117" s="27"/>
      <c r="AT117" s="27"/>
    </row>
    <row r="118" spans="1:54" ht="87" customHeight="1" thickBot="1">
      <c r="A118" s="50" t="s">
        <v>17</v>
      </c>
      <c r="B118" s="1172" t="s">
        <v>87</v>
      </c>
      <c r="C118" s="495"/>
      <c r="D118" s="703" t="s">
        <v>55</v>
      </c>
      <c r="E118" s="1171" t="s">
        <v>87</v>
      </c>
      <c r="F118" s="1170" t="s">
        <v>88</v>
      </c>
      <c r="G118" s="68" t="s">
        <v>55</v>
      </c>
      <c r="H118" s="1173" t="s">
        <v>87</v>
      </c>
      <c r="I118" s="1174" t="s">
        <v>88</v>
      </c>
      <c r="J118" s="70" t="s">
        <v>55</v>
      </c>
      <c r="K118" s="1175" t="s">
        <v>87</v>
      </c>
      <c r="L118" s="1176" t="s">
        <v>88</v>
      </c>
      <c r="M118" s="739" t="s">
        <v>55</v>
      </c>
      <c r="N118" s="1177" t="s">
        <v>87</v>
      </c>
      <c r="O118" s="1176" t="s">
        <v>88</v>
      </c>
      <c r="P118" s="672" t="s">
        <v>55</v>
      </c>
      <c r="Q118" s="1177" t="s">
        <v>87</v>
      </c>
      <c r="R118" s="1170" t="s">
        <v>88</v>
      </c>
      <c r="S118" s="70" t="s">
        <v>55</v>
      </c>
      <c r="T118" s="1281"/>
      <c r="V118" s="1178" t="s">
        <v>87</v>
      </c>
      <c r="W118" s="1179" t="s">
        <v>88</v>
      </c>
      <c r="X118" s="786" t="s">
        <v>55</v>
      </c>
      <c r="Y118" s="69"/>
      <c r="Z118" s="46" t="s">
        <v>87</v>
      </c>
      <c r="AA118" s="1180" t="s">
        <v>88</v>
      </c>
      <c r="AB118" s="95" t="s">
        <v>55</v>
      </c>
      <c r="AD118" s="50" t="s">
        <v>17</v>
      </c>
      <c r="AE118" s="1181" t="s">
        <v>89</v>
      </c>
      <c r="AF118" s="1182"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6">
        <v>1010</v>
      </c>
      <c r="C119" s="1327"/>
      <c r="D119" s="1166">
        <f t="shared" ref="D119:D146" si="8">B119+C119</f>
        <v>1010</v>
      </c>
      <c r="E119" s="1285">
        <v>3979.2172605029245</v>
      </c>
      <c r="F119" s="587">
        <v>136.91228443363974</v>
      </c>
      <c r="G119" s="509">
        <f t="shared" ref="G119:G146" si="9">E119+F119</f>
        <v>4116.1295449365643</v>
      </c>
      <c r="H119" s="588">
        <v>1504.3618637220577</v>
      </c>
      <c r="I119" s="589">
        <v>33.968273633180715</v>
      </c>
      <c r="J119" s="509">
        <f>H119+I119</f>
        <v>1538.3301373552383</v>
      </c>
      <c r="K119" s="590">
        <v>161.90897755610973</v>
      </c>
      <c r="L119" s="591">
        <v>16.091022443890271</v>
      </c>
      <c r="M119" s="66">
        <f t="shared" ref="M119:M146" si="10">K119+L119</f>
        <v>178</v>
      </c>
      <c r="N119" s="590">
        <v>0</v>
      </c>
      <c r="O119" s="591">
        <v>0</v>
      </c>
      <c r="P119" s="66">
        <f t="shared" ref="P119:P146" si="11">N119+O119</f>
        <v>0</v>
      </c>
      <c r="Q119" s="590">
        <v>278.67892503536069</v>
      </c>
      <c r="R119" s="592">
        <v>13.185289957567184</v>
      </c>
      <c r="S119" s="509">
        <f t="shared" ref="S119:S146" si="12">Q119+R119</f>
        <v>291.86421499292788</v>
      </c>
      <c r="T119" s="66">
        <f t="shared" ref="T119:T146" si="13">D119+G119+J119+M119+P119+S119</f>
        <v>7134.3238972847312</v>
      </c>
      <c r="V119" s="787">
        <f>X119-W119</f>
        <v>0</v>
      </c>
      <c r="W119" s="593">
        <v>0</v>
      </c>
      <c r="X119" s="594">
        <v>0</v>
      </c>
      <c r="Y119" s="93"/>
      <c r="Z119" s="514">
        <f>AB119-AA119</f>
        <v>0</v>
      </c>
      <c r="AA119" s="595">
        <v>0</v>
      </c>
      <c r="AB119" s="788">
        <f t="shared" ref="AB119:AB146" si="14">AG119</f>
        <v>0</v>
      </c>
      <c r="AD119" s="491" t="str">
        <f t="shared" ref="AD119:AD146" si="15">A119</f>
        <v>Eastern Florida State College</v>
      </c>
      <c r="AE119" s="596">
        <v>0</v>
      </c>
      <c r="AF119" s="596">
        <v>0</v>
      </c>
      <c r="AG119" s="516">
        <f t="shared" ref="AG119:AG146" si="16">AE119+AF119</f>
        <v>0</v>
      </c>
      <c r="AI119" s="1278" t="s">
        <v>92</v>
      </c>
      <c r="AJ119" s="1278"/>
      <c r="AK119" s="1278"/>
      <c r="AL119" s="1278"/>
      <c r="AM119" s="1278"/>
      <c r="AN119" s="1278"/>
      <c r="AO119" s="52">
        <f>X147+AB147</f>
        <v>2336</v>
      </c>
      <c r="AP119" s="27"/>
      <c r="AR119" s="48"/>
      <c r="AS119" s="48"/>
      <c r="AT119" s="48"/>
      <c r="AU119" s="27"/>
      <c r="AY119" s="27"/>
      <c r="AZ119" s="27"/>
      <c r="BA119" s="27"/>
      <c r="BB119" s="27"/>
    </row>
    <row r="120" spans="1:54" ht="25.35" customHeight="1">
      <c r="A120" s="789" t="str">
        <f t="shared" si="7"/>
        <v>Broward College</v>
      </c>
      <c r="B120" s="760">
        <v>1229</v>
      </c>
      <c r="C120" s="766"/>
      <c r="D120" s="1167">
        <f t="shared" si="8"/>
        <v>1229</v>
      </c>
      <c r="E120" s="1286">
        <v>11325.675030771134</v>
      </c>
      <c r="F120" s="768">
        <v>442.79317238998919</v>
      </c>
      <c r="G120" s="767">
        <f t="shared" si="9"/>
        <v>11768.468203161123</v>
      </c>
      <c r="H120" s="769">
        <v>5988.4864936950826</v>
      </c>
      <c r="I120" s="770">
        <v>277.12786166224606</v>
      </c>
      <c r="J120" s="767">
        <f t="shared" ref="J120:J146" si="17">H120+I120</f>
        <v>6265.6143553573283</v>
      </c>
      <c r="K120" s="790">
        <v>569.30135093644458</v>
      </c>
      <c r="L120" s="761">
        <v>49.698649063555415</v>
      </c>
      <c r="M120" s="791">
        <f t="shared" si="10"/>
        <v>619</v>
      </c>
      <c r="N120" s="790">
        <v>24.317406143344709</v>
      </c>
      <c r="O120" s="761">
        <v>0.68259385665529015</v>
      </c>
      <c r="P120" s="791">
        <f t="shared" si="11"/>
        <v>25</v>
      </c>
      <c r="Q120" s="790">
        <v>181.93151417870519</v>
      </c>
      <c r="R120" s="771">
        <v>3.0684858212948103</v>
      </c>
      <c r="S120" s="767">
        <f t="shared" si="12"/>
        <v>185</v>
      </c>
      <c r="T120" s="791">
        <f t="shared" si="13"/>
        <v>20092.08255851845</v>
      </c>
      <c r="V120" s="787">
        <f t="shared" ref="V120:V146" si="18">X120-W120</f>
        <v>0</v>
      </c>
      <c r="W120" s="771">
        <v>0</v>
      </c>
      <c r="X120" s="792">
        <v>0</v>
      </c>
      <c r="Y120" s="93"/>
      <c r="Z120" s="772">
        <f t="shared" ref="Z120:Z146" si="19">AB120-AA120</f>
        <v>0</v>
      </c>
      <c r="AA120" s="793">
        <v>0</v>
      </c>
      <c r="AB120" s="788">
        <f t="shared" si="14"/>
        <v>0</v>
      </c>
      <c r="AD120" s="496" t="str">
        <f t="shared" si="15"/>
        <v>Broward College</v>
      </c>
      <c r="AE120" s="794">
        <v>0</v>
      </c>
      <c r="AF120" s="794">
        <v>0</v>
      </c>
      <c r="AG120" s="767">
        <f t="shared" si="16"/>
        <v>0</v>
      </c>
      <c r="AI120" s="1278" t="s">
        <v>93</v>
      </c>
      <c r="AJ120" s="1278"/>
      <c r="AK120" s="1278"/>
      <c r="AL120" s="1278"/>
      <c r="AM120" s="1278"/>
      <c r="AN120" s="1278"/>
      <c r="AO120" s="597">
        <v>28840.787736365251</v>
      </c>
      <c r="AP120" s="27"/>
      <c r="AR120" s="517"/>
      <c r="AS120" s="517"/>
      <c r="AT120" s="517"/>
      <c r="AU120" s="517"/>
      <c r="AV120" s="517"/>
      <c r="AW120" s="517"/>
      <c r="AX120" s="517"/>
      <c r="AY120" s="27"/>
      <c r="AZ120" s="27"/>
      <c r="BA120" s="27"/>
      <c r="BB120" s="27"/>
    </row>
    <row r="121" spans="1:54" ht="25.35" customHeight="1">
      <c r="A121" s="795" t="str">
        <f t="shared" si="7"/>
        <v>College of Central Florida</v>
      </c>
      <c r="B121" s="760">
        <v>294</v>
      </c>
      <c r="C121" s="766"/>
      <c r="D121" s="1167">
        <f t="shared" si="8"/>
        <v>294</v>
      </c>
      <c r="E121" s="1286">
        <v>1761.0190991507509</v>
      </c>
      <c r="F121" s="768">
        <v>69.368402192998175</v>
      </c>
      <c r="G121" s="767">
        <f t="shared" si="9"/>
        <v>1830.3875013437491</v>
      </c>
      <c r="H121" s="769">
        <v>1056.3229402397117</v>
      </c>
      <c r="I121" s="770">
        <v>34.978878551672125</v>
      </c>
      <c r="J121" s="767">
        <f t="shared" si="17"/>
        <v>1091.3018187913838</v>
      </c>
      <c r="K121" s="790">
        <v>77.036312849162016</v>
      </c>
      <c r="L121" s="761">
        <v>9.9636871508379876</v>
      </c>
      <c r="M121" s="791">
        <f t="shared" si="10"/>
        <v>87</v>
      </c>
      <c r="N121" s="790">
        <v>0</v>
      </c>
      <c r="O121" s="761">
        <v>0</v>
      </c>
      <c r="P121" s="791">
        <f t="shared" si="11"/>
        <v>0</v>
      </c>
      <c r="Q121" s="790">
        <v>123.00681302043905</v>
      </c>
      <c r="R121" s="771">
        <v>1.5987887963663894</v>
      </c>
      <c r="S121" s="767">
        <f t="shared" si="12"/>
        <v>124.60560181680545</v>
      </c>
      <c r="T121" s="791">
        <f t="shared" si="13"/>
        <v>3427.2949219519387</v>
      </c>
      <c r="V121" s="787">
        <f t="shared" si="18"/>
        <v>0</v>
      </c>
      <c r="W121" s="771">
        <v>0</v>
      </c>
      <c r="X121" s="792">
        <v>0</v>
      </c>
      <c r="Y121" s="93"/>
      <c r="Z121" s="772">
        <f t="shared" si="19"/>
        <v>2.6666666666666661</v>
      </c>
      <c r="AA121" s="793">
        <v>13.333333333333334</v>
      </c>
      <c r="AB121" s="788">
        <f t="shared" si="14"/>
        <v>16</v>
      </c>
      <c r="AD121" s="795" t="str">
        <f t="shared" si="15"/>
        <v>College of Central Florida</v>
      </c>
      <c r="AE121" s="794">
        <v>10</v>
      </c>
      <c r="AF121" s="794">
        <v>6</v>
      </c>
      <c r="AG121" s="767">
        <f t="shared" si="16"/>
        <v>16</v>
      </c>
      <c r="AI121" s="1278" t="s">
        <v>94</v>
      </c>
      <c r="AJ121" s="1278"/>
      <c r="AK121" s="1278"/>
      <c r="AL121" s="1278"/>
      <c r="AM121" s="1278"/>
      <c r="AN121" s="1278"/>
      <c r="AO121" s="715">
        <f>4262-0</f>
        <v>4262</v>
      </c>
      <c r="AP121" s="27"/>
      <c r="AR121" s="27"/>
      <c r="AS121" s="27"/>
      <c r="AT121" s="27"/>
      <c r="AU121" s="27"/>
      <c r="AV121" s="27"/>
      <c r="AW121" s="27"/>
      <c r="AX121" s="27"/>
      <c r="AY121" s="27"/>
      <c r="AZ121" s="27"/>
      <c r="BA121" s="27"/>
      <c r="BB121" s="27"/>
    </row>
    <row r="122" spans="1:54" ht="25.35" customHeight="1">
      <c r="A122" s="795" t="str">
        <f t="shared" si="7"/>
        <v>Chipola College</v>
      </c>
      <c r="B122" s="760">
        <v>153</v>
      </c>
      <c r="C122" s="766"/>
      <c r="D122" s="1167">
        <f t="shared" si="8"/>
        <v>153</v>
      </c>
      <c r="E122" s="1286">
        <v>503.02262443438917</v>
      </c>
      <c r="F122" s="768">
        <v>36.862586330078592</v>
      </c>
      <c r="G122" s="767">
        <f t="shared" si="9"/>
        <v>539.88521076446773</v>
      </c>
      <c r="H122" s="769">
        <v>186.51497005988023</v>
      </c>
      <c r="I122" s="770">
        <v>6.8502994011976037</v>
      </c>
      <c r="J122" s="767">
        <f t="shared" si="17"/>
        <v>193.36526946107784</v>
      </c>
      <c r="K122" s="790">
        <v>3.0909090909090904</v>
      </c>
      <c r="L122" s="761">
        <v>2.9090909090909096</v>
      </c>
      <c r="M122" s="791">
        <f t="shared" si="10"/>
        <v>6</v>
      </c>
      <c r="N122" s="790">
        <v>0</v>
      </c>
      <c r="O122" s="761">
        <v>0</v>
      </c>
      <c r="P122" s="791">
        <f t="shared" si="11"/>
        <v>0</v>
      </c>
      <c r="Q122" s="790">
        <v>144.78765759787657</v>
      </c>
      <c r="R122" s="771">
        <v>0.50099535500995362</v>
      </c>
      <c r="S122" s="767">
        <f t="shared" si="12"/>
        <v>145.28865295288654</v>
      </c>
      <c r="T122" s="791">
        <f t="shared" si="13"/>
        <v>1037.5391331784322</v>
      </c>
      <c r="V122" s="787">
        <f t="shared" si="18"/>
        <v>0</v>
      </c>
      <c r="W122" s="771">
        <v>0</v>
      </c>
      <c r="X122" s="792">
        <v>0</v>
      </c>
      <c r="Y122" s="93"/>
      <c r="Z122" s="772">
        <f t="shared" si="19"/>
        <v>0</v>
      </c>
      <c r="AA122" s="793">
        <v>0</v>
      </c>
      <c r="AB122" s="788">
        <f t="shared" si="14"/>
        <v>0</v>
      </c>
      <c r="AD122" s="795" t="str">
        <f t="shared" si="15"/>
        <v>Chipola College</v>
      </c>
      <c r="AE122" s="794">
        <v>0</v>
      </c>
      <c r="AF122" s="794">
        <v>0</v>
      </c>
      <c r="AG122" s="767">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5" t="str">
        <f t="shared" si="7"/>
        <v>Daytona State College</v>
      </c>
      <c r="B123" s="760">
        <v>912</v>
      </c>
      <c r="C123" s="766"/>
      <c r="D123" s="1167">
        <f t="shared" si="8"/>
        <v>912</v>
      </c>
      <c r="E123" s="1286">
        <v>3827.3958581492702</v>
      </c>
      <c r="F123" s="768">
        <v>190.36340741244936</v>
      </c>
      <c r="G123" s="767">
        <f t="shared" si="9"/>
        <v>4017.7592655617195</v>
      </c>
      <c r="H123" s="769">
        <v>2034.9891108891109</v>
      </c>
      <c r="I123" s="770">
        <v>87.8986013986014</v>
      </c>
      <c r="J123" s="767">
        <f t="shared" si="17"/>
        <v>2122.8877122877125</v>
      </c>
      <c r="K123" s="790">
        <v>80.90220385674931</v>
      </c>
      <c r="L123" s="761">
        <v>4.0977961432506884</v>
      </c>
      <c r="M123" s="791">
        <f t="shared" si="10"/>
        <v>85</v>
      </c>
      <c r="N123" s="790">
        <v>1</v>
      </c>
      <c r="O123" s="761">
        <v>0</v>
      </c>
      <c r="P123" s="791">
        <f t="shared" si="11"/>
        <v>1</v>
      </c>
      <c r="Q123" s="790">
        <v>627.18478439088381</v>
      </c>
      <c r="R123" s="771">
        <v>16.216592884079358</v>
      </c>
      <c r="S123" s="767">
        <f t="shared" si="12"/>
        <v>643.40137727496312</v>
      </c>
      <c r="T123" s="791">
        <f t="shared" si="13"/>
        <v>7782.0483551243951</v>
      </c>
      <c r="V123" s="787">
        <f t="shared" si="18"/>
        <v>0</v>
      </c>
      <c r="W123" s="771">
        <v>0</v>
      </c>
      <c r="X123" s="792">
        <v>0</v>
      </c>
      <c r="Y123" s="93"/>
      <c r="Z123" s="772">
        <f t="shared" si="19"/>
        <v>132.60534124629081</v>
      </c>
      <c r="AA123" s="793">
        <v>0.3946587537091989</v>
      </c>
      <c r="AB123" s="788">
        <f t="shared" si="14"/>
        <v>133</v>
      </c>
      <c r="AD123" s="795" t="str">
        <f t="shared" si="15"/>
        <v>Daytona State College</v>
      </c>
      <c r="AE123" s="794">
        <v>106</v>
      </c>
      <c r="AF123" s="794">
        <v>27</v>
      </c>
      <c r="AG123" s="767">
        <f t="shared" si="16"/>
        <v>133</v>
      </c>
      <c r="AP123" s="27"/>
      <c r="AS123" s="48"/>
      <c r="AT123" s="27"/>
      <c r="AU123" s="27"/>
      <c r="AV123" s="27"/>
      <c r="AW123" s="27"/>
    </row>
    <row r="124" spans="1:54" ht="25.35" customHeight="1">
      <c r="A124" s="795" t="str">
        <f t="shared" si="7"/>
        <v>Florida SouthWestern State College</v>
      </c>
      <c r="B124" s="760">
        <v>594</v>
      </c>
      <c r="C124" s="766"/>
      <c r="D124" s="1167">
        <f t="shared" si="8"/>
        <v>594</v>
      </c>
      <c r="E124" s="1286">
        <v>6586.4047820720707</v>
      </c>
      <c r="F124" s="768">
        <v>226.89092713148278</v>
      </c>
      <c r="G124" s="767">
        <f t="shared" si="9"/>
        <v>6813.2957092035531</v>
      </c>
      <c r="H124" s="769">
        <v>519.39398240136245</v>
      </c>
      <c r="I124" s="770">
        <v>7.9733181947204077</v>
      </c>
      <c r="J124" s="767">
        <f t="shared" si="17"/>
        <v>527.36730059608283</v>
      </c>
      <c r="K124" s="790">
        <v>99.049773755656105</v>
      </c>
      <c r="L124" s="761">
        <v>10.95022624434389</v>
      </c>
      <c r="M124" s="791">
        <f t="shared" si="10"/>
        <v>110</v>
      </c>
      <c r="N124" s="790">
        <v>0</v>
      </c>
      <c r="O124" s="761">
        <v>0</v>
      </c>
      <c r="P124" s="791">
        <f t="shared" si="11"/>
        <v>0</v>
      </c>
      <c r="Q124" s="790">
        <v>35</v>
      </c>
      <c r="R124" s="771">
        <v>0</v>
      </c>
      <c r="S124" s="767">
        <f t="shared" si="12"/>
        <v>35</v>
      </c>
      <c r="T124" s="791">
        <f t="shared" si="13"/>
        <v>8079.6630097996358</v>
      </c>
      <c r="V124" s="787">
        <f t="shared" si="18"/>
        <v>0</v>
      </c>
      <c r="W124" s="771">
        <v>0</v>
      </c>
      <c r="X124" s="792">
        <v>0</v>
      </c>
      <c r="Y124" s="93"/>
      <c r="Z124" s="772">
        <f t="shared" si="19"/>
        <v>0</v>
      </c>
      <c r="AA124" s="793">
        <v>0</v>
      </c>
      <c r="AB124" s="788">
        <f t="shared" si="14"/>
        <v>0</v>
      </c>
      <c r="AD124" s="795" t="str">
        <f t="shared" si="15"/>
        <v>Florida SouthWestern State College</v>
      </c>
      <c r="AE124" s="794">
        <v>0</v>
      </c>
      <c r="AF124" s="794">
        <v>0</v>
      </c>
      <c r="AG124" s="767">
        <f t="shared" si="16"/>
        <v>0</v>
      </c>
      <c r="AI124" s="48" t="s">
        <v>771</v>
      </c>
      <c r="AJ124" s="27"/>
      <c r="AK124" s="27"/>
      <c r="AL124" s="27"/>
      <c r="AM124" s="27"/>
      <c r="AN124" s="27"/>
      <c r="AO124" s="597">
        <v>275644</v>
      </c>
      <c r="AR124" s="48"/>
      <c r="AS124" s="48"/>
      <c r="AT124" s="27"/>
      <c r="AU124" s="27"/>
      <c r="AV124" s="27"/>
      <c r="AW124" s="27"/>
    </row>
    <row r="125" spans="1:54" ht="25.35" customHeight="1">
      <c r="A125" s="795" t="str">
        <f t="shared" si="7"/>
        <v>Florida State College at Jacksonville</v>
      </c>
      <c r="B125" s="760">
        <v>1626</v>
      </c>
      <c r="C125" s="766"/>
      <c r="D125" s="1167">
        <f t="shared" si="8"/>
        <v>1626</v>
      </c>
      <c r="E125" s="1286">
        <v>6954.1670372676326</v>
      </c>
      <c r="F125" s="768">
        <v>224.04357155563463</v>
      </c>
      <c r="G125" s="767">
        <f t="shared" si="9"/>
        <v>7178.2106088232676</v>
      </c>
      <c r="H125" s="769">
        <v>3034.7401659945062</v>
      </c>
      <c r="I125" s="770">
        <v>84.046437547489617</v>
      </c>
      <c r="J125" s="767">
        <f t="shared" si="17"/>
        <v>3118.7866035419956</v>
      </c>
      <c r="K125" s="790">
        <v>312.38894575230296</v>
      </c>
      <c r="L125" s="761">
        <v>15.611054247697032</v>
      </c>
      <c r="M125" s="791">
        <f t="shared" si="10"/>
        <v>328</v>
      </c>
      <c r="N125" s="790">
        <v>20</v>
      </c>
      <c r="O125" s="761">
        <v>0</v>
      </c>
      <c r="P125" s="791">
        <f t="shared" si="11"/>
        <v>20</v>
      </c>
      <c r="Q125" s="790">
        <v>608.58000297132662</v>
      </c>
      <c r="R125" s="771">
        <v>71.651760511068176</v>
      </c>
      <c r="S125" s="767">
        <f t="shared" si="12"/>
        <v>680.23176348239485</v>
      </c>
      <c r="T125" s="791">
        <f t="shared" si="13"/>
        <v>12951.228975847658</v>
      </c>
      <c r="V125" s="787">
        <f t="shared" si="18"/>
        <v>0</v>
      </c>
      <c r="W125" s="771">
        <v>0</v>
      </c>
      <c r="X125" s="792">
        <v>0</v>
      </c>
      <c r="Y125" s="93"/>
      <c r="Z125" s="772">
        <f t="shared" si="19"/>
        <v>184.81566820276498</v>
      </c>
      <c r="AA125" s="793">
        <v>10.184331797235023</v>
      </c>
      <c r="AB125" s="788">
        <f t="shared" si="14"/>
        <v>195</v>
      </c>
      <c r="AD125" s="795" t="str">
        <f t="shared" si="15"/>
        <v>Florida State College at Jacksonville</v>
      </c>
      <c r="AE125" s="794">
        <v>187</v>
      </c>
      <c r="AF125" s="794">
        <v>8</v>
      </c>
      <c r="AG125" s="767">
        <f t="shared" si="16"/>
        <v>195</v>
      </c>
      <c r="AM125" s="27"/>
      <c r="AN125" s="27"/>
      <c r="AO125" s="716">
        <f>AO122</f>
        <v>35438.787736365251</v>
      </c>
      <c r="AP125" s="27"/>
      <c r="AQ125" s="48"/>
      <c r="AR125" s="48"/>
      <c r="AS125" s="48"/>
      <c r="AT125" s="27"/>
      <c r="AU125" s="27"/>
      <c r="AV125" s="27"/>
      <c r="AW125" s="27"/>
    </row>
    <row r="126" spans="1:54" ht="25.35" customHeight="1">
      <c r="A126" s="795" t="str">
        <f t="shared" si="7"/>
        <v>College of the Florida Keys</v>
      </c>
      <c r="B126" s="760">
        <v>53</v>
      </c>
      <c r="C126" s="766"/>
      <c r="D126" s="1167">
        <f t="shared" si="8"/>
        <v>53</v>
      </c>
      <c r="E126" s="1286">
        <v>263.43192064923358</v>
      </c>
      <c r="F126" s="768">
        <v>28.320108205590621</v>
      </c>
      <c r="G126" s="767">
        <f t="shared" si="9"/>
        <v>291.75202885482418</v>
      </c>
      <c r="H126" s="769">
        <v>264.9724409448819</v>
      </c>
      <c r="I126" s="770">
        <v>28.551181102362207</v>
      </c>
      <c r="J126" s="767">
        <f t="shared" si="17"/>
        <v>293.52362204724409</v>
      </c>
      <c r="K126" s="790">
        <v>14.40952380952381</v>
      </c>
      <c r="L126" s="761">
        <v>2.5904761904761906</v>
      </c>
      <c r="M126" s="791">
        <f t="shared" si="10"/>
        <v>17</v>
      </c>
      <c r="N126" s="790">
        <v>0</v>
      </c>
      <c r="O126" s="761">
        <v>0</v>
      </c>
      <c r="P126" s="791">
        <f t="shared" si="11"/>
        <v>0</v>
      </c>
      <c r="Q126" s="790">
        <v>43.220253164556965</v>
      </c>
      <c r="R126" s="771">
        <v>0.77974683544303791</v>
      </c>
      <c r="S126" s="767">
        <f t="shared" si="12"/>
        <v>44</v>
      </c>
      <c r="T126" s="791">
        <f t="shared" si="13"/>
        <v>699.27565090206826</v>
      </c>
      <c r="V126" s="787">
        <f t="shared" si="18"/>
        <v>0</v>
      </c>
      <c r="W126" s="771">
        <v>0</v>
      </c>
      <c r="X126" s="792">
        <v>0</v>
      </c>
      <c r="Y126" s="93"/>
      <c r="Z126" s="772">
        <f t="shared" si="19"/>
        <v>0</v>
      </c>
      <c r="AA126" s="793">
        <v>0</v>
      </c>
      <c r="AB126" s="788">
        <f t="shared" si="14"/>
        <v>0</v>
      </c>
      <c r="AD126" s="795" t="str">
        <f t="shared" si="15"/>
        <v>College of the Florida Keys</v>
      </c>
      <c r="AE126" s="794">
        <v>0</v>
      </c>
      <c r="AF126" s="794">
        <v>0</v>
      </c>
      <c r="AG126" s="767">
        <f t="shared" si="16"/>
        <v>0</v>
      </c>
      <c r="AI126" s="1277" t="s">
        <v>95</v>
      </c>
      <c r="AJ126" s="1277"/>
      <c r="AK126" s="1277"/>
      <c r="AL126" s="1277"/>
      <c r="AM126" s="1277"/>
      <c r="AN126" s="1277"/>
      <c r="AO126" s="498">
        <f>AO124-AO125</f>
        <v>240205.21226363475</v>
      </c>
      <c r="AP126" s="27"/>
      <c r="AQ126" s="27"/>
      <c r="AR126" s="27"/>
      <c r="AS126" s="27"/>
      <c r="AT126" s="27"/>
      <c r="AU126" s="27"/>
    </row>
    <row r="127" spans="1:54" ht="25.35" customHeight="1">
      <c r="A127" s="795" t="str">
        <f t="shared" si="7"/>
        <v>Gulf Coast State College</v>
      </c>
      <c r="B127" s="760">
        <v>133</v>
      </c>
      <c r="C127" s="766"/>
      <c r="D127" s="1167">
        <f t="shared" si="8"/>
        <v>133</v>
      </c>
      <c r="E127" s="1286">
        <v>1665.0120012974376</v>
      </c>
      <c r="F127" s="768">
        <v>91.981372503591118</v>
      </c>
      <c r="G127" s="767">
        <f t="shared" si="9"/>
        <v>1756.9933738010286</v>
      </c>
      <c r="H127" s="769">
        <v>510.52558139534881</v>
      </c>
      <c r="I127" s="770">
        <v>23.726511627906973</v>
      </c>
      <c r="J127" s="767">
        <f t="shared" si="17"/>
        <v>534.25209302325584</v>
      </c>
      <c r="K127" s="790">
        <v>30.135048231511256</v>
      </c>
      <c r="L127" s="761">
        <v>2.864951768488746</v>
      </c>
      <c r="M127" s="791">
        <f t="shared" si="10"/>
        <v>33</v>
      </c>
      <c r="N127" s="790">
        <v>0</v>
      </c>
      <c r="O127" s="761">
        <v>0</v>
      </c>
      <c r="P127" s="791">
        <f t="shared" si="11"/>
        <v>0</v>
      </c>
      <c r="Q127" s="790">
        <v>154.53907815631263</v>
      </c>
      <c r="R127" s="771">
        <v>4.460921843687375</v>
      </c>
      <c r="S127" s="767">
        <f t="shared" si="12"/>
        <v>159</v>
      </c>
      <c r="T127" s="791">
        <f t="shared" si="13"/>
        <v>2616.2454668242844</v>
      </c>
      <c r="V127" s="787">
        <f t="shared" si="18"/>
        <v>0</v>
      </c>
      <c r="W127" s="771">
        <v>0</v>
      </c>
      <c r="X127" s="792">
        <v>0</v>
      </c>
      <c r="Y127" s="93"/>
      <c r="Z127" s="772">
        <f t="shared" si="19"/>
        <v>0</v>
      </c>
      <c r="AA127" s="793">
        <v>0</v>
      </c>
      <c r="AB127" s="788">
        <f t="shared" si="14"/>
        <v>0</v>
      </c>
      <c r="AD127" s="795" t="str">
        <f t="shared" si="15"/>
        <v>Gulf Coast State College</v>
      </c>
      <c r="AE127" s="794">
        <v>0</v>
      </c>
      <c r="AF127" s="794">
        <v>0</v>
      </c>
      <c r="AG127" s="767">
        <f t="shared" si="16"/>
        <v>0</v>
      </c>
      <c r="AP127" s="27"/>
      <c r="AQ127" s="27"/>
      <c r="AR127" s="27"/>
      <c r="AS127" s="27"/>
      <c r="AT127" s="27"/>
      <c r="AU127" s="27"/>
    </row>
    <row r="128" spans="1:54" ht="25.35" customHeight="1">
      <c r="A128" s="795" t="str">
        <f t="shared" si="7"/>
        <v>Hillsborough Community College</v>
      </c>
      <c r="B128" s="760">
        <v>0</v>
      </c>
      <c r="C128" s="766"/>
      <c r="D128" s="1167">
        <f t="shared" si="8"/>
        <v>0</v>
      </c>
      <c r="E128" s="1286">
        <v>8793.1774265132644</v>
      </c>
      <c r="F128" s="768">
        <v>364.34126523505512</v>
      </c>
      <c r="G128" s="767">
        <f t="shared" si="9"/>
        <v>9157.5186917483188</v>
      </c>
      <c r="H128" s="769">
        <v>4501.3462587336026</v>
      </c>
      <c r="I128" s="770">
        <v>183.45623743456017</v>
      </c>
      <c r="J128" s="767">
        <f t="shared" si="17"/>
        <v>4684.8024961681631</v>
      </c>
      <c r="K128" s="790">
        <v>858.14763966627947</v>
      </c>
      <c r="L128" s="761">
        <v>75.852360333720569</v>
      </c>
      <c r="M128" s="791">
        <f t="shared" si="10"/>
        <v>934</v>
      </c>
      <c r="N128" s="790">
        <v>47</v>
      </c>
      <c r="O128" s="761">
        <v>0</v>
      </c>
      <c r="P128" s="791">
        <f t="shared" si="11"/>
        <v>47</v>
      </c>
      <c r="Q128" s="790">
        <v>350.88680851063828</v>
      </c>
      <c r="R128" s="771">
        <v>3.1131914893617023</v>
      </c>
      <c r="S128" s="767">
        <f t="shared" si="12"/>
        <v>354</v>
      </c>
      <c r="T128" s="791">
        <f t="shared" si="13"/>
        <v>15177.321187916481</v>
      </c>
      <c r="V128" s="787">
        <f t="shared" si="18"/>
        <v>0</v>
      </c>
      <c r="W128" s="771">
        <v>0</v>
      </c>
      <c r="X128" s="792">
        <v>0</v>
      </c>
      <c r="Y128" s="93"/>
      <c r="Z128" s="772">
        <f t="shared" si="19"/>
        <v>0</v>
      </c>
      <c r="AA128" s="793">
        <v>0</v>
      </c>
      <c r="AB128" s="788">
        <f t="shared" si="14"/>
        <v>0</v>
      </c>
      <c r="AD128" s="795" t="str">
        <f t="shared" si="15"/>
        <v>Hillsborough Community College</v>
      </c>
      <c r="AE128" s="794">
        <v>0</v>
      </c>
      <c r="AF128" s="794">
        <v>0</v>
      </c>
      <c r="AG128" s="767">
        <f t="shared" si="16"/>
        <v>0</v>
      </c>
      <c r="AI128" s="1277" t="s">
        <v>772</v>
      </c>
      <c r="AJ128" s="1277"/>
      <c r="AK128" s="1277"/>
      <c r="AL128" s="1277"/>
      <c r="AM128" s="1277"/>
      <c r="AN128" s="1277"/>
      <c r="AO128" s="499">
        <f>AO122+AO126</f>
        <v>275644</v>
      </c>
      <c r="AP128" s="27"/>
      <c r="AQ128" s="27"/>
      <c r="AR128" s="27"/>
      <c r="AS128" s="27"/>
      <c r="AT128" s="27"/>
      <c r="AU128" s="27"/>
    </row>
    <row r="129" spans="1:47" ht="25.35" customHeight="1">
      <c r="A129" s="795" t="str">
        <f t="shared" si="7"/>
        <v>Indian River State College</v>
      </c>
      <c r="B129" s="760">
        <v>1362</v>
      </c>
      <c r="C129" s="766"/>
      <c r="D129" s="1167">
        <f t="shared" si="8"/>
        <v>1362</v>
      </c>
      <c r="E129" s="1286">
        <v>3572.5114733779756</v>
      </c>
      <c r="F129" s="768">
        <v>79.852679416777121</v>
      </c>
      <c r="G129" s="767">
        <f t="shared" si="9"/>
        <v>3652.3641527947525</v>
      </c>
      <c r="H129" s="769">
        <v>1942.520518727071</v>
      </c>
      <c r="I129" s="770">
        <v>33.384011603105535</v>
      </c>
      <c r="J129" s="767">
        <f t="shared" si="17"/>
        <v>1975.9045303301766</v>
      </c>
      <c r="K129" s="790">
        <v>43.644578313253014</v>
      </c>
      <c r="L129" s="761">
        <v>2.3554216867469875</v>
      </c>
      <c r="M129" s="791">
        <f t="shared" si="10"/>
        <v>46</v>
      </c>
      <c r="N129" s="790">
        <v>0</v>
      </c>
      <c r="O129" s="761">
        <v>0</v>
      </c>
      <c r="P129" s="791">
        <f t="shared" si="11"/>
        <v>0</v>
      </c>
      <c r="Q129" s="790">
        <v>570.25015766239233</v>
      </c>
      <c r="R129" s="771">
        <v>11.294513348749211</v>
      </c>
      <c r="S129" s="767">
        <f t="shared" si="12"/>
        <v>581.54467101114153</v>
      </c>
      <c r="T129" s="791">
        <f t="shared" si="13"/>
        <v>7617.8133541360712</v>
      </c>
      <c r="V129" s="787">
        <f t="shared" si="18"/>
        <v>0</v>
      </c>
      <c r="W129" s="771">
        <v>0</v>
      </c>
      <c r="X129" s="792">
        <v>0</v>
      </c>
      <c r="Y129" s="93"/>
      <c r="Z129" s="772">
        <f t="shared" si="19"/>
        <v>339</v>
      </c>
      <c r="AA129" s="793">
        <v>0</v>
      </c>
      <c r="AB129" s="788">
        <f t="shared" si="14"/>
        <v>339</v>
      </c>
      <c r="AD129" s="795" t="str">
        <f t="shared" si="15"/>
        <v>Indian River State College</v>
      </c>
      <c r="AE129" s="794">
        <v>329</v>
      </c>
      <c r="AF129" s="794">
        <v>10</v>
      </c>
      <c r="AG129" s="767">
        <f t="shared" si="16"/>
        <v>339</v>
      </c>
      <c r="AM129" s="27"/>
      <c r="AN129" s="27"/>
      <c r="AO129" s="27"/>
      <c r="AP129" s="27"/>
      <c r="AQ129" s="27"/>
      <c r="AR129" s="27"/>
      <c r="AS129" s="27"/>
      <c r="AT129" s="27"/>
      <c r="AU129" s="27"/>
    </row>
    <row r="130" spans="1:47" ht="25.35" customHeight="1">
      <c r="A130" s="795" t="str">
        <f t="shared" si="7"/>
        <v>Florida Gateway College</v>
      </c>
      <c r="B130" s="760">
        <v>95</v>
      </c>
      <c r="C130" s="766"/>
      <c r="D130" s="1167">
        <f t="shared" si="8"/>
        <v>95</v>
      </c>
      <c r="E130" s="1286">
        <v>879.55024994404243</v>
      </c>
      <c r="F130" s="768">
        <v>7.1410132059986573</v>
      </c>
      <c r="G130" s="767">
        <f t="shared" si="9"/>
        <v>886.6912631500411</v>
      </c>
      <c r="H130" s="769">
        <v>339.46148055207027</v>
      </c>
      <c r="I130" s="770">
        <v>5.0928481806775405</v>
      </c>
      <c r="J130" s="767">
        <f t="shared" si="17"/>
        <v>344.55432873274782</v>
      </c>
      <c r="K130" s="790">
        <v>47.07692307692308</v>
      </c>
      <c r="L130" s="761">
        <v>0.92307692307692313</v>
      </c>
      <c r="M130" s="791">
        <f t="shared" si="10"/>
        <v>48</v>
      </c>
      <c r="N130" s="790">
        <v>15.188405797101449</v>
      </c>
      <c r="O130" s="761">
        <v>0.81159420289855067</v>
      </c>
      <c r="P130" s="791">
        <f t="shared" si="11"/>
        <v>16</v>
      </c>
      <c r="Q130" s="790">
        <v>294.54639865996648</v>
      </c>
      <c r="R130" s="771">
        <v>1.5125628140703518</v>
      </c>
      <c r="S130" s="767">
        <f t="shared" si="12"/>
        <v>296.05896147403683</v>
      </c>
      <c r="T130" s="791">
        <f t="shared" si="13"/>
        <v>1686.3045533568256</v>
      </c>
      <c r="V130" s="787">
        <f t="shared" si="18"/>
        <v>0</v>
      </c>
      <c r="W130" s="771">
        <v>0</v>
      </c>
      <c r="X130" s="792">
        <v>0</v>
      </c>
      <c r="Y130" s="93"/>
      <c r="Z130" s="772">
        <f t="shared" si="19"/>
        <v>0</v>
      </c>
      <c r="AA130" s="793">
        <v>0</v>
      </c>
      <c r="AB130" s="788">
        <f t="shared" si="14"/>
        <v>0</v>
      </c>
      <c r="AD130" s="795" t="str">
        <f t="shared" si="15"/>
        <v>Florida Gateway College</v>
      </c>
      <c r="AE130" s="794">
        <v>0</v>
      </c>
      <c r="AF130" s="794">
        <v>0</v>
      </c>
      <c r="AG130" s="767">
        <f t="shared" si="16"/>
        <v>0</v>
      </c>
    </row>
    <row r="131" spans="1:47" ht="25.35" customHeight="1">
      <c r="A131" s="795" t="str">
        <f t="shared" si="7"/>
        <v>Lake-Sumter State College</v>
      </c>
      <c r="B131" s="760">
        <v>132</v>
      </c>
      <c r="C131" s="766"/>
      <c r="D131" s="1167">
        <f t="shared" si="8"/>
        <v>132</v>
      </c>
      <c r="E131" s="1286">
        <v>1536.4344589829975</v>
      </c>
      <c r="F131" s="768">
        <v>22.094648593590851</v>
      </c>
      <c r="G131" s="767">
        <f t="shared" si="9"/>
        <v>1558.5291075765883</v>
      </c>
      <c r="H131" s="769">
        <v>381.13857016769634</v>
      </c>
      <c r="I131" s="770">
        <v>5.6500441306266556</v>
      </c>
      <c r="J131" s="767">
        <f t="shared" si="17"/>
        <v>386.78861429832301</v>
      </c>
      <c r="K131" s="790">
        <v>45.289556962025316</v>
      </c>
      <c r="L131" s="761">
        <v>1.7104430379746831</v>
      </c>
      <c r="M131" s="791">
        <f t="shared" si="10"/>
        <v>47</v>
      </c>
      <c r="N131" s="790">
        <v>0</v>
      </c>
      <c r="O131" s="761">
        <v>0</v>
      </c>
      <c r="P131" s="791">
        <f t="shared" si="11"/>
        <v>0</v>
      </c>
      <c r="Q131" s="790">
        <v>0</v>
      </c>
      <c r="R131" s="771">
        <v>0</v>
      </c>
      <c r="S131" s="767">
        <f t="shared" si="12"/>
        <v>0</v>
      </c>
      <c r="T131" s="791">
        <f t="shared" si="13"/>
        <v>2124.3177218749115</v>
      </c>
      <c r="V131" s="787">
        <f t="shared" si="18"/>
        <v>0</v>
      </c>
      <c r="W131" s="771">
        <v>0</v>
      </c>
      <c r="X131" s="792">
        <v>0</v>
      </c>
      <c r="Y131" s="93"/>
      <c r="Z131" s="772">
        <f t="shared" si="19"/>
        <v>0</v>
      </c>
      <c r="AA131" s="793">
        <v>0</v>
      </c>
      <c r="AB131" s="788">
        <f t="shared" si="14"/>
        <v>0</v>
      </c>
      <c r="AD131" s="795" t="str">
        <f t="shared" si="15"/>
        <v>Lake-Sumter State College</v>
      </c>
      <c r="AE131" s="794">
        <v>0</v>
      </c>
      <c r="AF131" s="794">
        <v>0</v>
      </c>
      <c r="AG131" s="767">
        <f t="shared" si="16"/>
        <v>0</v>
      </c>
    </row>
    <row r="132" spans="1:47" ht="25.35" customHeight="1">
      <c r="A132" s="795" t="str">
        <f t="shared" si="7"/>
        <v>State College of Florida, Manatee-Sarasota</v>
      </c>
      <c r="B132" s="760">
        <v>433</v>
      </c>
      <c r="C132" s="766"/>
      <c r="D132" s="1167">
        <f t="shared" si="8"/>
        <v>433</v>
      </c>
      <c r="E132" s="1286">
        <v>3979.5628264682641</v>
      </c>
      <c r="F132" s="768">
        <v>157.97602205046161</v>
      </c>
      <c r="G132" s="767">
        <f t="shared" si="9"/>
        <v>4137.5388485187259</v>
      </c>
      <c r="H132" s="769">
        <v>591.68600353527233</v>
      </c>
      <c r="I132" s="770">
        <v>13.94841716214045</v>
      </c>
      <c r="J132" s="767">
        <f t="shared" si="17"/>
        <v>605.63442069741279</v>
      </c>
      <c r="K132" s="790">
        <v>153.74520936834634</v>
      </c>
      <c r="L132" s="761">
        <v>9.2547906316536555</v>
      </c>
      <c r="M132" s="791">
        <f t="shared" si="10"/>
        <v>163</v>
      </c>
      <c r="N132" s="790">
        <v>23.902040816326529</v>
      </c>
      <c r="O132" s="761">
        <v>9.7959183673469397E-2</v>
      </c>
      <c r="P132" s="791">
        <f t="shared" si="11"/>
        <v>24</v>
      </c>
      <c r="Q132" s="790">
        <v>0</v>
      </c>
      <c r="R132" s="771">
        <v>0</v>
      </c>
      <c r="S132" s="767">
        <f t="shared" si="12"/>
        <v>0</v>
      </c>
      <c r="T132" s="791">
        <f t="shared" si="13"/>
        <v>5363.1732692161386</v>
      </c>
      <c r="V132" s="787">
        <f t="shared" si="18"/>
        <v>0</v>
      </c>
      <c r="W132" s="771">
        <v>0</v>
      </c>
      <c r="X132" s="792">
        <v>0</v>
      </c>
      <c r="Y132" s="93"/>
      <c r="Z132" s="772">
        <f t="shared" si="19"/>
        <v>0</v>
      </c>
      <c r="AA132" s="793">
        <v>0</v>
      </c>
      <c r="AB132" s="788">
        <f t="shared" si="14"/>
        <v>0</v>
      </c>
      <c r="AD132" s="795" t="str">
        <f t="shared" si="15"/>
        <v>State College of Florida, Manatee-Sarasota</v>
      </c>
      <c r="AE132" s="794">
        <v>0</v>
      </c>
      <c r="AF132" s="794">
        <v>0</v>
      </c>
      <c r="AG132" s="767">
        <f t="shared" si="16"/>
        <v>0</v>
      </c>
    </row>
    <row r="133" spans="1:47" ht="25.35" customHeight="1">
      <c r="A133" s="795" t="str">
        <f t="shared" si="7"/>
        <v>Miami Dade College</v>
      </c>
      <c r="B133" s="760">
        <v>2569</v>
      </c>
      <c r="C133" s="766"/>
      <c r="D133" s="1167">
        <f t="shared" si="8"/>
        <v>2569</v>
      </c>
      <c r="E133" s="1286">
        <v>28312.900693337928</v>
      </c>
      <c r="F133" s="768">
        <v>1157.3098273114854</v>
      </c>
      <c r="G133" s="767">
        <f t="shared" si="9"/>
        <v>29470.210520649413</v>
      </c>
      <c r="H133" s="769">
        <v>3862.5683366536314</v>
      </c>
      <c r="I133" s="770">
        <v>186.05391180304483</v>
      </c>
      <c r="J133" s="767">
        <f t="shared" si="17"/>
        <v>4048.6222484566761</v>
      </c>
      <c r="K133" s="790">
        <v>1109.8469945355191</v>
      </c>
      <c r="L133" s="761">
        <v>64.15300546448087</v>
      </c>
      <c r="M133" s="791">
        <f t="shared" si="10"/>
        <v>1174</v>
      </c>
      <c r="N133" s="790">
        <v>29.473972602739728</v>
      </c>
      <c r="O133" s="761">
        <v>3.5260273972602736</v>
      </c>
      <c r="P133" s="791">
        <f t="shared" si="11"/>
        <v>33</v>
      </c>
      <c r="Q133" s="790">
        <v>774.67896981627291</v>
      </c>
      <c r="R133" s="771">
        <v>28.321030183727036</v>
      </c>
      <c r="S133" s="767">
        <f t="shared" si="12"/>
        <v>803</v>
      </c>
      <c r="T133" s="791">
        <f t="shared" si="13"/>
        <v>38097.832769106091</v>
      </c>
      <c r="V133" s="787">
        <f t="shared" si="18"/>
        <v>2</v>
      </c>
      <c r="W133" s="771">
        <v>0</v>
      </c>
      <c r="X133" s="792">
        <v>2</v>
      </c>
      <c r="Y133" s="93"/>
      <c r="Z133" s="772">
        <f t="shared" si="19"/>
        <v>0.89639874739043535</v>
      </c>
      <c r="AA133" s="793">
        <v>686.10360125260956</v>
      </c>
      <c r="AB133" s="788">
        <f t="shared" si="14"/>
        <v>687</v>
      </c>
      <c r="AD133" s="795" t="str">
        <f t="shared" si="15"/>
        <v>Miami Dade College</v>
      </c>
      <c r="AE133" s="794">
        <v>685</v>
      </c>
      <c r="AF133" s="794">
        <v>2</v>
      </c>
      <c r="AG133" s="767">
        <f t="shared" si="16"/>
        <v>687</v>
      </c>
    </row>
    <row r="134" spans="1:47" ht="25.35" customHeight="1">
      <c r="A134" s="795" t="str">
        <f t="shared" si="7"/>
        <v>North Florida College</v>
      </c>
      <c r="B134" s="760">
        <v>31</v>
      </c>
      <c r="C134" s="766"/>
      <c r="D134" s="1167">
        <f t="shared" si="8"/>
        <v>31</v>
      </c>
      <c r="E134" s="1286">
        <v>370.8927643784786</v>
      </c>
      <c r="F134" s="768">
        <v>10.815955473098331</v>
      </c>
      <c r="G134" s="767">
        <f t="shared" si="9"/>
        <v>381.70871985157692</v>
      </c>
      <c r="H134" s="769">
        <v>131.12559241706163</v>
      </c>
      <c r="I134" s="770">
        <v>14.447077409162718</v>
      </c>
      <c r="J134" s="767">
        <f t="shared" si="17"/>
        <v>145.57266982622434</v>
      </c>
      <c r="K134" s="790">
        <v>6.8090909090909095</v>
      </c>
      <c r="L134" s="761">
        <v>0.19090909090909089</v>
      </c>
      <c r="M134" s="791">
        <f t="shared" si="10"/>
        <v>7</v>
      </c>
      <c r="N134" s="790">
        <v>0</v>
      </c>
      <c r="O134" s="761">
        <v>0</v>
      </c>
      <c r="P134" s="791">
        <f t="shared" si="11"/>
        <v>0</v>
      </c>
      <c r="Q134" s="790">
        <v>52.053571428571431</v>
      </c>
      <c r="R134" s="771">
        <v>1.9642857142857142</v>
      </c>
      <c r="S134" s="767">
        <f t="shared" si="12"/>
        <v>54.017857142857146</v>
      </c>
      <c r="T134" s="791">
        <f t="shared" si="13"/>
        <v>619.29924682065837</v>
      </c>
      <c r="V134" s="787">
        <f t="shared" si="18"/>
        <v>0</v>
      </c>
      <c r="W134" s="771">
        <v>0</v>
      </c>
      <c r="X134" s="792">
        <v>0</v>
      </c>
      <c r="Y134" s="93"/>
      <c r="Z134" s="772">
        <f t="shared" si="19"/>
        <v>0</v>
      </c>
      <c r="AA134" s="793">
        <v>0</v>
      </c>
      <c r="AB134" s="788">
        <f t="shared" si="14"/>
        <v>0</v>
      </c>
      <c r="AD134" s="795" t="str">
        <f t="shared" si="15"/>
        <v>North Florida College</v>
      </c>
      <c r="AE134" s="794">
        <v>0</v>
      </c>
      <c r="AF134" s="794">
        <v>0</v>
      </c>
      <c r="AG134" s="767">
        <f t="shared" si="16"/>
        <v>0</v>
      </c>
    </row>
    <row r="135" spans="1:47" ht="25.35" customHeight="1">
      <c r="A135" s="795" t="str">
        <f t="shared" si="7"/>
        <v>Northwest Florida State College</v>
      </c>
      <c r="B135" s="760">
        <v>295</v>
      </c>
      <c r="C135" s="766"/>
      <c r="D135" s="1167">
        <f t="shared" si="8"/>
        <v>295</v>
      </c>
      <c r="E135" s="1286">
        <v>1393.7605603261341</v>
      </c>
      <c r="F135" s="768">
        <v>126.44951860525629</v>
      </c>
      <c r="G135" s="767">
        <f t="shared" si="9"/>
        <v>1520.2100789313904</v>
      </c>
      <c r="H135" s="769">
        <v>468.56742954416495</v>
      </c>
      <c r="I135" s="770">
        <v>26.839417439001323</v>
      </c>
      <c r="J135" s="767">
        <f t="shared" si="17"/>
        <v>495.40684698316625</v>
      </c>
      <c r="K135" s="790">
        <v>44.031128404669261</v>
      </c>
      <c r="L135" s="761">
        <v>1.9688715953307396</v>
      </c>
      <c r="M135" s="791">
        <f t="shared" si="10"/>
        <v>46</v>
      </c>
      <c r="N135" s="790">
        <v>0</v>
      </c>
      <c r="O135" s="761">
        <v>0</v>
      </c>
      <c r="P135" s="791">
        <f t="shared" si="11"/>
        <v>0</v>
      </c>
      <c r="Q135" s="790">
        <v>178.18690542809176</v>
      </c>
      <c r="R135" s="771">
        <v>1.8130945719082261</v>
      </c>
      <c r="S135" s="767">
        <f t="shared" si="12"/>
        <v>180</v>
      </c>
      <c r="T135" s="791">
        <f t="shared" si="13"/>
        <v>2536.6169259145568</v>
      </c>
      <c r="V135" s="787">
        <f t="shared" si="18"/>
        <v>0</v>
      </c>
      <c r="W135" s="771">
        <v>0</v>
      </c>
      <c r="X135" s="792">
        <v>0</v>
      </c>
      <c r="Y135" s="93"/>
      <c r="Z135" s="772">
        <f t="shared" si="19"/>
        <v>0</v>
      </c>
      <c r="AA135" s="793">
        <v>0</v>
      </c>
      <c r="AB135" s="788">
        <f t="shared" si="14"/>
        <v>0</v>
      </c>
      <c r="AD135" s="795" t="str">
        <f t="shared" si="15"/>
        <v>Northwest Florida State College</v>
      </c>
      <c r="AE135" s="794">
        <v>0</v>
      </c>
      <c r="AF135" s="794">
        <v>0</v>
      </c>
      <c r="AG135" s="767">
        <f t="shared" si="16"/>
        <v>0</v>
      </c>
    </row>
    <row r="136" spans="1:47" ht="25.35" customHeight="1">
      <c r="A136" s="795" t="str">
        <f t="shared" si="7"/>
        <v>Palm Beach State College</v>
      </c>
      <c r="B136" s="760">
        <v>939</v>
      </c>
      <c r="C136" s="766"/>
      <c r="D136" s="1167">
        <f t="shared" si="8"/>
        <v>939</v>
      </c>
      <c r="E136" s="1286">
        <v>11621.156548523664</v>
      </c>
      <c r="F136" s="768">
        <v>360.4402002822406</v>
      </c>
      <c r="G136" s="767">
        <f t="shared" si="9"/>
        <v>11981.596748805905</v>
      </c>
      <c r="H136" s="769">
        <v>1363.0890223921356</v>
      </c>
      <c r="I136" s="770">
        <v>30.562534134352813</v>
      </c>
      <c r="J136" s="767">
        <f t="shared" si="17"/>
        <v>1393.6515565264883</v>
      </c>
      <c r="K136" s="790">
        <v>348.68621973929237</v>
      </c>
      <c r="L136" s="761">
        <v>13.313780260707636</v>
      </c>
      <c r="M136" s="791">
        <f t="shared" si="10"/>
        <v>362</v>
      </c>
      <c r="N136" s="790">
        <v>20.601265822784811</v>
      </c>
      <c r="O136" s="761">
        <v>0.39873417721518983</v>
      </c>
      <c r="P136" s="791">
        <f t="shared" si="11"/>
        <v>21</v>
      </c>
      <c r="Q136" s="790">
        <v>761.94599854050114</v>
      </c>
      <c r="R136" s="771">
        <v>8.0540014594989042</v>
      </c>
      <c r="S136" s="767">
        <f t="shared" si="12"/>
        <v>770</v>
      </c>
      <c r="T136" s="791">
        <f t="shared" si="13"/>
        <v>15467.248305332394</v>
      </c>
      <c r="V136" s="787">
        <f t="shared" si="18"/>
        <v>0</v>
      </c>
      <c r="W136" s="771">
        <v>0</v>
      </c>
      <c r="X136" s="792">
        <v>0</v>
      </c>
      <c r="Y136" s="93"/>
      <c r="Z136" s="772">
        <f t="shared" si="19"/>
        <v>0</v>
      </c>
      <c r="AA136" s="793">
        <v>0</v>
      </c>
      <c r="AB136" s="788">
        <f t="shared" si="14"/>
        <v>0</v>
      </c>
      <c r="AD136" s="795" t="str">
        <f t="shared" si="15"/>
        <v>Palm Beach State College</v>
      </c>
      <c r="AE136" s="794">
        <v>0</v>
      </c>
      <c r="AF136" s="794">
        <v>0</v>
      </c>
      <c r="AG136" s="767">
        <f t="shared" si="16"/>
        <v>0</v>
      </c>
    </row>
    <row r="137" spans="1:47" ht="25.35" customHeight="1">
      <c r="A137" s="795" t="str">
        <f t="shared" si="7"/>
        <v>Pasco-Hernando State College</v>
      </c>
      <c r="B137" s="760">
        <v>349</v>
      </c>
      <c r="C137" s="766"/>
      <c r="D137" s="1167">
        <f t="shared" si="8"/>
        <v>349</v>
      </c>
      <c r="E137" s="1286">
        <v>2676.6194063926941</v>
      </c>
      <c r="F137" s="768">
        <v>22.502191780821917</v>
      </c>
      <c r="G137" s="767">
        <f t="shared" si="9"/>
        <v>2699.1215981735158</v>
      </c>
      <c r="H137" s="769">
        <v>1578.1575091575091</v>
      </c>
      <c r="I137" s="770">
        <v>16.404761904761902</v>
      </c>
      <c r="J137" s="767">
        <f t="shared" si="17"/>
        <v>1594.5622710622711</v>
      </c>
      <c r="K137" s="790">
        <v>108.06694560669456</v>
      </c>
      <c r="L137" s="761">
        <v>1.9330543933054396</v>
      </c>
      <c r="M137" s="791">
        <f t="shared" si="10"/>
        <v>110</v>
      </c>
      <c r="N137" s="790">
        <v>9</v>
      </c>
      <c r="O137" s="761">
        <v>0</v>
      </c>
      <c r="P137" s="791">
        <f t="shared" si="11"/>
        <v>9</v>
      </c>
      <c r="Q137" s="790">
        <v>231.98157743235464</v>
      </c>
      <c r="R137" s="771">
        <v>5.1335636154289013</v>
      </c>
      <c r="S137" s="767">
        <f t="shared" si="12"/>
        <v>237.11514104778354</v>
      </c>
      <c r="T137" s="791">
        <f t="shared" si="13"/>
        <v>4998.7990102835702</v>
      </c>
      <c r="V137" s="787">
        <f t="shared" si="18"/>
        <v>0</v>
      </c>
      <c r="W137" s="771">
        <v>0</v>
      </c>
      <c r="X137" s="792">
        <v>0</v>
      </c>
      <c r="Y137" s="93"/>
      <c r="Z137" s="772">
        <f t="shared" si="19"/>
        <v>0</v>
      </c>
      <c r="AA137" s="793">
        <v>0</v>
      </c>
      <c r="AB137" s="788">
        <f t="shared" si="14"/>
        <v>0</v>
      </c>
      <c r="AD137" s="795" t="str">
        <f t="shared" si="15"/>
        <v>Pasco-Hernando State College</v>
      </c>
      <c r="AE137" s="794">
        <v>0</v>
      </c>
      <c r="AF137" s="794">
        <v>0</v>
      </c>
      <c r="AG137" s="767">
        <f t="shared" si="16"/>
        <v>0</v>
      </c>
    </row>
    <row r="138" spans="1:47" ht="25.35" customHeight="1">
      <c r="A138" s="795" t="str">
        <f t="shared" si="7"/>
        <v>Pensacola State College</v>
      </c>
      <c r="B138" s="760">
        <v>434</v>
      </c>
      <c r="C138" s="766"/>
      <c r="D138" s="1167">
        <f t="shared" si="8"/>
        <v>434</v>
      </c>
      <c r="E138" s="1286">
        <v>2877.7594543696241</v>
      </c>
      <c r="F138" s="768">
        <v>62.17615921005752</v>
      </c>
      <c r="G138" s="767">
        <f t="shared" si="9"/>
        <v>2939.9356135796816</v>
      </c>
      <c r="H138" s="769">
        <v>1195.3184957789715</v>
      </c>
      <c r="I138" s="770">
        <v>16.864857322263308</v>
      </c>
      <c r="J138" s="767">
        <f t="shared" si="17"/>
        <v>1212.1833531012348</v>
      </c>
      <c r="K138" s="790">
        <v>179.78348504551366</v>
      </c>
      <c r="L138" s="761">
        <v>9.2165149544863461</v>
      </c>
      <c r="M138" s="791">
        <f t="shared" si="10"/>
        <v>189</v>
      </c>
      <c r="N138" s="790">
        <v>0</v>
      </c>
      <c r="O138" s="761">
        <v>0</v>
      </c>
      <c r="P138" s="791">
        <f t="shared" si="11"/>
        <v>0</v>
      </c>
      <c r="Q138" s="790">
        <v>285.7473233404711</v>
      </c>
      <c r="R138" s="771">
        <v>4.2726623840114204</v>
      </c>
      <c r="S138" s="767">
        <f t="shared" si="12"/>
        <v>290.01998572448252</v>
      </c>
      <c r="T138" s="791">
        <f t="shared" si="13"/>
        <v>5065.1389524053993</v>
      </c>
      <c r="V138" s="787">
        <f t="shared" si="18"/>
        <v>0</v>
      </c>
      <c r="W138" s="771">
        <v>0</v>
      </c>
      <c r="X138" s="792">
        <v>0</v>
      </c>
      <c r="Y138" s="93"/>
      <c r="Z138" s="772">
        <f t="shared" si="19"/>
        <v>94.067114093959731</v>
      </c>
      <c r="AA138" s="793">
        <v>1.9328859060402683</v>
      </c>
      <c r="AB138" s="788">
        <f t="shared" si="14"/>
        <v>96</v>
      </c>
      <c r="AD138" s="795" t="str">
        <f t="shared" si="15"/>
        <v>Pensacola State College</v>
      </c>
      <c r="AE138" s="794">
        <v>92</v>
      </c>
      <c r="AF138" s="794">
        <v>4</v>
      </c>
      <c r="AG138" s="767">
        <f t="shared" si="16"/>
        <v>96</v>
      </c>
    </row>
    <row r="139" spans="1:47" ht="25.35" customHeight="1">
      <c r="A139" s="795" t="str">
        <f t="shared" si="7"/>
        <v>Polk State College</v>
      </c>
      <c r="B139" s="760">
        <v>722</v>
      </c>
      <c r="C139" s="766"/>
      <c r="D139" s="1167">
        <f t="shared" si="8"/>
        <v>722</v>
      </c>
      <c r="E139" s="1286">
        <v>3174.6756015079272</v>
      </c>
      <c r="F139" s="768">
        <v>77.552805189045344</v>
      </c>
      <c r="G139" s="767">
        <f t="shared" si="9"/>
        <v>3252.2284066969728</v>
      </c>
      <c r="H139" s="769">
        <v>1249.2522913651712</v>
      </c>
      <c r="I139" s="770">
        <v>20.438977327544624</v>
      </c>
      <c r="J139" s="767">
        <f t="shared" si="17"/>
        <v>1269.6912686927158</v>
      </c>
      <c r="K139" s="790">
        <v>98.314720812182742</v>
      </c>
      <c r="L139" s="761">
        <v>9.6852791878172582</v>
      </c>
      <c r="M139" s="791">
        <f t="shared" si="10"/>
        <v>108</v>
      </c>
      <c r="N139" s="790">
        <v>60</v>
      </c>
      <c r="O139" s="761">
        <v>0</v>
      </c>
      <c r="P139" s="791">
        <f t="shared" si="11"/>
        <v>60</v>
      </c>
      <c r="Q139" s="790">
        <v>89.764197530864195</v>
      </c>
      <c r="R139" s="771">
        <v>1.2358024691358027</v>
      </c>
      <c r="S139" s="767">
        <f t="shared" si="12"/>
        <v>91</v>
      </c>
      <c r="T139" s="791">
        <f t="shared" si="13"/>
        <v>5502.9196753896886</v>
      </c>
      <c r="V139" s="787">
        <f t="shared" si="18"/>
        <v>0</v>
      </c>
      <c r="W139" s="771">
        <v>0</v>
      </c>
      <c r="X139" s="792">
        <v>0</v>
      </c>
      <c r="Y139" s="93"/>
      <c r="Z139" s="772">
        <f t="shared" si="19"/>
        <v>0</v>
      </c>
      <c r="AA139" s="793">
        <v>0</v>
      </c>
      <c r="AB139" s="788">
        <f t="shared" si="14"/>
        <v>0</v>
      </c>
      <c r="AD139" s="795" t="str">
        <f t="shared" si="15"/>
        <v>Polk State College</v>
      </c>
      <c r="AE139" s="794">
        <v>0</v>
      </c>
      <c r="AF139" s="794">
        <v>0</v>
      </c>
      <c r="AG139" s="767">
        <f t="shared" si="16"/>
        <v>0</v>
      </c>
    </row>
    <row r="140" spans="1:47" ht="25.35" customHeight="1">
      <c r="A140" s="795" t="str">
        <f t="shared" si="7"/>
        <v>St. Johns River State College</v>
      </c>
      <c r="B140" s="760">
        <v>237</v>
      </c>
      <c r="C140" s="766"/>
      <c r="D140" s="1167">
        <f t="shared" si="8"/>
        <v>237</v>
      </c>
      <c r="E140" s="1286">
        <v>1761.413276790083</v>
      </c>
      <c r="F140" s="768">
        <v>31.309215462404172</v>
      </c>
      <c r="G140" s="767">
        <f t="shared" si="9"/>
        <v>1792.7224922524872</v>
      </c>
      <c r="H140" s="769">
        <v>642.40760869565213</v>
      </c>
      <c r="I140" s="770">
        <v>8.6766304347826093</v>
      </c>
      <c r="J140" s="767">
        <f t="shared" si="17"/>
        <v>651.08423913043475</v>
      </c>
      <c r="K140" s="790">
        <v>35.524539877300612</v>
      </c>
      <c r="L140" s="761">
        <v>1.4754601226993864</v>
      </c>
      <c r="M140" s="791">
        <f t="shared" si="10"/>
        <v>37</v>
      </c>
      <c r="N140" s="790">
        <v>31</v>
      </c>
      <c r="O140" s="761">
        <v>0</v>
      </c>
      <c r="P140" s="791">
        <f t="shared" si="11"/>
        <v>31</v>
      </c>
      <c r="Q140" s="790">
        <v>83.453001132502834</v>
      </c>
      <c r="R140" s="771">
        <v>1.4779161947904871</v>
      </c>
      <c r="S140" s="767">
        <f t="shared" si="12"/>
        <v>84.930917327293315</v>
      </c>
      <c r="T140" s="791">
        <f t="shared" si="13"/>
        <v>2833.7376487102151</v>
      </c>
      <c r="V140" s="787">
        <f t="shared" si="18"/>
        <v>0</v>
      </c>
      <c r="W140" s="771">
        <v>0</v>
      </c>
      <c r="X140" s="792">
        <v>0</v>
      </c>
      <c r="Y140" s="93"/>
      <c r="Z140" s="772">
        <f t="shared" si="19"/>
        <v>13</v>
      </c>
      <c r="AA140" s="793">
        <v>0</v>
      </c>
      <c r="AB140" s="788">
        <f t="shared" si="14"/>
        <v>13</v>
      </c>
      <c r="AD140" s="795" t="str">
        <f t="shared" si="15"/>
        <v>St. Johns River State College</v>
      </c>
      <c r="AE140" s="794">
        <v>12</v>
      </c>
      <c r="AF140" s="794">
        <v>1</v>
      </c>
      <c r="AG140" s="767">
        <f t="shared" si="16"/>
        <v>13</v>
      </c>
    </row>
    <row r="141" spans="1:47" ht="25.35" customHeight="1">
      <c r="A141" s="795" t="str">
        <f t="shared" si="7"/>
        <v>St. Petersburg College</v>
      </c>
      <c r="B141" s="760">
        <v>2389</v>
      </c>
      <c r="C141" s="766"/>
      <c r="D141" s="1167">
        <f t="shared" si="8"/>
        <v>2389</v>
      </c>
      <c r="E141" s="1286">
        <v>6488.6222232194941</v>
      </c>
      <c r="F141" s="768">
        <v>262.02744244491316</v>
      </c>
      <c r="G141" s="767">
        <f t="shared" si="9"/>
        <v>6750.6496656644076</v>
      </c>
      <c r="H141" s="769">
        <v>4002.4271844660198</v>
      </c>
      <c r="I141" s="770">
        <v>143.87216115649463</v>
      </c>
      <c r="J141" s="767">
        <f t="shared" si="17"/>
        <v>4146.299345622514</v>
      </c>
      <c r="K141" s="790">
        <v>328.66951280763436</v>
      </c>
      <c r="L141" s="761">
        <v>28.330487192365645</v>
      </c>
      <c r="M141" s="791">
        <f t="shared" si="10"/>
        <v>357</v>
      </c>
      <c r="N141" s="790">
        <v>0</v>
      </c>
      <c r="O141" s="761">
        <v>0</v>
      </c>
      <c r="P141" s="791">
        <f t="shared" si="11"/>
        <v>0</v>
      </c>
      <c r="Q141" s="790">
        <v>178.66090909090909</v>
      </c>
      <c r="R141" s="771">
        <v>39.339090909090913</v>
      </c>
      <c r="S141" s="767">
        <f t="shared" si="12"/>
        <v>218</v>
      </c>
      <c r="T141" s="791">
        <f t="shared" si="13"/>
        <v>13860.949011286923</v>
      </c>
      <c r="V141" s="787">
        <f t="shared" si="18"/>
        <v>0</v>
      </c>
      <c r="W141" s="771">
        <v>0</v>
      </c>
      <c r="X141" s="792">
        <v>0</v>
      </c>
      <c r="Y141" s="93"/>
      <c r="Z141" s="772">
        <f t="shared" si="19"/>
        <v>0</v>
      </c>
      <c r="AA141" s="793">
        <v>0</v>
      </c>
      <c r="AB141" s="788">
        <f t="shared" si="14"/>
        <v>0</v>
      </c>
      <c r="AD141" s="795" t="str">
        <f t="shared" si="15"/>
        <v>St. Petersburg College</v>
      </c>
      <c r="AE141" s="794">
        <v>0</v>
      </c>
      <c r="AF141" s="794">
        <v>0</v>
      </c>
      <c r="AG141" s="767">
        <f t="shared" si="16"/>
        <v>0</v>
      </c>
    </row>
    <row r="142" spans="1:47" ht="25.35" customHeight="1">
      <c r="A142" s="795" t="str">
        <f t="shared" si="7"/>
        <v>Santa Fe College</v>
      </c>
      <c r="B142" s="760">
        <v>461</v>
      </c>
      <c r="C142" s="766"/>
      <c r="D142" s="1167">
        <f t="shared" si="8"/>
        <v>461</v>
      </c>
      <c r="E142" s="1286">
        <v>5110.2110804473014</v>
      </c>
      <c r="F142" s="768">
        <v>462.39009683028377</v>
      </c>
      <c r="G142" s="767">
        <f t="shared" si="9"/>
        <v>5572.6011772775855</v>
      </c>
      <c r="H142" s="769">
        <v>1918.7233170998134</v>
      </c>
      <c r="I142" s="770">
        <v>108.96522688999136</v>
      </c>
      <c r="J142" s="767">
        <f t="shared" si="17"/>
        <v>2027.6885439898047</v>
      </c>
      <c r="K142" s="790">
        <v>190.38620689655173</v>
      </c>
      <c r="L142" s="761">
        <v>24.613793103448273</v>
      </c>
      <c r="M142" s="791">
        <f t="shared" si="10"/>
        <v>215</v>
      </c>
      <c r="N142" s="790">
        <v>1</v>
      </c>
      <c r="O142" s="761">
        <v>0</v>
      </c>
      <c r="P142" s="791">
        <f t="shared" si="11"/>
        <v>1</v>
      </c>
      <c r="Q142" s="790">
        <v>225.05114638447969</v>
      </c>
      <c r="R142" s="771">
        <v>1.3403880070546739</v>
      </c>
      <c r="S142" s="767">
        <f t="shared" si="12"/>
        <v>226.39153439153438</v>
      </c>
      <c r="T142" s="791">
        <f t="shared" si="13"/>
        <v>8503.6812556589248</v>
      </c>
      <c r="V142" s="787">
        <f t="shared" si="18"/>
        <v>0</v>
      </c>
      <c r="W142" s="771">
        <v>0</v>
      </c>
      <c r="X142" s="792">
        <v>0</v>
      </c>
      <c r="Y142" s="93"/>
      <c r="Z142" s="772">
        <f t="shared" si="19"/>
        <v>10.401500938086301</v>
      </c>
      <c r="AA142" s="793">
        <v>55.598499061913699</v>
      </c>
      <c r="AB142" s="788">
        <f t="shared" si="14"/>
        <v>66</v>
      </c>
      <c r="AD142" s="795" t="str">
        <f t="shared" si="15"/>
        <v>Santa Fe College</v>
      </c>
      <c r="AE142" s="794">
        <v>64</v>
      </c>
      <c r="AF142" s="794">
        <v>2</v>
      </c>
      <c r="AG142" s="767">
        <f t="shared" si="16"/>
        <v>66</v>
      </c>
    </row>
    <row r="143" spans="1:47" ht="25.35" customHeight="1">
      <c r="A143" s="795" t="str">
        <f t="shared" si="7"/>
        <v>Seminole State College of Florida</v>
      </c>
      <c r="B143" s="760">
        <v>850</v>
      </c>
      <c r="C143" s="766"/>
      <c r="D143" s="1167">
        <f t="shared" si="8"/>
        <v>850</v>
      </c>
      <c r="E143" s="1286">
        <v>5386.1449184345565</v>
      </c>
      <c r="F143" s="768">
        <v>133.70676265604658</v>
      </c>
      <c r="G143" s="767">
        <f t="shared" si="9"/>
        <v>5519.8516810906031</v>
      </c>
      <c r="H143" s="769">
        <v>2531.5279931093887</v>
      </c>
      <c r="I143" s="770">
        <v>96.275624461670972</v>
      </c>
      <c r="J143" s="767">
        <f t="shared" si="17"/>
        <v>2627.8036175710595</v>
      </c>
      <c r="K143" s="790">
        <v>138.83855254001392</v>
      </c>
      <c r="L143" s="761">
        <v>10.161447459986084</v>
      </c>
      <c r="M143" s="791">
        <f t="shared" si="10"/>
        <v>149</v>
      </c>
      <c r="N143" s="790">
        <v>72.91441969519343</v>
      </c>
      <c r="O143" s="761">
        <v>8.5580304806565075E-2</v>
      </c>
      <c r="P143" s="791">
        <f t="shared" si="11"/>
        <v>73</v>
      </c>
      <c r="Q143" s="790">
        <v>221.97027600849256</v>
      </c>
      <c r="R143" s="771">
        <v>14.029723991507431</v>
      </c>
      <c r="S143" s="767">
        <f t="shared" si="12"/>
        <v>236</v>
      </c>
      <c r="T143" s="791">
        <f t="shared" si="13"/>
        <v>9455.6552986616625</v>
      </c>
      <c r="V143" s="787">
        <f t="shared" si="18"/>
        <v>0</v>
      </c>
      <c r="W143" s="771">
        <v>0</v>
      </c>
      <c r="X143" s="792">
        <v>0</v>
      </c>
      <c r="Y143" s="93"/>
      <c r="Z143" s="772">
        <f t="shared" si="19"/>
        <v>56.934858076373303</v>
      </c>
      <c r="AA143" s="793">
        <v>433.0651419236267</v>
      </c>
      <c r="AB143" s="788">
        <f t="shared" si="14"/>
        <v>490</v>
      </c>
      <c r="AD143" s="795" t="str">
        <f t="shared" si="15"/>
        <v>Seminole State College of Florida</v>
      </c>
      <c r="AE143" s="794">
        <v>355</v>
      </c>
      <c r="AF143" s="794">
        <v>135</v>
      </c>
      <c r="AG143" s="767">
        <f t="shared" si="16"/>
        <v>490</v>
      </c>
    </row>
    <row r="144" spans="1:47" ht="25.35" customHeight="1">
      <c r="A144" s="795" t="str">
        <f t="shared" si="7"/>
        <v>South Florida State College</v>
      </c>
      <c r="B144" s="760">
        <v>116</v>
      </c>
      <c r="C144" s="766"/>
      <c r="D144" s="1167">
        <f t="shared" si="8"/>
        <v>116</v>
      </c>
      <c r="E144" s="1286">
        <v>1144.5831120552311</v>
      </c>
      <c r="F144" s="768">
        <v>11.789697291556028</v>
      </c>
      <c r="G144" s="767">
        <f t="shared" si="9"/>
        <v>1156.3728093467871</v>
      </c>
      <c r="H144" s="769">
        <v>1.9512195121951219</v>
      </c>
      <c r="I144" s="770">
        <v>0</v>
      </c>
      <c r="J144" s="767">
        <f t="shared" si="17"/>
        <v>1.9512195121951219</v>
      </c>
      <c r="K144" s="790">
        <v>17</v>
      </c>
      <c r="L144" s="761">
        <v>0</v>
      </c>
      <c r="M144" s="791">
        <f t="shared" si="10"/>
        <v>17</v>
      </c>
      <c r="N144" s="790">
        <v>0</v>
      </c>
      <c r="O144" s="761">
        <v>0</v>
      </c>
      <c r="P144" s="791">
        <f t="shared" si="11"/>
        <v>0</v>
      </c>
      <c r="Q144" s="790">
        <v>219.30578512396696</v>
      </c>
      <c r="R144" s="771">
        <v>0.59779614325068864</v>
      </c>
      <c r="S144" s="767">
        <f t="shared" si="12"/>
        <v>219.90358126721765</v>
      </c>
      <c r="T144" s="791">
        <f t="shared" si="13"/>
        <v>1511.2276101262</v>
      </c>
      <c r="V144" s="787">
        <f t="shared" si="18"/>
        <v>0</v>
      </c>
      <c r="W144" s="771">
        <v>0</v>
      </c>
      <c r="X144" s="792">
        <v>0</v>
      </c>
      <c r="Y144" s="93"/>
      <c r="Z144" s="772">
        <f t="shared" si="19"/>
        <v>96.840028694404566</v>
      </c>
      <c r="AA144" s="793">
        <v>169.15997130559543</v>
      </c>
      <c r="AB144" s="788">
        <f t="shared" si="14"/>
        <v>266</v>
      </c>
      <c r="AD144" s="795" t="str">
        <f t="shared" si="15"/>
        <v>South Florida State College</v>
      </c>
      <c r="AE144" s="794">
        <v>258</v>
      </c>
      <c r="AF144" s="794">
        <v>8</v>
      </c>
      <c r="AG144" s="767">
        <f t="shared" si="16"/>
        <v>266</v>
      </c>
    </row>
    <row r="145" spans="1:48" ht="25.35" customHeight="1">
      <c r="A145" s="795" t="str">
        <f t="shared" si="7"/>
        <v>Tallahassee Community College</v>
      </c>
      <c r="B145" s="760">
        <v>37</v>
      </c>
      <c r="C145" s="766"/>
      <c r="D145" s="1167">
        <f t="shared" si="8"/>
        <v>37</v>
      </c>
      <c r="E145" s="1286">
        <v>6681.5521639316385</v>
      </c>
      <c r="F145" s="768">
        <v>309.04196071762601</v>
      </c>
      <c r="G145" s="767">
        <f t="shared" si="9"/>
        <v>6990.5941246492648</v>
      </c>
      <c r="H145" s="769">
        <v>1227.2774979009237</v>
      </c>
      <c r="I145" s="770">
        <v>35.49664147774979</v>
      </c>
      <c r="J145" s="767">
        <f t="shared" si="17"/>
        <v>1262.7741393786735</v>
      </c>
      <c r="K145" s="790">
        <v>104.56767411300919</v>
      </c>
      <c r="L145" s="761">
        <v>11.432325886990803</v>
      </c>
      <c r="M145" s="791">
        <f t="shared" si="10"/>
        <v>116</v>
      </c>
      <c r="N145" s="790">
        <v>0</v>
      </c>
      <c r="O145" s="761">
        <v>0</v>
      </c>
      <c r="P145" s="791">
        <f t="shared" si="11"/>
        <v>0</v>
      </c>
      <c r="Q145" s="790">
        <v>219.93815635939325</v>
      </c>
      <c r="R145" s="771">
        <v>14.061843640606767</v>
      </c>
      <c r="S145" s="767">
        <f t="shared" si="12"/>
        <v>234</v>
      </c>
      <c r="T145" s="791">
        <f t="shared" si="13"/>
        <v>8640.3682640279385</v>
      </c>
      <c r="V145" s="787">
        <f t="shared" si="18"/>
        <v>0</v>
      </c>
      <c r="W145" s="771">
        <v>0</v>
      </c>
      <c r="X145" s="792">
        <v>0</v>
      </c>
      <c r="Y145" s="93"/>
      <c r="Z145" s="772">
        <f t="shared" si="19"/>
        <v>1.531645569620256</v>
      </c>
      <c r="AA145" s="793">
        <v>31.468354430379744</v>
      </c>
      <c r="AB145" s="788">
        <f t="shared" si="14"/>
        <v>33</v>
      </c>
      <c r="AD145" s="795" t="str">
        <f t="shared" si="15"/>
        <v>Tallahassee Community College</v>
      </c>
      <c r="AE145" s="794">
        <v>32</v>
      </c>
      <c r="AF145" s="794">
        <v>1</v>
      </c>
      <c r="AG145" s="767">
        <f t="shared" si="16"/>
        <v>33</v>
      </c>
    </row>
    <row r="146" spans="1:48" ht="25.35" customHeight="1" thickBot="1">
      <c r="A146" s="796" t="str">
        <f t="shared" si="7"/>
        <v>Valencia College</v>
      </c>
      <c r="B146" s="704">
        <v>1160</v>
      </c>
      <c r="C146" s="740"/>
      <c r="D146" s="1168">
        <f t="shared" si="8"/>
        <v>1160</v>
      </c>
      <c r="E146" s="1287">
        <v>15900.612126604585</v>
      </c>
      <c r="F146" s="741">
        <v>1102.1395276515609</v>
      </c>
      <c r="G146" s="705">
        <f t="shared" si="9"/>
        <v>17002.751654256146</v>
      </c>
      <c r="H146" s="797">
        <v>7559.125804284201</v>
      </c>
      <c r="I146" s="798">
        <v>485.22877543815696</v>
      </c>
      <c r="J146" s="799">
        <f t="shared" si="17"/>
        <v>8044.3545797223578</v>
      </c>
      <c r="K146" s="800">
        <v>707.79812911421641</v>
      </c>
      <c r="L146" s="801">
        <v>98.201870885783578</v>
      </c>
      <c r="M146" s="802">
        <f t="shared" si="10"/>
        <v>806</v>
      </c>
      <c r="N146" s="800">
        <v>58</v>
      </c>
      <c r="O146" s="801">
        <v>0</v>
      </c>
      <c r="P146" s="802">
        <f t="shared" si="11"/>
        <v>58</v>
      </c>
      <c r="Q146" s="800">
        <v>229.72929936305732</v>
      </c>
      <c r="R146" s="803">
        <v>22.270700636942674</v>
      </c>
      <c r="S146" s="705">
        <f t="shared" si="12"/>
        <v>252</v>
      </c>
      <c r="T146" s="802">
        <f t="shared" si="13"/>
        <v>27323.106233978506</v>
      </c>
      <c r="V146" s="787">
        <f t="shared" si="18"/>
        <v>0</v>
      </c>
      <c r="W146" s="593">
        <v>0</v>
      </c>
      <c r="X146" s="594">
        <v>0</v>
      </c>
      <c r="Y146" s="93"/>
      <c r="Z146" s="804">
        <f t="shared" si="19"/>
        <v>0</v>
      </c>
      <c r="AA146" s="805">
        <v>0</v>
      </c>
      <c r="AB146" s="788">
        <f t="shared" si="14"/>
        <v>0</v>
      </c>
      <c r="AD146" s="796" t="str">
        <f t="shared" si="15"/>
        <v>Valencia College</v>
      </c>
      <c r="AE146" s="742">
        <v>0</v>
      </c>
      <c r="AF146" s="742">
        <v>0</v>
      </c>
      <c r="AG146" s="705">
        <f t="shared" si="16"/>
        <v>0</v>
      </c>
    </row>
    <row r="147" spans="1:48" ht="25.35" customHeight="1" thickBot="1">
      <c r="A147" s="492" t="s">
        <v>50</v>
      </c>
      <c r="B147" s="493">
        <f t="shared" ref="B147" si="20">SUM(B119:B146)</f>
        <v>18615</v>
      </c>
      <c r="C147" s="80"/>
      <c r="D147" s="510">
        <f t="shared" ref="D147:T147" si="21">SUM(D119:D146)</f>
        <v>18615</v>
      </c>
      <c r="E147" s="1169">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730</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774</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2" t="s">
        <v>96</v>
      </c>
      <c r="B151" s="1272"/>
      <c r="C151" s="1272"/>
      <c r="D151" s="1272"/>
      <c r="E151" s="94"/>
    </row>
    <row r="152" spans="1:48">
      <c r="A152" s="1271" t="s">
        <v>97</v>
      </c>
      <c r="B152" s="1271"/>
      <c r="C152" s="1271"/>
      <c r="D152" s="1271"/>
    </row>
    <row r="153" spans="1:48">
      <c r="A153" s="1257" t="s">
        <v>98</v>
      </c>
      <c r="B153" s="1257"/>
      <c r="C153" s="1257"/>
      <c r="D153" s="1257"/>
      <c r="E153" s="1257"/>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70" zoomScaleNormal="70" zoomScaleSheetLayoutView="51" zoomScalePageLayoutView="60" workbookViewId="0">
      <selection activeCell="D107" sqref="D107"/>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08" t="s">
        <v>11</v>
      </c>
      <c r="B1" s="1108"/>
      <c r="C1" s="1108"/>
      <c r="D1" s="1108"/>
      <c r="E1" s="1108"/>
      <c r="F1" s="1108"/>
      <c r="G1" s="1108"/>
      <c r="H1" s="992"/>
      <c r="I1" s="992"/>
    </row>
    <row r="2" spans="1:53" ht="20.100000000000001" customHeight="1">
      <c r="A2" s="1108" t="s">
        <v>736</v>
      </c>
      <c r="B2" s="1108"/>
      <c r="C2" s="1108"/>
      <c r="D2" s="1108"/>
      <c r="E2" s="1108"/>
      <c r="F2" s="1108"/>
      <c r="G2" s="1108"/>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08"/>
      <c r="B3" s="1108"/>
      <c r="C3" s="1108"/>
      <c r="D3" s="1108"/>
      <c r="E3" s="1108"/>
      <c r="F3" s="1108"/>
      <c r="G3" s="1108"/>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09" t="s">
        <v>99</v>
      </c>
      <c r="B4" s="1109"/>
      <c r="C4" s="1109"/>
      <c r="D4" s="1109"/>
      <c r="E4" s="1109"/>
      <c r="F4" s="1109"/>
      <c r="G4" s="1109"/>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1" t="s">
        <v>43</v>
      </c>
      <c r="E7" s="1157"/>
      <c r="F7" s="1157"/>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0" t="s">
        <v>806</v>
      </c>
      <c r="D10" s="1110"/>
      <c r="E10" s="1110"/>
      <c r="F10" s="1110"/>
      <c r="G10" s="1110"/>
      <c r="H10" s="110"/>
      <c r="I10" s="669"/>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4" t="s">
        <v>103</v>
      </c>
      <c r="D12" s="994"/>
      <c r="E12" s="994"/>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6" t="s">
        <v>105</v>
      </c>
      <c r="D15" s="996"/>
      <c r="E15" s="996"/>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6"/>
      <c r="B16" s="996"/>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4">
        <f>IF(+'EXHIBIT A'!E44&gt;=0.0499,+'EXHIBIT A'!E44,"PERCENTAGE DOES NOT MEET STATUTORY GUIDELINES")</f>
        <v>0.13219543605311485</v>
      </c>
      <c r="D17" s="1004"/>
      <c r="E17" s="1004"/>
      <c r="F17" s="1004"/>
      <c r="G17" s="1004"/>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6"/>
      <c r="B18" s="996"/>
      <c r="C18" s="1111" t="s">
        <v>106</v>
      </c>
      <c r="D18" s="1111"/>
      <c r="E18" s="1111"/>
      <c r="F18" s="1111"/>
      <c r="G18" s="1111"/>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6"/>
      <c r="B19" s="996"/>
      <c r="C19" s="992"/>
      <c r="D19" s="992"/>
      <c r="E19" s="992"/>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5" t="s">
        <v>108</v>
      </c>
      <c r="D21" s="995"/>
      <c r="E21" s="995"/>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6"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737</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71670</v>
      </c>
      <c r="E44" s="138">
        <f>+'EXHIBIT C'!F10</f>
        <v>72675.672731234299</v>
      </c>
      <c r="F44" s="139">
        <f t="shared" ref="F44:F50" si="0">IF(D44=0,"0",(E44/D44-1))</f>
        <v>1.4031990110705994E-2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7">
        <f>VLOOKUP($D$7,VLOOKUP!$A$119:$S$147,5)*30+D69</f>
        <v>202519.48996993221</v>
      </c>
      <c r="E45" s="142">
        <f>+'EXHIBIT C'!F11</f>
        <v>230935.161848282</v>
      </c>
      <c r="F45" s="808">
        <f t="shared" si="0"/>
        <v>0.1403108011113825</v>
      </c>
      <c r="G45" s="809"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0" t="s">
        <v>134</v>
      </c>
      <c r="D46" s="811">
        <f>VLOOKUP($D$7,VLOOKUP!$A$119:$S$147,8)*30</f>
        <v>120072.8155339806</v>
      </c>
      <c r="E46" s="812">
        <f>+'EXHIBIT C'!F12</f>
        <v>108931.257721769</v>
      </c>
      <c r="F46" s="808">
        <f t="shared" si="0"/>
        <v>-9.2790010483751351E-2</v>
      </c>
      <c r="G46" s="809"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0" t="s">
        <v>82</v>
      </c>
      <c r="D47" s="811">
        <f>VLOOKUP($D$7,VLOOKUP!$A$119:$S$147,17)*30</f>
        <v>5359.8272727272724</v>
      </c>
      <c r="E47" s="812">
        <f>+'EXHIBIT C'!F13</f>
        <v>6851.8950437317999</v>
      </c>
      <c r="F47" s="808">
        <f t="shared" si="0"/>
        <v>0.27837982365527059</v>
      </c>
      <c r="G47" s="809"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0" t="s">
        <v>135</v>
      </c>
      <c r="D48" s="811">
        <f>VLOOKUP($D$7,VLOOKUP!$A$119:$S$147,11)*30</f>
        <v>9860.0853842290308</v>
      </c>
      <c r="E48" s="812">
        <f>+'EXHIBIT C'!F14</f>
        <v>13386.903879416899</v>
      </c>
      <c r="F48" s="808">
        <f t="shared" si="0"/>
        <v>0.35768640511256922</v>
      </c>
      <c r="G48" s="809"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3" t="s">
        <v>136</v>
      </c>
      <c r="D49" s="814">
        <f>VLOOKUP($D$7,VLOOKUP!$A$119:$S$147,14)*30</f>
        <v>0</v>
      </c>
      <c r="E49" s="815">
        <f>+'EXHIBIT C'!F15</f>
        <v>0</v>
      </c>
      <c r="F49" s="816" t="str">
        <f t="shared" si="0"/>
        <v>0</v>
      </c>
      <c r="G49" s="817"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409482.21816086915</v>
      </c>
      <c r="E50" s="145">
        <f>+'EXHIBIT C'!F17</f>
        <v>432780.89122443396</v>
      </c>
      <c r="F50" s="146">
        <f t="shared" si="0"/>
        <v>5.6897887210359155E-2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2" t="s">
        <v>137</v>
      </c>
      <c r="D51" s="1113"/>
      <c r="E51" s="1113"/>
      <c r="F51" s="1113"/>
      <c r="G51" s="1114"/>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1" t="s">
        <v>138</v>
      </c>
      <c r="D52" s="1002"/>
      <c r="E52" s="1002"/>
      <c r="F52" s="1002"/>
      <c r="G52" s="1003"/>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199.5" customHeight="1">
      <c r="C53" s="1343" t="s">
        <v>817</v>
      </c>
      <c r="D53" s="1344"/>
      <c r="E53" s="1344"/>
      <c r="F53" s="1344"/>
      <c r="G53" s="1345"/>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06"/>
      <c r="D54" s="1007"/>
      <c r="E54" s="1007"/>
      <c r="F54" s="1007"/>
      <c r="G54" s="1008"/>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06"/>
      <c r="D55" s="1007"/>
      <c r="E55" s="1007"/>
      <c r="F55" s="1007"/>
      <c r="G55" s="1008"/>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06"/>
      <c r="D56" s="1007"/>
      <c r="E56" s="1007"/>
      <c r="F56" s="1007"/>
      <c r="G56" s="1008"/>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06"/>
      <c r="D57" s="1007"/>
      <c r="E57" s="1007"/>
      <c r="F57" s="1007"/>
      <c r="G57" s="1008"/>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06"/>
      <c r="D58" s="1007"/>
      <c r="E58" s="1007"/>
      <c r="F58" s="1007"/>
      <c r="G58" s="1008"/>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06"/>
      <c r="D59" s="1007"/>
      <c r="E59" s="1007"/>
      <c r="F59" s="1007"/>
      <c r="G59" s="1008"/>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06"/>
      <c r="D60" s="1007"/>
      <c r="E60" s="1007"/>
      <c r="F60" s="1007"/>
      <c r="G60" s="1008"/>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06"/>
      <c r="D61" s="1007"/>
      <c r="E61" s="1007"/>
      <c r="F61" s="1007"/>
      <c r="G61" s="1008"/>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09"/>
      <c r="D62" s="1010"/>
      <c r="E62" s="1010"/>
      <c r="F62" s="1010"/>
      <c r="G62" s="1011"/>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18">
        <f>VLOOKUP($D$7,VLOOKUP!$A$119:$S$147,3)*30</f>
        <v>0</v>
      </c>
      <c r="E68" s="158">
        <f>+'EXHIBIT C'!D19</f>
        <v>1516.6515442964001</v>
      </c>
      <c r="F68" s="819" t="str">
        <f t="shared" ref="F68:F74" si="2">IF(D68=0,"0",(E68/D68-1))</f>
        <v>0</v>
      </c>
      <c r="G68" s="820"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18">
        <f>VLOOKUP($D$7,VLOOKUP!$A$119:$S$147,6)*30</f>
        <v>7860.8232733473951</v>
      </c>
      <c r="E69" s="159">
        <f>+'EXHIBIT C'!D20</f>
        <v>9953.0682800346003</v>
      </c>
      <c r="F69" s="819">
        <f t="shared" si="2"/>
        <v>0.26616105386583233</v>
      </c>
      <c r="G69" s="820" t="str">
        <f t="shared" ref="G69:G74" si="3">IF(OR(F69&gt;5%, F69&lt;-5%),"YES","NO")</f>
        <v>YES</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0" t="s">
        <v>134</v>
      </c>
      <c r="D70" s="821">
        <f>VLOOKUP($D$7,VLOOKUP!$A$119:$S$147,9)*30</f>
        <v>4316.1648346948386</v>
      </c>
      <c r="E70" s="822">
        <f>+'EXHIBIT C'!D21</f>
        <v>4075.8776803720998</v>
      </c>
      <c r="F70" s="819">
        <f t="shared" si="2"/>
        <v>-5.5671449892559011E-2</v>
      </c>
      <c r="G70" s="820"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0" t="s">
        <v>82</v>
      </c>
      <c r="D71" s="821">
        <f>VLOOKUP($D$7,VLOOKUP!$A$119:$S$147,18)*30</f>
        <v>1180.1727272727273</v>
      </c>
      <c r="E71" s="822">
        <f>+'EXHIBIT C'!D22</f>
        <v>216.2083373822</v>
      </c>
      <c r="F71" s="819">
        <f t="shared" si="2"/>
        <v>-0.81679941216584628</v>
      </c>
      <c r="G71" s="820"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0" t="s">
        <v>135</v>
      </c>
      <c r="D72" s="821">
        <f>VLOOKUP($D$7,VLOOKUP!$A$119:$S$147,12)*30</f>
        <v>849.91461577096936</v>
      </c>
      <c r="E72" s="822">
        <f>+'EXHIBIT C'!D23</f>
        <v>1142.4455694118999</v>
      </c>
      <c r="F72" s="819">
        <f t="shared" si="2"/>
        <v>0.34418863755575213</v>
      </c>
      <c r="G72" s="820"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3" t="s">
        <v>136</v>
      </c>
      <c r="D73" s="823">
        <f>VLOOKUP($D$7,VLOOKUP!$A$119:$S$147,15)*30</f>
        <v>0</v>
      </c>
      <c r="E73" s="824">
        <f>+'EXHIBIT C'!D24</f>
        <v>0</v>
      </c>
      <c r="F73" s="825" t="str">
        <f t="shared" si="2"/>
        <v>0</v>
      </c>
      <c r="G73" s="826"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14207.075451085931</v>
      </c>
      <c r="E74" s="161">
        <f>SUM(E68:E73)</f>
        <v>16904.2514114972</v>
      </c>
      <c r="F74" s="162">
        <f t="shared" si="2"/>
        <v>0.18984737356379044</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2" t="s">
        <v>143</v>
      </c>
      <c r="D75" s="1113"/>
      <c r="E75" s="1113"/>
      <c r="F75" s="1113"/>
      <c r="G75" s="1114"/>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98" t="s">
        <v>138</v>
      </c>
      <c r="D76" s="999"/>
      <c r="E76" s="999"/>
      <c r="F76" s="999"/>
      <c r="G76" s="1000"/>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164.25" customHeight="1">
      <c r="A77" s="121"/>
      <c r="B77" s="121"/>
      <c r="C77" s="1346" t="s">
        <v>817</v>
      </c>
      <c r="D77" s="1347"/>
      <c r="E77" s="1347"/>
      <c r="F77" s="1347"/>
      <c r="G77" s="134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2"/>
      <c r="D78" s="1013"/>
      <c r="E78" s="1013"/>
      <c r="F78" s="1013"/>
      <c r="G78" s="1014"/>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2"/>
      <c r="D79" s="1013"/>
      <c r="E79" s="1013"/>
      <c r="F79" s="1013"/>
      <c r="G79" s="1014"/>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2"/>
      <c r="D80" s="1013"/>
      <c r="E80" s="1013"/>
      <c r="F80" s="1013"/>
      <c r="G80" s="1014"/>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2"/>
      <c r="D81" s="1013"/>
      <c r="E81" s="1013"/>
      <c r="F81" s="1013"/>
      <c r="G81" s="1014"/>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2"/>
      <c r="D82" s="1013"/>
      <c r="E82" s="1013"/>
      <c r="F82" s="1013"/>
      <c r="G82" s="1014"/>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2"/>
      <c r="D83" s="1013"/>
      <c r="E83" s="1013"/>
      <c r="F83" s="1013"/>
      <c r="G83" s="1014"/>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2"/>
      <c r="D84" s="1013"/>
      <c r="E84" s="1013"/>
      <c r="F84" s="1013"/>
      <c r="G84" s="1014"/>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2"/>
      <c r="D85" s="1013"/>
      <c r="E85" s="1013"/>
      <c r="F85" s="1013"/>
      <c r="G85" s="1014"/>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15"/>
      <c r="D86" s="1016"/>
      <c r="E86" s="1016"/>
      <c r="F86" s="1016"/>
      <c r="G86" s="1017"/>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7"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28"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7"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28"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15" t="s">
        <v>153</v>
      </c>
      <c r="D99" s="1115"/>
      <c r="E99" s="1115"/>
      <c r="F99" s="1115"/>
      <c r="G99" s="1115"/>
      <c r="H99" s="993"/>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29" t="s">
        <v>157</v>
      </c>
      <c r="D102" s="830">
        <f>VLOOKUP($D$7,VLOOKUP!$A$7:$E$35,2)</f>
        <v>71617032.119900003</v>
      </c>
      <c r="E102" s="831">
        <f>+'EXHIBIT D'!G75</f>
        <v>71617032.119900003</v>
      </c>
      <c r="F102" s="831">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2" t="s">
        <v>158</v>
      </c>
      <c r="D103" s="830">
        <f>E103</f>
        <v>1599416</v>
      </c>
      <c r="E103" s="831">
        <f>'EXHIBIT D'!G77</f>
        <v>1599416</v>
      </c>
      <c r="F103" s="831">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2" t="s">
        <v>159</v>
      </c>
      <c r="D104" s="830">
        <f>VLOOKUP($D$7,VLOOKUP!$A$7:$E$35,3)</f>
        <v>14743060</v>
      </c>
      <c r="E104" s="831">
        <f>'EXHIBIT D'!G81</f>
        <v>14743060</v>
      </c>
      <c r="F104" s="831">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797</v>
      </c>
      <c r="D105" s="173">
        <f>E105</f>
        <v>2458648</v>
      </c>
      <c r="E105" s="174">
        <f>'EXHIBIT D'!G76</f>
        <v>2458648</v>
      </c>
      <c r="F105" s="831">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90418156.119900003</v>
      </c>
      <c r="E106" s="176">
        <f>SUM(E102:E105)</f>
        <v>90418156.119900003</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3"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4"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4"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5"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16" t="s">
        <v>738</v>
      </c>
      <c r="D117" s="1116"/>
      <c r="E117" s="1116"/>
      <c r="F117" s="1116"/>
      <c r="G117" s="1005"/>
      <c r="H117" s="1005"/>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5"/>
      <c r="D118" s="1005"/>
      <c r="E118" s="1005"/>
      <c r="F118" s="1005"/>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6">
        <f>+'EXHIBIT A'!E40</f>
        <v>42904825</v>
      </c>
      <c r="D119" s="986" t="s">
        <v>739</v>
      </c>
      <c r="E119" s="986"/>
      <c r="F119" s="986"/>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6">
        <f>'EXHIBIT D'!G278-'EXHIBIT D'!G264-'EXHIBIT D'!G276</f>
        <v>42904825</v>
      </c>
      <c r="D120" s="989" t="s">
        <v>740</v>
      </c>
      <c r="E120" s="989"/>
      <c r="F120" s="989"/>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7">
        <f>C119-C120</f>
        <v>0</v>
      </c>
      <c r="D121" s="1117" t="s">
        <v>801</v>
      </c>
      <c r="E121" s="1117"/>
      <c r="F121" s="1117"/>
      <c r="G121" s="1117"/>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0" t="s">
        <v>168</v>
      </c>
      <c r="D124" s="1110"/>
      <c r="E124" s="1110"/>
      <c r="F124" s="1110"/>
      <c r="G124" s="1110"/>
      <c r="H124" s="988"/>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119785763</v>
      </c>
      <c r="D126" s="37" t="s">
        <v>761</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38">
        <f>'EXHIBIT A'!E36</f>
        <v>120556763</v>
      </c>
      <c r="D127" s="37" t="s">
        <v>741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39">
        <f>C126-C127</f>
        <v>-771000</v>
      </c>
      <c r="D128" s="990" t="s">
        <v>169</v>
      </c>
      <c r="E128" s="990"/>
      <c r="F128" s="990"/>
      <c r="G128" s="990"/>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0">
        <f>'EXHIBIT D'!G188</f>
        <v>771000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18" t="s">
        <v>171</v>
      </c>
      <c r="E132" s="1118"/>
      <c r="F132" s="1118"/>
      <c r="G132" s="1118"/>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0"/>
      <c r="C135" s="1119" t="s">
        <v>173</v>
      </c>
      <c r="D135" s="1119"/>
      <c r="E135" s="1119"/>
      <c r="F135" s="1119"/>
      <c r="G135" s="1119"/>
      <c r="H135" s="997"/>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91.790000000000049</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275.5300000000085</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28"/>
      <c r="D141" s="1029"/>
      <c r="E141" s="1029"/>
    </row>
    <row r="142" spans="1:53" s="20" customFormat="1" ht="20.100000000000001" customHeight="1">
      <c r="A142" s="670" t="s">
        <v>175</v>
      </c>
      <c r="B142" s="670"/>
      <c r="C142" s="670"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0" t="s">
        <v>802</v>
      </c>
      <c r="E144" s="1120"/>
      <c r="F144" s="1120"/>
      <c r="G144" s="1120"/>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0" t="s">
        <v>803</v>
      </c>
      <c r="E147" s="1120"/>
      <c r="F147" s="1120"/>
      <c r="G147" s="1120"/>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27"/>
      <c r="E149" s="1027"/>
      <c r="F149" s="1027"/>
      <c r="G149" s="1027"/>
      <c r="U149" s="111"/>
      <c r="V149" s="111"/>
      <c r="W149" s="111"/>
      <c r="X149" s="111"/>
      <c r="Y149" s="111"/>
      <c r="Z149" s="111"/>
      <c r="AA149" s="111"/>
      <c r="AB149" s="111"/>
      <c r="AC149" s="111"/>
      <c r="AD149" s="111"/>
      <c r="AE149" s="111"/>
      <c r="AF149" s="111"/>
      <c r="AG149" s="111"/>
    </row>
    <row r="150" spans="1:33" ht="20.100000000000001" customHeight="1">
      <c r="A150" s="20"/>
      <c r="C150" s="197"/>
      <c r="D150" s="1027"/>
      <c r="E150" s="1027"/>
      <c r="F150" s="1027"/>
      <c r="G150" s="1027"/>
      <c r="U150" s="111"/>
      <c r="V150" s="111"/>
      <c r="W150" s="111"/>
      <c r="X150" s="111"/>
      <c r="Y150" s="111"/>
      <c r="Z150" s="111"/>
      <c r="AA150" s="111"/>
      <c r="AB150" s="111"/>
      <c r="AC150" s="111"/>
      <c r="AD150" s="111"/>
      <c r="AE150" s="111"/>
      <c r="AF150" s="111"/>
      <c r="AG150" s="111"/>
    </row>
    <row r="151" spans="1:33" ht="62.1" customHeight="1">
      <c r="A151" s="190" t="s">
        <v>177</v>
      </c>
      <c r="B151" s="670"/>
      <c r="C151" s="1119" t="s">
        <v>805</v>
      </c>
      <c r="D151" s="1119"/>
      <c r="E151" s="1119"/>
      <c r="F151" s="1119"/>
      <c r="G151" s="1119"/>
      <c r="H151" s="997"/>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7" t="s">
        <v>178</v>
      </c>
      <c r="E153" s="987"/>
      <c r="F153" s="987"/>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1" t="s">
        <v>179</v>
      </c>
      <c r="D155" s="1002"/>
      <c r="E155" s="1002"/>
      <c r="F155" s="1002"/>
      <c r="G155" s="1003"/>
      <c r="H155" s="38"/>
      <c r="U155" s="111"/>
      <c r="V155" s="111"/>
      <c r="W155" s="111"/>
      <c r="X155" s="111"/>
      <c r="Y155" s="111"/>
      <c r="Z155" s="111"/>
      <c r="AA155" s="111"/>
      <c r="AB155" s="111"/>
      <c r="AC155" s="111"/>
      <c r="AD155" s="111"/>
      <c r="AE155" s="111"/>
      <c r="AF155" s="111"/>
      <c r="AG155" s="111"/>
    </row>
    <row r="156" spans="1:33" ht="20.100000000000001" customHeight="1">
      <c r="A156" s="20"/>
      <c r="C156" s="1018"/>
      <c r="D156" s="1019"/>
      <c r="E156" s="1019"/>
      <c r="F156" s="1019"/>
      <c r="G156" s="1020"/>
      <c r="H156" s="198"/>
      <c r="U156" s="111"/>
      <c r="V156" s="111"/>
      <c r="W156" s="111"/>
      <c r="X156" s="111"/>
      <c r="Y156" s="111"/>
      <c r="Z156" s="111"/>
      <c r="AA156" s="111"/>
      <c r="AB156" s="111"/>
      <c r="AC156" s="111"/>
      <c r="AD156" s="111"/>
      <c r="AE156" s="111"/>
      <c r="AF156" s="111"/>
      <c r="AG156" s="111"/>
    </row>
    <row r="157" spans="1:33" ht="20.100000000000001" customHeight="1">
      <c r="A157" s="20"/>
      <c r="C157" s="1021"/>
      <c r="D157" s="1022"/>
      <c r="E157" s="1022"/>
      <c r="F157" s="1022"/>
      <c r="G157" s="1023"/>
      <c r="H157" s="198"/>
      <c r="U157" s="111"/>
      <c r="V157" s="111"/>
      <c r="W157" s="111"/>
      <c r="X157" s="111"/>
      <c r="Y157" s="111"/>
      <c r="Z157" s="111"/>
      <c r="AA157" s="111"/>
      <c r="AB157" s="111"/>
      <c r="AC157" s="111"/>
      <c r="AD157" s="111"/>
      <c r="AE157" s="111"/>
      <c r="AF157" s="111"/>
      <c r="AG157" s="111"/>
    </row>
    <row r="158" spans="1:33" ht="20.100000000000001" customHeight="1">
      <c r="A158" s="20"/>
      <c r="C158" s="1021"/>
      <c r="D158" s="1022"/>
      <c r="E158" s="1022"/>
      <c r="F158" s="1022"/>
      <c r="G158" s="1023"/>
      <c r="H158" s="198"/>
      <c r="U158" s="111"/>
      <c r="V158" s="111"/>
      <c r="W158" s="111"/>
      <c r="X158" s="111"/>
      <c r="Y158" s="111"/>
      <c r="Z158" s="111"/>
      <c r="AA158" s="111"/>
      <c r="AB158" s="111"/>
      <c r="AC158" s="111"/>
      <c r="AD158" s="111"/>
      <c r="AE158" s="111"/>
      <c r="AF158" s="111"/>
      <c r="AG158" s="111"/>
    </row>
    <row r="159" spans="1:33" ht="20.100000000000001" customHeight="1">
      <c r="A159" s="20"/>
      <c r="C159" s="1021"/>
      <c r="D159" s="1022"/>
      <c r="E159" s="1022"/>
      <c r="F159" s="1022"/>
      <c r="G159" s="1023"/>
      <c r="H159" s="198"/>
      <c r="U159" s="111"/>
      <c r="V159" s="111"/>
      <c r="W159" s="111"/>
      <c r="X159" s="111"/>
      <c r="Y159" s="111"/>
      <c r="Z159" s="111"/>
      <c r="AA159" s="111"/>
      <c r="AB159" s="111"/>
      <c r="AC159" s="111"/>
      <c r="AD159" s="111"/>
      <c r="AE159" s="111"/>
      <c r="AF159" s="111"/>
      <c r="AG159" s="111"/>
    </row>
    <row r="160" spans="1:33" ht="20.100000000000001" customHeight="1">
      <c r="A160" s="20"/>
      <c r="C160" s="1021"/>
      <c r="D160" s="1022"/>
      <c r="E160" s="1022"/>
      <c r="F160" s="1022"/>
      <c r="G160" s="1023"/>
      <c r="H160" s="198"/>
      <c r="U160" s="111"/>
      <c r="V160" s="111"/>
      <c r="W160" s="111"/>
      <c r="X160" s="111"/>
      <c r="Y160" s="111"/>
      <c r="Z160" s="111"/>
      <c r="AA160" s="111"/>
      <c r="AB160" s="111"/>
      <c r="AC160" s="111"/>
      <c r="AD160" s="111"/>
      <c r="AE160" s="111"/>
      <c r="AF160" s="111"/>
      <c r="AG160" s="111"/>
    </row>
    <row r="161" spans="1:33" ht="20.100000000000001" customHeight="1">
      <c r="A161" s="20"/>
      <c r="C161" s="1021"/>
      <c r="D161" s="1022"/>
      <c r="E161" s="1022"/>
      <c r="F161" s="1022"/>
      <c r="G161" s="1023"/>
      <c r="H161" s="198"/>
      <c r="U161" s="111"/>
      <c r="V161" s="111"/>
      <c r="W161" s="111"/>
      <c r="X161" s="111"/>
      <c r="Y161" s="111"/>
      <c r="Z161" s="111"/>
      <c r="AA161" s="111"/>
      <c r="AB161" s="111"/>
      <c r="AC161" s="111"/>
      <c r="AD161" s="111"/>
      <c r="AE161" s="111"/>
      <c r="AF161" s="111"/>
      <c r="AG161" s="111"/>
    </row>
    <row r="162" spans="1:33" ht="20.100000000000001" customHeight="1">
      <c r="A162" s="20"/>
      <c r="C162" s="1021"/>
      <c r="D162" s="1022"/>
      <c r="E162" s="1022"/>
      <c r="F162" s="1022"/>
      <c r="G162" s="1023"/>
      <c r="H162" s="198"/>
      <c r="U162" s="111"/>
      <c r="V162" s="111"/>
      <c r="W162" s="111"/>
      <c r="X162" s="111"/>
      <c r="Y162" s="111"/>
      <c r="Z162" s="111"/>
      <c r="AA162" s="111"/>
      <c r="AB162" s="111"/>
      <c r="AC162" s="111"/>
      <c r="AD162" s="111"/>
      <c r="AE162" s="111"/>
      <c r="AF162" s="111"/>
      <c r="AG162" s="111"/>
    </row>
    <row r="163" spans="1:33" ht="20.100000000000001" customHeight="1">
      <c r="A163" s="20"/>
      <c r="C163" s="1021"/>
      <c r="D163" s="1022"/>
      <c r="E163" s="1022"/>
      <c r="F163" s="1022"/>
      <c r="G163" s="1023"/>
      <c r="H163" s="198"/>
      <c r="U163" s="111"/>
      <c r="V163" s="111"/>
      <c r="W163" s="111"/>
      <c r="X163" s="111"/>
      <c r="Y163" s="111"/>
      <c r="Z163" s="111"/>
      <c r="AA163" s="111"/>
      <c r="AB163" s="111"/>
      <c r="AC163" s="111"/>
      <c r="AD163" s="111"/>
      <c r="AE163" s="111"/>
      <c r="AF163" s="111"/>
      <c r="AG163" s="111"/>
    </row>
    <row r="164" spans="1:33" ht="20.100000000000001" customHeight="1">
      <c r="A164" s="20"/>
      <c r="C164" s="1021"/>
      <c r="D164" s="1022"/>
      <c r="E164" s="1022"/>
      <c r="F164" s="1022"/>
      <c r="G164" s="1023"/>
      <c r="H164" s="198"/>
      <c r="U164" s="111"/>
      <c r="V164" s="111"/>
      <c r="W164" s="111"/>
      <c r="X164" s="111"/>
      <c r="Y164" s="111"/>
      <c r="Z164" s="111"/>
      <c r="AA164" s="111"/>
      <c r="AB164" s="111"/>
      <c r="AC164" s="111"/>
      <c r="AD164" s="111"/>
      <c r="AE164" s="111"/>
      <c r="AF164" s="111"/>
      <c r="AG164" s="111"/>
    </row>
    <row r="165" spans="1:33" ht="20.100000000000001" customHeight="1" thickBot="1">
      <c r="A165" s="20"/>
      <c r="C165" s="1024"/>
      <c r="D165" s="1025"/>
      <c r="E165" s="1025"/>
      <c r="F165" s="1025"/>
      <c r="G165" s="1026"/>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uTfFQrQy7oPK6J1EnYPIRUZT/SdsOrx79GhxKRXxKCYrz8/y+kEQeoB9muVpIGRbMB+zgGvGF3jO8dUJWOgQ==" saltValue="Ow0eDacoI9AbMKTyiYIg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opLeftCell="A16" zoomScale="70" zoomScaleNormal="70" zoomScaleSheetLayoutView="90" zoomScalePageLayoutView="70" workbookViewId="0">
      <selection activeCell="S36" sqref="S36"/>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1" t="s">
        <v>180</v>
      </c>
      <c r="C1" s="1121"/>
      <c r="D1" s="1121"/>
      <c r="E1" s="1121"/>
      <c r="F1" s="368"/>
      <c r="G1" s="368"/>
    </row>
    <row r="2" spans="2:7" ht="26.25">
      <c r="B2" s="1122" t="s">
        <v>11</v>
      </c>
      <c r="C2" s="1122"/>
      <c r="D2" s="1122"/>
      <c r="E2" s="1122"/>
      <c r="F2" s="1032"/>
      <c r="G2" s="1032"/>
    </row>
    <row r="3" spans="2:7" ht="26.25">
      <c r="B3" s="1122" t="s">
        <v>181</v>
      </c>
      <c r="C3" s="1122"/>
      <c r="D3" s="1122"/>
      <c r="E3" s="1122"/>
      <c r="F3" s="1032"/>
      <c r="G3" s="1032"/>
    </row>
    <row r="4" spans="2:7" ht="26.25">
      <c r="B4" s="1122" t="s">
        <v>182</v>
      </c>
      <c r="C4" s="1122"/>
      <c r="D4" s="1122"/>
      <c r="E4" s="1122"/>
      <c r="F4" s="1032"/>
      <c r="G4" s="1032"/>
    </row>
    <row r="5" spans="2:7" ht="26.25">
      <c r="B5" s="1121" t="s">
        <v>735</v>
      </c>
      <c r="C5" s="1122"/>
      <c r="D5" s="1121"/>
      <c r="E5" s="1121"/>
      <c r="F5" s="1033"/>
      <c r="G5" s="1033"/>
    </row>
    <row r="6" spans="2:7" ht="25.35" customHeight="1">
      <c r="B6" s="1033"/>
      <c r="C6" s="1033"/>
      <c r="D6" s="1033"/>
      <c r="E6" s="1033"/>
      <c r="F6" s="1033"/>
      <c r="G6" s="1033"/>
    </row>
    <row r="7" spans="2:7" ht="25.35" customHeight="1">
      <c r="B7" s="368"/>
      <c r="C7" s="1033"/>
      <c r="D7" s="432"/>
      <c r="E7" s="432"/>
      <c r="F7" s="432"/>
      <c r="G7" s="432"/>
    </row>
    <row r="8" spans="2:7" ht="25.35" customHeight="1">
      <c r="B8" s="434" t="s">
        <v>183</v>
      </c>
      <c r="C8" s="1031" t="str">
        <f>'CHECK SHEET'!D7</f>
        <v>St. Petersburg College</v>
      </c>
      <c r="D8" s="1031"/>
      <c r="E8" s="1031"/>
      <c r="F8" s="431"/>
      <c r="G8" s="431"/>
    </row>
    <row r="9" spans="2:7" ht="25.35" customHeight="1">
      <c r="D9" s="149"/>
      <c r="E9" s="149"/>
      <c r="F9" s="149"/>
      <c r="G9" s="149"/>
    </row>
    <row r="10" spans="2:7" ht="41.45" customHeight="1">
      <c r="E10" s="717" t="s">
        <v>184</v>
      </c>
    </row>
    <row r="11" spans="2:7" ht="25.35" customHeight="1">
      <c r="B11" s="112" t="s">
        <v>742</v>
      </c>
      <c r="D11" s="112"/>
      <c r="E11" s="199"/>
    </row>
    <row r="12" spans="2:7" ht="25.35" customHeight="1">
      <c r="B12" s="112"/>
      <c r="C12" s="112"/>
      <c r="D12" s="112"/>
    </row>
    <row r="13" spans="2:7" ht="25.35" customHeight="1">
      <c r="B13" s="37" t="s">
        <v>750</v>
      </c>
      <c r="C13" s="112"/>
      <c r="D13" s="112"/>
      <c r="E13" s="580">
        <v>40709504</v>
      </c>
    </row>
    <row r="14" spans="2:7" ht="25.35" customHeight="1">
      <c r="B14" s="37" t="s">
        <v>185</v>
      </c>
      <c r="D14" s="112"/>
      <c r="E14" s="718">
        <v>119785763</v>
      </c>
    </row>
    <row r="15" spans="2:7" ht="25.35" customHeight="1">
      <c r="B15" s="112"/>
      <c r="C15" s="24"/>
      <c r="D15" s="112"/>
      <c r="E15" s="200"/>
    </row>
    <row r="16" spans="2:7" ht="25.35" customHeight="1">
      <c r="B16" s="24" t="s">
        <v>743</v>
      </c>
      <c r="C16" s="112"/>
      <c r="D16" s="35"/>
      <c r="E16" s="719">
        <f>+E14+E13</f>
        <v>160495267</v>
      </c>
    </row>
    <row r="17" spans="2:7" ht="25.35" customHeight="1">
      <c r="B17" s="112"/>
      <c r="C17" s="35"/>
      <c r="D17" s="112"/>
      <c r="E17" s="201"/>
    </row>
    <row r="18" spans="2:7" ht="25.35" customHeight="1">
      <c r="B18" s="37" t="s">
        <v>186</v>
      </c>
      <c r="C18" s="112"/>
      <c r="D18" s="112"/>
      <c r="E18" s="213">
        <f>+'EXHIBIT D'!G144-SUM(+'EXHIBIT D'!G132+'EXHIBIT D'!G133+'EXHIBIT D'!G134+'EXHIBIT D'!G135)</f>
        <v>154459503.89989999</v>
      </c>
      <c r="G18" s="202"/>
    </row>
    <row r="19" spans="2:7" ht="25.35" customHeight="1">
      <c r="B19" s="37" t="s">
        <v>187</v>
      </c>
      <c r="D19" s="112"/>
      <c r="E19" s="719">
        <f>+'EXHIBIT D'!G132+'EXHIBIT D'!G133+'EXHIBIT D'!G134+'EXHIBIT D'!G135</f>
        <v>9601252.2199999988</v>
      </c>
    </row>
    <row r="20" spans="2:7" ht="25.35" customHeight="1">
      <c r="B20" s="112"/>
      <c r="D20" s="112"/>
      <c r="E20" s="208"/>
    </row>
    <row r="21" spans="2:7" ht="25.35" customHeight="1">
      <c r="B21" s="37" t="s">
        <v>188</v>
      </c>
      <c r="C21" s="112"/>
      <c r="D21" s="112"/>
      <c r="E21" s="720">
        <f>+E19+E18</f>
        <v>164060756.11989999</v>
      </c>
    </row>
    <row r="22" spans="2:7" ht="25.35" customHeight="1">
      <c r="B22" s="112"/>
      <c r="C22" s="112"/>
      <c r="D22" s="112"/>
      <c r="E22" s="208"/>
    </row>
    <row r="23" spans="2:7" ht="25.35" customHeight="1">
      <c r="B23" s="112" t="s">
        <v>189</v>
      </c>
      <c r="C23" s="112"/>
      <c r="D23" s="112"/>
      <c r="E23" s="720">
        <f>+E21+E16</f>
        <v>324556023.11989999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162750755.83999997</v>
      </c>
    </row>
    <row r="26" spans="2:7" ht="25.35" customHeight="1">
      <c r="B26" s="37" t="s">
        <v>191</v>
      </c>
      <c r="D26" s="112"/>
      <c r="E26" s="719">
        <f>'EXHIBIT D'!G231+'EXHIBIT D'!G232+'EXHIBIT D'!G233+'EXHIBIT D'!G234+'EXHIBIT D'!G235</f>
        <v>1310000</v>
      </c>
    </row>
    <row r="27" spans="2:7" ht="25.35" customHeight="1">
      <c r="B27" s="112"/>
      <c r="D27" s="112"/>
      <c r="E27" s="208"/>
    </row>
    <row r="28" spans="2:7" ht="25.35" customHeight="1">
      <c r="B28" s="112" t="s">
        <v>192</v>
      </c>
      <c r="C28" s="112"/>
      <c r="D28" s="112"/>
      <c r="E28" s="721">
        <f>+E26+E25</f>
        <v>164060755.83999997</v>
      </c>
    </row>
    <row r="29" spans="2:7" ht="25.35" customHeight="1">
      <c r="B29" s="112"/>
      <c r="C29" s="112"/>
      <c r="D29" s="112"/>
      <c r="E29" s="203"/>
    </row>
    <row r="30" spans="2:7" ht="25.35" customHeight="1">
      <c r="B30" s="112" t="s">
        <v>744</v>
      </c>
      <c r="C30" s="112"/>
      <c r="D30" s="112"/>
      <c r="E30" s="203"/>
    </row>
    <row r="31" spans="2:7" ht="25.35" customHeight="1">
      <c r="B31" s="112"/>
      <c r="C31" s="112"/>
      <c r="D31" s="112"/>
      <c r="E31" s="203"/>
    </row>
    <row r="32" spans="2:7" ht="25.35" customHeight="1">
      <c r="B32" s="37" t="s">
        <v>193</v>
      </c>
      <c r="C32" s="112"/>
      <c r="D32" s="204">
        <f>+E23-E28</f>
        <v>160495267.27990001</v>
      </c>
      <c r="E32" s="203"/>
    </row>
    <row r="33" spans="2:10" ht="25.35" customHeight="1">
      <c r="B33" s="24" t="s">
        <v>194</v>
      </c>
      <c r="C33" s="112"/>
      <c r="D33" s="722">
        <f>+'EXHIBIT D'!G188</f>
        <v>771000</v>
      </c>
      <c r="E33" s="203"/>
      <c r="J33" s="149"/>
    </row>
    <row r="34" spans="2:10" ht="25.35" customHeight="1">
      <c r="B34" s="112"/>
      <c r="D34" s="112"/>
      <c r="E34" s="203"/>
      <c r="J34" s="205"/>
    </row>
    <row r="35" spans="2:10" ht="25.35" customHeight="1">
      <c r="B35" s="37" t="s">
        <v>745</v>
      </c>
      <c r="C35" s="112"/>
      <c r="D35" s="112"/>
      <c r="E35" s="206">
        <f>+D32+D33</f>
        <v>161266267.27990001</v>
      </c>
      <c r="J35" s="149"/>
    </row>
    <row r="36" spans="2:10" ht="25.35" customHeight="1">
      <c r="B36" s="37" t="s">
        <v>746</v>
      </c>
      <c r="C36" s="112"/>
      <c r="D36" s="112"/>
      <c r="E36" s="720">
        <f>-'EXHIBIT D'!G276</f>
        <v>120556763</v>
      </c>
      <c r="J36" s="207"/>
    </row>
    <row r="37" spans="2:10" ht="25.35" customHeight="1">
      <c r="D37" s="112"/>
      <c r="E37" s="206"/>
      <c r="J37" s="149"/>
    </row>
    <row r="38" spans="2:10" ht="25.35" customHeight="1">
      <c r="B38" s="112" t="s">
        <v>747</v>
      </c>
      <c r="D38" s="112"/>
      <c r="E38" s="719">
        <f>+E35-E36</f>
        <v>40709504.279900014</v>
      </c>
      <c r="J38" s="149"/>
    </row>
    <row r="39" spans="2:10" ht="25.35" customHeight="1">
      <c r="B39" s="112"/>
      <c r="C39" s="112"/>
      <c r="D39" s="112"/>
      <c r="E39" s="208"/>
    </row>
    <row r="40" spans="2:10" ht="25.35" customHeight="1">
      <c r="B40" s="24" t="s">
        <v>748</v>
      </c>
      <c r="C40" s="112"/>
      <c r="D40" s="35"/>
      <c r="E40" s="721">
        <f>'EXHIBIT D'!G265+'EXHIBIT D'!G266+'EXHIBIT D'!G267+'EXHIBIT D'!G268+'EXHIBIT D'!G269+'EXHIBIT D'!G270+'EXHIBIT D'!G271+'EXHIBIT D'!G272</f>
        <v>42904825</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749</v>
      </c>
      <c r="C44" s="112"/>
      <c r="D44" s="112"/>
      <c r="E44" s="723">
        <f>+E40/E23</f>
        <v>0.13219543605311485</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4"/>
      <c r="C50" s="724"/>
      <c r="D50" s="112"/>
      <c r="E50" s="725"/>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K57" sqref="K57"/>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0" t="s">
        <v>200</v>
      </c>
      <c r="L1" s="1030"/>
      <c r="M1" s="1030"/>
      <c r="N1" s="1030"/>
      <c r="O1" s="1030"/>
      <c r="P1" s="1030"/>
      <c r="Q1" s="1030"/>
      <c r="R1" s="1030"/>
    </row>
    <row r="2" spans="1:18" s="368" customFormat="1" ht="20.100000000000001" customHeight="1"/>
    <row r="3" spans="1:18" s="368" customFormat="1" ht="20.100000000000001" customHeight="1">
      <c r="A3" s="1122" t="s">
        <v>11</v>
      </c>
      <c r="B3" s="1122"/>
      <c r="C3" s="1122"/>
      <c r="D3" s="1122"/>
      <c r="E3" s="1122"/>
      <c r="F3" s="1122"/>
      <c r="G3" s="1122"/>
      <c r="H3" s="1122"/>
      <c r="I3" s="1032"/>
      <c r="J3" s="367"/>
      <c r="K3" s="367"/>
    </row>
    <row r="4" spans="1:18" s="368" customFormat="1" ht="20.100000000000001" customHeight="1">
      <c r="A4" s="1122" t="s">
        <v>181</v>
      </c>
      <c r="B4" s="1122"/>
      <c r="C4" s="1122"/>
      <c r="D4" s="1122"/>
      <c r="E4" s="1122"/>
      <c r="F4" s="1122"/>
      <c r="G4" s="1122"/>
      <c r="H4" s="1122"/>
      <c r="I4" s="1032"/>
    </row>
    <row r="5" spans="1:18" s="368" customFormat="1" ht="24" customHeight="1">
      <c r="A5" s="1122" t="s">
        <v>751</v>
      </c>
      <c r="B5" s="1122"/>
      <c r="C5" s="1122"/>
      <c r="D5" s="1122"/>
      <c r="E5" s="1122"/>
      <c r="F5" s="1122"/>
      <c r="G5" s="1122"/>
      <c r="H5" s="1122"/>
      <c r="I5" s="1032"/>
    </row>
    <row r="6" spans="1:18" s="368" customFormat="1" ht="24" customHeight="1">
      <c r="A6" s="1122" t="s">
        <v>201</v>
      </c>
      <c r="B6" s="1122"/>
      <c r="C6" s="1122"/>
      <c r="D6" s="1122"/>
      <c r="E6" s="1122"/>
      <c r="F6" s="1122"/>
      <c r="G6" s="1122"/>
      <c r="H6" s="1122"/>
      <c r="I6" s="1032"/>
    </row>
    <row r="7" spans="1:18" s="368" customFormat="1" ht="20.100000000000001" customHeight="1">
      <c r="A7" s="1121"/>
      <c r="B7" s="1121"/>
      <c r="C7" s="1121"/>
      <c r="D7" s="1121"/>
      <c r="E7" s="1121"/>
      <c r="F7" s="1121"/>
      <c r="G7" s="1121"/>
      <c r="H7" s="1121"/>
      <c r="I7" s="1033"/>
    </row>
    <row r="8" spans="1:18" s="368" customFormat="1" ht="25.35" customHeight="1" thickBot="1">
      <c r="A8" s="1121"/>
      <c r="B8" s="1125"/>
      <c r="C8" s="1121" t="s">
        <v>183</v>
      </c>
      <c r="D8" s="1126" t="str">
        <f>'CHECK SHEET'!D7</f>
        <v>St. Petersburg College</v>
      </c>
      <c r="E8" s="1126"/>
      <c r="F8" s="1126"/>
      <c r="G8" s="1126"/>
      <c r="H8" s="1126"/>
    </row>
    <row r="9" spans="1:18" s="37" customFormat="1" ht="20.100000000000001" customHeight="1"/>
    <row r="10" spans="1:18" s="37" customFormat="1" ht="20.100000000000001" customHeight="1">
      <c r="B10" s="112"/>
      <c r="C10" s="112"/>
      <c r="D10" s="112"/>
      <c r="E10" s="1123"/>
      <c r="F10" s="1124"/>
      <c r="G10" s="1124"/>
    </row>
    <row r="11" spans="1:18" s="37" customFormat="1" ht="20.100000000000001" customHeight="1">
      <c r="B11" s="1034" t="s">
        <v>202</v>
      </c>
      <c r="C11" s="1034"/>
      <c r="D11" s="992"/>
      <c r="E11" s="992"/>
    </row>
    <row r="12" spans="1:18" s="37" customFormat="1" ht="20.100000000000001" customHeight="1" thickBot="1">
      <c r="B12" s="1035" t="s">
        <v>203</v>
      </c>
      <c r="C12" s="1035"/>
      <c r="D12" s="1035"/>
      <c r="E12" s="1035"/>
      <c r="J12" s="112"/>
    </row>
    <row r="13" spans="1:18" s="37" customFormat="1" ht="105.75" customHeight="1" thickBot="1">
      <c r="A13" s="435" t="s">
        <v>204</v>
      </c>
      <c r="B13" s="389" t="s">
        <v>205</v>
      </c>
      <c r="C13" s="1039" t="s">
        <v>206</v>
      </c>
      <c r="D13" s="389" t="s">
        <v>207</v>
      </c>
      <c r="E13" s="389" t="s">
        <v>208</v>
      </c>
      <c r="F13" s="1038" t="s">
        <v>209</v>
      </c>
      <c r="G13" s="389" t="s">
        <v>50</v>
      </c>
      <c r="H13" s="1039" t="s">
        <v>210</v>
      </c>
      <c r="I13" s="24"/>
      <c r="J13" s="35"/>
      <c r="K13" s="24"/>
    </row>
    <row r="14" spans="1:18" s="37" customFormat="1" ht="20.100000000000001" customHeight="1">
      <c r="A14" s="436" t="s">
        <v>211</v>
      </c>
      <c r="B14" s="1183">
        <v>91.79</v>
      </c>
      <c r="C14" s="1183">
        <v>4.59</v>
      </c>
      <c r="D14" s="1183">
        <v>9.18</v>
      </c>
      <c r="E14" s="1183">
        <v>12.55</v>
      </c>
      <c r="F14" s="1183">
        <v>4.59</v>
      </c>
      <c r="G14" s="842">
        <f>SUM(B14:F14)</f>
        <v>122.7</v>
      </c>
      <c r="H14" s="474">
        <f>G14*30</f>
        <v>3681</v>
      </c>
      <c r="I14" s="24"/>
    </row>
    <row r="15" spans="1:18" s="37" customFormat="1" ht="20.100000000000001" customHeight="1">
      <c r="A15" s="112" t="s">
        <v>212</v>
      </c>
      <c r="B15" s="1184">
        <v>80.94</v>
      </c>
      <c r="C15" s="1184">
        <v>4.04</v>
      </c>
      <c r="D15" s="1184">
        <v>7.63</v>
      </c>
      <c r="E15" s="1184">
        <v>15.1</v>
      </c>
      <c r="F15" s="1184">
        <v>4.04</v>
      </c>
      <c r="G15" s="842">
        <f>SUM(B15:F15)</f>
        <v>111.75</v>
      </c>
      <c r="H15" s="437">
        <f>G15*30</f>
        <v>3352.5</v>
      </c>
      <c r="I15" s="24"/>
    </row>
    <row r="16" spans="1:18" s="37" customFormat="1" ht="20.100000000000001" customHeight="1" thickBot="1">
      <c r="A16" s="35" t="s">
        <v>82</v>
      </c>
      <c r="B16" s="1185">
        <v>68.599999999999994</v>
      </c>
      <c r="C16" s="1185">
        <v>0</v>
      </c>
      <c r="D16" s="1186"/>
      <c r="E16" s="1185">
        <v>3.43</v>
      </c>
      <c r="F16" s="1185">
        <v>3.43</v>
      </c>
      <c r="G16" s="438">
        <f>SUM(B16:F16)</f>
        <v>75.460000000000008</v>
      </c>
      <c r="H16" s="843">
        <f>G16*30</f>
        <v>2263.8000000000002</v>
      </c>
    </row>
    <row r="17" spans="1:11" s="37" customFormat="1" ht="20.100000000000001" customHeight="1" thickBot="1">
      <c r="A17" s="439"/>
      <c r="B17" s="467"/>
      <c r="C17" s="673"/>
      <c r="D17" s="673"/>
      <c r="E17" s="673"/>
      <c r="F17" s="673"/>
      <c r="G17" s="473"/>
      <c r="H17" s="440"/>
    </row>
    <row r="18" spans="1:11" s="37" customFormat="1" ht="65.099999999999994" customHeight="1" thickBot="1">
      <c r="A18" s="466" t="s">
        <v>204</v>
      </c>
      <c r="B18" s="451" t="s">
        <v>213</v>
      </c>
      <c r="C18" s="478"/>
      <c r="D18" s="478"/>
      <c r="E18" s="478"/>
      <c r="F18" s="478"/>
      <c r="G18" s="472" t="s">
        <v>50</v>
      </c>
      <c r="H18" s="1039" t="s">
        <v>214</v>
      </c>
    </row>
    <row r="19" spans="1:11" s="37" customFormat="1" ht="20.100000000000001" customHeight="1">
      <c r="A19" s="112" t="s">
        <v>215</v>
      </c>
      <c r="B19" s="841">
        <v>0</v>
      </c>
      <c r="C19" s="475"/>
      <c r="D19" s="475"/>
      <c r="E19" s="475"/>
      <c r="F19" s="475"/>
      <c r="G19" s="842">
        <f>B19</f>
        <v>0</v>
      </c>
      <c r="H19" s="758">
        <f>G19*3</f>
        <v>0</v>
      </c>
    </row>
    <row r="20" spans="1:11" s="37" customFormat="1" ht="20.100000000000001" customHeight="1" thickBot="1">
      <c r="A20" s="112" t="s">
        <v>216</v>
      </c>
      <c r="B20" s="743">
        <v>0</v>
      </c>
      <c r="C20" s="476"/>
      <c r="D20" s="476"/>
      <c r="E20" s="476"/>
      <c r="F20" s="476"/>
      <c r="G20" s="441">
        <f>B20</f>
        <v>0</v>
      </c>
      <c r="H20" s="706">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4"/>
      <c r="D22" s="674"/>
      <c r="E22" s="674"/>
      <c r="F22" s="674"/>
      <c r="G22" s="443">
        <f>B22</f>
        <v>0</v>
      </c>
      <c r="H22" s="471">
        <f>G22*2</f>
        <v>0</v>
      </c>
    </row>
    <row r="23" spans="1:11" s="37" customFormat="1" ht="20.100000000000001" customHeight="1" thickBot="1">
      <c r="A23" s="112" t="s">
        <v>218</v>
      </c>
      <c r="B23" s="844">
        <v>0</v>
      </c>
      <c r="C23" s="476"/>
      <c r="D23" s="476"/>
      <c r="E23" s="476"/>
      <c r="F23" s="476"/>
      <c r="G23" s="845">
        <f>B23</f>
        <v>0</v>
      </c>
      <c r="H23" s="843">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2" t="s">
        <v>219</v>
      </c>
      <c r="C26" s="992"/>
      <c r="D26" s="992"/>
      <c r="E26" s="992"/>
      <c r="F26" s="444"/>
      <c r="G26" s="444"/>
      <c r="H26" s="444"/>
      <c r="I26" s="444"/>
      <c r="J26" s="444"/>
      <c r="K26" s="444"/>
    </row>
    <row r="27" spans="1:11" s="37" customFormat="1" ht="20.100000000000001" customHeight="1" thickBot="1">
      <c r="A27" s="436"/>
      <c r="B27" s="992" t="s">
        <v>203</v>
      </c>
      <c r="C27" s="992"/>
      <c r="D27" s="992"/>
      <c r="E27" s="992"/>
      <c r="F27" s="444"/>
      <c r="G27" s="444"/>
      <c r="H27" s="444"/>
      <c r="I27" s="444"/>
    </row>
    <row r="28" spans="1:11" s="37" customFormat="1" ht="108" customHeight="1" thickBot="1">
      <c r="A28" s="435" t="s">
        <v>204</v>
      </c>
      <c r="B28" s="446" t="s">
        <v>205</v>
      </c>
      <c r="C28" s="389" t="s">
        <v>220</v>
      </c>
      <c r="D28" s="389" t="s">
        <v>206</v>
      </c>
      <c r="E28" s="389" t="s">
        <v>207</v>
      </c>
      <c r="F28" s="389" t="s">
        <v>208</v>
      </c>
      <c r="G28" s="1038" t="s">
        <v>209</v>
      </c>
      <c r="H28" s="389" t="s">
        <v>50</v>
      </c>
      <c r="I28" s="1039" t="s">
        <v>210</v>
      </c>
      <c r="J28" s="112"/>
      <c r="K28" s="112"/>
    </row>
    <row r="29" spans="1:11" s="37" customFormat="1" ht="20.100000000000001" customHeight="1">
      <c r="A29" s="436" t="str">
        <f t="shared" ref="A29:B31" si="0">A14</f>
        <v>UPPER LEVEL - BACCALAUREATE</v>
      </c>
      <c r="B29" s="447">
        <f t="shared" si="0"/>
        <v>91.79</v>
      </c>
      <c r="C29" s="1183">
        <v>275.52999999999997</v>
      </c>
      <c r="D29" s="1183">
        <v>18.37</v>
      </c>
      <c r="E29" s="675">
        <f>D14</f>
        <v>9.18</v>
      </c>
      <c r="F29" s="1183">
        <v>12.55</v>
      </c>
      <c r="G29" s="1183">
        <v>18.37</v>
      </c>
      <c r="H29" s="448">
        <f>SUM(B29:G29)</f>
        <v>425.79</v>
      </c>
      <c r="I29" s="468">
        <f>H29*30</f>
        <v>12773.7</v>
      </c>
      <c r="J29" s="24"/>
    </row>
    <row r="30" spans="1:11" s="37" customFormat="1" ht="20.100000000000001" customHeight="1">
      <c r="A30" s="112" t="str">
        <f t="shared" si="0"/>
        <v>LOWER LEVEL - CREDIT (A &amp; P, PSV, DEVELOPMENTAL EDUCATION AND EPI)</v>
      </c>
      <c r="B30" s="846">
        <f t="shared" si="0"/>
        <v>80.94</v>
      </c>
      <c r="C30" s="1187">
        <v>242.97</v>
      </c>
      <c r="D30" s="1187">
        <v>16.2</v>
      </c>
      <c r="E30" s="847">
        <f>D15</f>
        <v>7.63</v>
      </c>
      <c r="F30" s="1187">
        <v>22.96</v>
      </c>
      <c r="G30" s="1187">
        <v>16.2</v>
      </c>
      <c r="H30" s="842">
        <f>SUM(B30:G30)</f>
        <v>386.89999999999992</v>
      </c>
      <c r="I30" s="437">
        <f>H30*30</f>
        <v>11606.999999999998</v>
      </c>
    </row>
    <row r="31" spans="1:11" s="37" customFormat="1" ht="20.100000000000001" customHeight="1" thickBot="1">
      <c r="A31" s="112" t="str">
        <f t="shared" si="0"/>
        <v>CAREER CERTIFICATE AND APPLIED TECHNOLOGY DIPLOMA</v>
      </c>
      <c r="B31" s="527">
        <f t="shared" si="0"/>
        <v>68.599999999999994</v>
      </c>
      <c r="C31" s="1184">
        <v>205.82</v>
      </c>
      <c r="D31" s="1184">
        <v>0</v>
      </c>
      <c r="E31" s="405"/>
      <c r="F31" s="1184">
        <v>13.72</v>
      </c>
      <c r="G31" s="1184">
        <v>13.72</v>
      </c>
      <c r="H31" s="438">
        <f>SUM(B31:G31)</f>
        <v>301.86</v>
      </c>
      <c r="I31" s="843">
        <f>H31*30</f>
        <v>9055.8000000000011</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39" t="s">
        <v>214</v>
      </c>
      <c r="J33" s="24"/>
      <c r="K33" s="24"/>
    </row>
    <row r="34" spans="1:11" s="37" customFormat="1" ht="20.100000000000001" customHeight="1">
      <c r="A34" s="35" t="str">
        <f>A19</f>
        <v>VOCATIONAL PREPARATORY (PER TERM)</v>
      </c>
      <c r="B34" s="452">
        <f>B19</f>
        <v>0</v>
      </c>
      <c r="C34" s="475"/>
      <c r="D34" s="475"/>
      <c r="E34" s="475"/>
      <c r="F34" s="475"/>
      <c r="G34" s="475"/>
      <c r="H34" s="848">
        <f>B34</f>
        <v>0</v>
      </c>
      <c r="I34" s="469">
        <f>H34*3</f>
        <v>0</v>
      </c>
      <c r="J34" s="453"/>
      <c r="K34" s="453"/>
    </row>
    <row r="35" spans="1:11" s="37" customFormat="1" ht="20.100000000000001" customHeight="1" thickBot="1">
      <c r="A35" s="35" t="str">
        <f>A20</f>
        <v>ADULT GENERAL EDUCATION AND SECONDARY (PER TERM)</v>
      </c>
      <c r="B35" s="849">
        <f>B20</f>
        <v>0</v>
      </c>
      <c r="C35" s="476"/>
      <c r="D35" s="476"/>
      <c r="E35" s="476"/>
      <c r="F35" s="476"/>
      <c r="G35" s="476"/>
      <c r="H35" s="454">
        <f>B35</f>
        <v>0</v>
      </c>
      <c r="I35" s="850">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4"/>
      <c r="D37" s="674"/>
      <c r="E37" s="674"/>
      <c r="F37" s="674"/>
      <c r="G37" s="674"/>
      <c r="H37" s="448">
        <f>B37</f>
        <v>0</v>
      </c>
      <c r="I37" s="468">
        <f>H37*2</f>
        <v>0</v>
      </c>
      <c r="J37" s="24"/>
      <c r="K37" s="24"/>
    </row>
    <row r="38" spans="1:11" s="37" customFormat="1" ht="20.100000000000001" customHeight="1" thickBot="1">
      <c r="A38" s="35" t="str">
        <f>A23</f>
        <v>ADULT GENERAL EDUCATION AND SECONDARY (PER HALF YEAR)</v>
      </c>
      <c r="B38" s="849">
        <f>B23</f>
        <v>0</v>
      </c>
      <c r="C38" s="476"/>
      <c r="D38" s="476"/>
      <c r="E38" s="476"/>
      <c r="F38" s="476"/>
      <c r="G38" s="476"/>
      <c r="H38" s="851">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27" t="s">
        <v>752</v>
      </c>
      <c r="C40" s="1127"/>
      <c r="D40" s="1127"/>
      <c r="E40" s="1127"/>
      <c r="F40" s="1127"/>
      <c r="G40" s="1127"/>
      <c r="H40" s="1127"/>
      <c r="I40" s="1127"/>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70" zoomScaleNormal="70" zoomScaleSheetLayoutView="50" zoomScalePageLayoutView="50" workbookViewId="0">
      <selection activeCell="H62" sqref="H62"/>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29" t="s">
        <v>11</v>
      </c>
      <c r="B2" s="1129"/>
      <c r="C2" s="1129"/>
      <c r="D2" s="1129"/>
      <c r="E2" s="1129"/>
      <c r="F2" s="1129"/>
      <c r="G2" s="1129"/>
      <c r="H2" s="1037"/>
      <c r="I2" s="220"/>
    </row>
    <row r="3" spans="1:10" ht="20.100000000000001" customHeight="1">
      <c r="A3" s="1129" t="s">
        <v>753</v>
      </c>
      <c r="B3" s="1129"/>
      <c r="C3" s="1129"/>
      <c r="D3" s="1129"/>
      <c r="E3" s="1129"/>
      <c r="F3" s="1129"/>
      <c r="G3" s="1129"/>
      <c r="H3" s="1037"/>
    </row>
    <row r="4" spans="1:10" ht="20.100000000000001" customHeight="1">
      <c r="A4" s="422"/>
      <c r="B4" s="422"/>
      <c r="C4" s="422"/>
      <c r="D4" s="422"/>
      <c r="E4" s="422"/>
      <c r="F4" s="422"/>
      <c r="G4" s="422"/>
      <c r="H4" s="369"/>
    </row>
    <row r="5" spans="1:10" ht="27.6" customHeight="1" thickBot="1">
      <c r="A5" s="1129" t="s">
        <v>223</v>
      </c>
      <c r="B5" s="1130" t="str">
        <f>'CHECK SHEET'!D7</f>
        <v>St. Petersburg College</v>
      </c>
      <c r="C5" s="1130"/>
      <c r="D5" s="1130"/>
      <c r="E5" s="1130"/>
      <c r="F5" s="1130"/>
      <c r="G5" s="422"/>
      <c r="H5" s="1128"/>
    </row>
    <row r="6" spans="1:10" ht="20.100000000000001" customHeight="1">
      <c r="A6" s="422"/>
      <c r="B6" s="422"/>
      <c r="C6" s="422"/>
      <c r="D6" s="422"/>
      <c r="E6" s="422"/>
      <c r="F6" s="422"/>
      <c r="G6" s="422"/>
      <c r="H6" s="1128"/>
    </row>
    <row r="7" spans="1:10" ht="20.100000000000001" customHeight="1">
      <c r="A7" s="1034" t="s">
        <v>224</v>
      </c>
      <c r="B7" s="1034"/>
      <c r="C7" s="1034"/>
      <c r="D7" s="1034"/>
      <c r="E7" s="1034"/>
      <c r="F7" s="1034"/>
      <c r="G7" s="1034"/>
      <c r="H7" s="1034"/>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6" t="s">
        <v>205</v>
      </c>
      <c r="B10" s="677" t="s">
        <v>232</v>
      </c>
      <c r="C10" s="678">
        <v>40101</v>
      </c>
      <c r="D10" s="852">
        <v>72675.672731234299</v>
      </c>
      <c r="E10" s="679">
        <v>0</v>
      </c>
      <c r="F10" s="680">
        <f t="shared" ref="F10:F15" si="0">+D10-E10</f>
        <v>72675.672731234299</v>
      </c>
      <c r="G10" s="680">
        <f>'EXHIBIT B'!B14</f>
        <v>91.79</v>
      </c>
      <c r="H10" s="681">
        <f>ROUND(+F10*G10,0)</f>
        <v>6670900</v>
      </c>
      <c r="I10" s="149"/>
      <c r="J10" s="149"/>
    </row>
    <row r="11" spans="1:10" ht="20.100000000000001" customHeight="1">
      <c r="A11" s="853" t="s">
        <v>205</v>
      </c>
      <c r="B11" s="853" t="s">
        <v>133</v>
      </c>
      <c r="C11" s="854" t="s">
        <v>233</v>
      </c>
      <c r="D11" s="852">
        <v>230935.161848282</v>
      </c>
      <c r="E11" s="852">
        <v>0</v>
      </c>
      <c r="F11" s="855">
        <f t="shared" si="0"/>
        <v>230935.161848282</v>
      </c>
      <c r="G11" s="855">
        <f>+'EXHIBIT B'!B15</f>
        <v>80.94</v>
      </c>
      <c r="H11" s="856">
        <f t="shared" ref="H11:H15" si="1">ROUND(+F11*G11,0)</f>
        <v>18691892</v>
      </c>
      <c r="I11" s="149"/>
      <c r="J11" s="149"/>
    </row>
    <row r="12" spans="1:10" ht="20.100000000000001" customHeight="1">
      <c r="A12" s="853" t="s">
        <v>205</v>
      </c>
      <c r="B12" s="853" t="s">
        <v>134</v>
      </c>
      <c r="C12" s="854" t="s">
        <v>234</v>
      </c>
      <c r="D12" s="852">
        <v>108931.257721769</v>
      </c>
      <c r="E12" s="852">
        <v>0</v>
      </c>
      <c r="F12" s="855">
        <f t="shared" si="0"/>
        <v>108931.257721769</v>
      </c>
      <c r="G12" s="855">
        <f>+'EXHIBIT B'!B15</f>
        <v>80.94</v>
      </c>
      <c r="H12" s="856">
        <f t="shared" si="1"/>
        <v>8816896</v>
      </c>
      <c r="I12" s="149"/>
      <c r="J12" s="149"/>
    </row>
    <row r="13" spans="1:10" ht="20.100000000000001" customHeight="1">
      <c r="A13" s="853" t="s">
        <v>205</v>
      </c>
      <c r="B13" s="853" t="s">
        <v>82</v>
      </c>
      <c r="C13" s="854" t="s">
        <v>235</v>
      </c>
      <c r="D13" s="1336">
        <v>6851.8950437317999</v>
      </c>
      <c r="E13" s="857">
        <v>0</v>
      </c>
      <c r="F13" s="855">
        <f t="shared" si="0"/>
        <v>6851.8950437317999</v>
      </c>
      <c r="G13" s="855">
        <f>+'EXHIBIT B'!B16</f>
        <v>68.599999999999994</v>
      </c>
      <c r="H13" s="856">
        <f t="shared" si="1"/>
        <v>470040</v>
      </c>
      <c r="I13" s="149"/>
      <c r="J13" s="149"/>
    </row>
    <row r="14" spans="1:10" ht="20.100000000000001" customHeight="1">
      <c r="A14" s="853" t="s">
        <v>205</v>
      </c>
      <c r="B14" s="853" t="s">
        <v>135</v>
      </c>
      <c r="C14" s="854" t="s">
        <v>236</v>
      </c>
      <c r="D14" s="852">
        <v>13386.903879416899</v>
      </c>
      <c r="E14" s="852">
        <v>0</v>
      </c>
      <c r="F14" s="855">
        <f t="shared" si="0"/>
        <v>13386.903879416899</v>
      </c>
      <c r="G14" s="855">
        <f>+'EXHIBIT B'!B15</f>
        <v>80.94</v>
      </c>
      <c r="H14" s="856">
        <f t="shared" si="1"/>
        <v>1083536</v>
      </c>
      <c r="I14" s="149"/>
      <c r="J14" s="149"/>
    </row>
    <row r="15" spans="1:10" ht="20.100000000000001" customHeight="1" thickBot="1">
      <c r="A15" s="858" t="s">
        <v>205</v>
      </c>
      <c r="B15" s="858" t="s">
        <v>136</v>
      </c>
      <c r="C15" s="859">
        <v>40160</v>
      </c>
      <c r="D15" s="860">
        <v>0</v>
      </c>
      <c r="E15" s="860">
        <v>0</v>
      </c>
      <c r="F15" s="861">
        <f t="shared" si="0"/>
        <v>0</v>
      </c>
      <c r="G15" s="861">
        <f>+'EXHIBIT B'!B15</f>
        <v>80.94</v>
      </c>
      <c r="H15" s="862">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432780.89122443396</v>
      </c>
      <c r="E17" s="386">
        <f>SUM(E10:E15)</f>
        <v>0</v>
      </c>
      <c r="F17" s="387">
        <f>SUM(F10:F15)</f>
        <v>432780.89122443396</v>
      </c>
      <c r="G17" s="387"/>
      <c r="H17" s="388">
        <f>SUM(H10:H15)</f>
        <v>35733264</v>
      </c>
      <c r="I17" s="149"/>
      <c r="J17" s="149"/>
    </row>
    <row r="18" spans="1:10" ht="88.35" customHeight="1" thickBot="1">
      <c r="A18" s="389" t="s">
        <v>238</v>
      </c>
      <c r="B18" s="370" t="s">
        <v>226</v>
      </c>
      <c r="C18" s="378" t="s">
        <v>227</v>
      </c>
      <c r="D18" s="389" t="s">
        <v>239</v>
      </c>
      <c r="E18" s="378" t="s">
        <v>230</v>
      </c>
      <c r="F18" s="379" t="s">
        <v>231</v>
      </c>
    </row>
    <row r="19" spans="1:10" ht="24.95" customHeight="1">
      <c r="A19" s="863" t="s">
        <v>220</v>
      </c>
      <c r="B19" s="863" t="s">
        <v>232</v>
      </c>
      <c r="C19" s="864">
        <v>40301</v>
      </c>
      <c r="D19" s="1188">
        <v>1516.6515442964001</v>
      </c>
      <c r="E19" s="865">
        <f>'EXHIBIT B'!C29</f>
        <v>275.52999999999997</v>
      </c>
      <c r="F19" s="866">
        <f t="shared" ref="F19:F24" si="2">ROUND(+D19*E19,0)</f>
        <v>417883</v>
      </c>
      <c r="G19" s="390"/>
      <c r="H19" s="390"/>
    </row>
    <row r="20" spans="1:10" ht="20.100000000000001" customHeight="1">
      <c r="A20" s="867" t="s">
        <v>220</v>
      </c>
      <c r="B20" s="867" t="s">
        <v>133</v>
      </c>
      <c r="C20" s="868" t="s">
        <v>240</v>
      </c>
      <c r="D20" s="875">
        <v>9953.0682800346003</v>
      </c>
      <c r="E20" s="869">
        <f>+'EXHIBIT B'!C30</f>
        <v>242.97</v>
      </c>
      <c r="F20" s="870">
        <f t="shared" si="2"/>
        <v>2418297</v>
      </c>
      <c r="G20" s="391"/>
      <c r="H20" s="391"/>
    </row>
    <row r="21" spans="1:10" ht="20.100000000000001" customHeight="1">
      <c r="A21" s="867" t="s">
        <v>220</v>
      </c>
      <c r="B21" s="867" t="s">
        <v>134</v>
      </c>
      <c r="C21" s="868" t="s">
        <v>241</v>
      </c>
      <c r="D21" s="875">
        <v>4075.8776803720998</v>
      </c>
      <c r="E21" s="869">
        <f>+'EXHIBIT B'!C30</f>
        <v>242.97</v>
      </c>
      <c r="F21" s="870">
        <f t="shared" si="2"/>
        <v>990316</v>
      </c>
      <c r="G21" s="391"/>
      <c r="H21" s="391"/>
    </row>
    <row r="22" spans="1:10" ht="20.100000000000001" customHeight="1">
      <c r="A22" s="867" t="s">
        <v>220</v>
      </c>
      <c r="B22" s="867" t="s">
        <v>82</v>
      </c>
      <c r="C22" s="868" t="s">
        <v>242</v>
      </c>
      <c r="D22" s="875">
        <v>216.2083373822</v>
      </c>
      <c r="E22" s="869">
        <f>+'EXHIBIT B'!C31</f>
        <v>205.82</v>
      </c>
      <c r="F22" s="870">
        <f t="shared" si="2"/>
        <v>44500</v>
      </c>
      <c r="G22" s="391"/>
      <c r="H22" s="391"/>
    </row>
    <row r="23" spans="1:10" ht="20.100000000000001" customHeight="1">
      <c r="A23" s="867" t="s">
        <v>220</v>
      </c>
      <c r="B23" s="867" t="s">
        <v>135</v>
      </c>
      <c r="C23" s="868" t="s">
        <v>243</v>
      </c>
      <c r="D23" s="875">
        <v>1142.4455694118999</v>
      </c>
      <c r="E23" s="869">
        <f>+'EXHIBIT B'!C30</f>
        <v>242.97</v>
      </c>
      <c r="F23" s="870">
        <f t="shared" si="2"/>
        <v>277580</v>
      </c>
      <c r="G23" s="391"/>
      <c r="H23" s="391"/>
    </row>
    <row r="24" spans="1:10" ht="20.100000000000001" customHeight="1" thickBot="1">
      <c r="A24" s="744" t="s">
        <v>220</v>
      </c>
      <c r="B24" s="744" t="s">
        <v>136</v>
      </c>
      <c r="C24" s="745">
        <v>40360</v>
      </c>
      <c r="D24" s="1189">
        <v>0</v>
      </c>
      <c r="E24" s="746">
        <f>+'EXHIBIT B'!C30</f>
        <v>242.97</v>
      </c>
      <c r="F24" s="747">
        <f t="shared" si="2"/>
        <v>0</v>
      </c>
      <c r="G24" s="391"/>
      <c r="H24" s="391"/>
    </row>
    <row r="25" spans="1:10" ht="20.100000000000001" customHeight="1" thickBot="1">
      <c r="A25" s="392"/>
      <c r="B25" s="392"/>
      <c r="C25" s="392"/>
      <c r="D25" s="392"/>
      <c r="E25" s="393"/>
      <c r="F25" s="394"/>
      <c r="G25" s="59"/>
      <c r="H25" s="59"/>
    </row>
    <row r="26" spans="1:10" ht="20.100000000000001" customHeight="1" thickBot="1">
      <c r="A26" s="871"/>
      <c r="B26" s="871" t="s">
        <v>237</v>
      </c>
      <c r="C26" s="871"/>
      <c r="D26" s="872">
        <f>SUM(D19:D24)</f>
        <v>16904.2514114972</v>
      </c>
      <c r="E26" s="873"/>
      <c r="F26" s="874">
        <f>SUM(F19:F24)</f>
        <v>4148576</v>
      </c>
      <c r="G26" s="395"/>
      <c r="H26" s="395"/>
    </row>
    <row r="27" spans="1:10" ht="20.100000000000001" customHeight="1" thickBot="1">
      <c r="A27" s="396" t="s">
        <v>244</v>
      </c>
      <c r="B27" s="396"/>
      <c r="C27" s="396"/>
      <c r="D27" s="396"/>
      <c r="E27" s="396"/>
      <c r="F27" s="397"/>
      <c r="G27" s="682"/>
      <c r="H27" s="398">
        <f>H17+F26</f>
        <v>39881840</v>
      </c>
    </row>
    <row r="28" spans="1:10" ht="24.95" customHeight="1">
      <c r="I28" s="210"/>
    </row>
    <row r="29" spans="1:10" ht="24.95" customHeight="1">
      <c r="A29" s="1034" t="s">
        <v>245</v>
      </c>
      <c r="B29" s="1034"/>
      <c r="C29" s="1034"/>
      <c r="D29" s="1034"/>
      <c r="E29" s="1034"/>
      <c r="F29" s="1034"/>
      <c r="G29" s="1034"/>
      <c r="H29" s="1034"/>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39" t="s">
        <v>231</v>
      </c>
      <c r="I31" s="210"/>
    </row>
    <row r="32" spans="1:10" ht="20.100000000000001" customHeight="1">
      <c r="A32" s="683" t="s">
        <v>250</v>
      </c>
      <c r="B32" s="683" t="s">
        <v>251</v>
      </c>
      <c r="C32" s="684" t="s">
        <v>252</v>
      </c>
      <c r="D32" s="685">
        <v>0</v>
      </c>
      <c r="E32" s="685">
        <v>0</v>
      </c>
      <c r="F32" s="686">
        <f>D32-E32</f>
        <v>0</v>
      </c>
      <c r="G32" s="686">
        <f>'EXHIBIT B'!B19</f>
        <v>0</v>
      </c>
      <c r="H32" s="687">
        <f>ROUND(+F32*G32,0)</f>
        <v>0</v>
      </c>
    </row>
    <row r="33" spans="1:12" ht="20.100000000000001" customHeight="1">
      <c r="A33" s="867" t="s">
        <v>250</v>
      </c>
      <c r="B33" s="867" t="s">
        <v>253</v>
      </c>
      <c r="C33" s="868" t="s">
        <v>254</v>
      </c>
      <c r="D33" s="875">
        <v>0</v>
      </c>
      <c r="E33" s="875">
        <v>0</v>
      </c>
      <c r="F33" s="869">
        <f>D33-E33</f>
        <v>0</v>
      </c>
      <c r="G33" s="869">
        <f>'EXHIBIT B'!B20</f>
        <v>0</v>
      </c>
      <c r="H33" s="870">
        <f>ROUND(+F33*G33,0)</f>
        <v>0</v>
      </c>
    </row>
    <row r="34" spans="1:12" ht="20.100000000000001" customHeight="1">
      <c r="A34" s="867" t="s">
        <v>255</v>
      </c>
      <c r="B34" s="867" t="s">
        <v>251</v>
      </c>
      <c r="C34" s="868">
        <v>40180</v>
      </c>
      <c r="D34" s="875">
        <v>0</v>
      </c>
      <c r="E34" s="875">
        <v>0</v>
      </c>
      <c r="F34" s="869">
        <f>D34-E34</f>
        <v>0</v>
      </c>
      <c r="G34" s="869">
        <f>'EXHIBIT B'!B22</f>
        <v>0</v>
      </c>
      <c r="H34" s="870">
        <f>ROUND(+F34*G34,0)</f>
        <v>0</v>
      </c>
    </row>
    <row r="35" spans="1:12" ht="20.100000000000001" customHeight="1" thickBot="1">
      <c r="A35" s="876" t="s">
        <v>255</v>
      </c>
      <c r="B35" s="876" t="s">
        <v>253</v>
      </c>
      <c r="C35" s="877">
        <v>40190</v>
      </c>
      <c r="D35" s="878">
        <v>0</v>
      </c>
      <c r="E35" s="878">
        <v>0</v>
      </c>
      <c r="F35" s="879">
        <f>D35-E35</f>
        <v>0</v>
      </c>
      <c r="G35" s="879">
        <f>'EXHIBIT B'!B23</f>
        <v>0</v>
      </c>
      <c r="H35" s="880">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3" t="s">
        <v>250</v>
      </c>
      <c r="B39" s="683" t="s">
        <v>251</v>
      </c>
      <c r="C39" s="684">
        <v>40380</v>
      </c>
      <c r="D39" s="685">
        <v>0</v>
      </c>
      <c r="E39" s="686">
        <f>'EXHIBIT B'!B34</f>
        <v>0</v>
      </c>
      <c r="F39" s="687">
        <f>D39*E39</f>
        <v>0</v>
      </c>
      <c r="G39" s="149"/>
      <c r="H39" s="149"/>
    </row>
    <row r="40" spans="1:12" ht="20.100000000000001" customHeight="1">
      <c r="A40" s="867" t="s">
        <v>250</v>
      </c>
      <c r="B40" s="867" t="s">
        <v>253</v>
      </c>
      <c r="C40" s="868">
        <v>40390</v>
      </c>
      <c r="D40" s="875">
        <v>0</v>
      </c>
      <c r="E40" s="869">
        <f>'EXHIBIT B'!B35</f>
        <v>0</v>
      </c>
      <c r="F40" s="870">
        <f>D40*E40</f>
        <v>0</v>
      </c>
      <c r="G40" s="25"/>
      <c r="H40" s="25"/>
    </row>
    <row r="41" spans="1:12" ht="20.100000000000001" customHeight="1">
      <c r="A41" s="867" t="s">
        <v>255</v>
      </c>
      <c r="B41" s="867" t="s">
        <v>251</v>
      </c>
      <c r="C41" s="868" t="s">
        <v>258</v>
      </c>
      <c r="D41" s="875">
        <v>0</v>
      </c>
      <c r="E41" s="869">
        <f>'EXHIBIT B'!B37</f>
        <v>0</v>
      </c>
      <c r="F41" s="870">
        <f>D41*E41</f>
        <v>0</v>
      </c>
      <c r="G41" s="25"/>
      <c r="H41" s="25"/>
    </row>
    <row r="42" spans="1:12" ht="20.100000000000001" customHeight="1" thickBot="1">
      <c r="A42" s="876" t="s">
        <v>255</v>
      </c>
      <c r="B42" s="876" t="s">
        <v>253</v>
      </c>
      <c r="C42" s="877" t="s">
        <v>259</v>
      </c>
      <c r="D42" s="878">
        <v>0</v>
      </c>
      <c r="E42" s="879">
        <f>'EXHIBIT B'!B38</f>
        <v>0</v>
      </c>
      <c r="F42" s="880">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8">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39881840</v>
      </c>
      <c r="K46" s="19"/>
      <c r="L46" s="19"/>
    </row>
    <row r="47" spans="1:12" ht="24.75" customHeight="1">
      <c r="A47" s="1040"/>
      <c r="B47" s="1040"/>
      <c r="C47" s="1040"/>
      <c r="D47" s="1040"/>
      <c r="E47" s="1040"/>
      <c r="F47" s="1040"/>
      <c r="G47" s="420"/>
      <c r="H47" s="420"/>
      <c r="K47" s="19"/>
      <c r="L47" s="19"/>
    </row>
    <row r="48" spans="1:12" ht="24.95" customHeight="1">
      <c r="A48" s="670" t="s">
        <v>262</v>
      </c>
      <c r="B48" s="20"/>
      <c r="C48" s="20"/>
      <c r="D48" s="20"/>
      <c r="E48" s="20"/>
      <c r="F48" s="20"/>
      <c r="G48" s="20"/>
      <c r="H48" s="366"/>
    </row>
    <row r="49" spans="1:10" ht="24.95" customHeight="1">
      <c r="A49" s="670"/>
      <c r="B49" s="20"/>
      <c r="C49" s="20"/>
      <c r="D49" s="20"/>
      <c r="E49" s="20"/>
      <c r="F49" s="20"/>
      <c r="G49" s="20"/>
    </row>
    <row r="50" spans="1:10" ht="43.35" customHeight="1" thickBot="1">
      <c r="A50" s="1131" t="s">
        <v>263</v>
      </c>
      <c r="B50" s="1131"/>
      <c r="C50" s="20"/>
      <c r="D50" s="20"/>
      <c r="E50" s="20"/>
      <c r="F50" s="20"/>
      <c r="G50" s="20"/>
      <c r="H50" s="20"/>
    </row>
    <row r="51" spans="1:10" ht="44.45" customHeight="1" thickBot="1">
      <c r="A51" s="370" t="s">
        <v>264</v>
      </c>
      <c r="B51" s="370" t="s">
        <v>265</v>
      </c>
      <c r="C51" s="1132" t="s">
        <v>266</v>
      </c>
      <c r="D51" s="1133"/>
      <c r="E51" s="1132" t="s">
        <v>267</v>
      </c>
      <c r="F51" s="1133"/>
      <c r="G51" s="20"/>
      <c r="H51" s="20"/>
    </row>
    <row r="52" spans="1:10" ht="24.95" customHeight="1" thickBot="1">
      <c r="A52" s="371"/>
      <c r="B52" s="372"/>
      <c r="C52" s="689"/>
      <c r="D52" s="690"/>
      <c r="E52" s="689"/>
      <c r="F52" s="690"/>
    </row>
    <row r="53" spans="1:10" ht="24.95" customHeight="1" thickBot="1">
      <c r="A53" s="377" t="s">
        <v>149</v>
      </c>
      <c r="B53" s="373"/>
      <c r="C53" s="691"/>
      <c r="D53" s="692"/>
      <c r="E53" s="691"/>
      <c r="F53" s="692"/>
    </row>
    <row r="54" spans="1:10" ht="24.95" customHeight="1">
      <c r="A54" s="881" t="s">
        <v>725</v>
      </c>
      <c r="B54" s="1190">
        <v>0</v>
      </c>
      <c r="C54" s="1192"/>
      <c r="D54" s="1193"/>
      <c r="E54" s="1192"/>
      <c r="F54" s="1193"/>
    </row>
    <row r="55" spans="1:10" ht="24.95" customHeight="1">
      <c r="A55" s="1337" t="s">
        <v>807</v>
      </c>
      <c r="B55" s="1338">
        <v>155000</v>
      </c>
      <c r="C55" s="1194" t="s">
        <v>808</v>
      </c>
      <c r="D55" s="1195"/>
      <c r="E55" s="1194" t="s">
        <v>809</v>
      </c>
      <c r="F55" s="1195"/>
      <c r="J55" s="109"/>
    </row>
    <row r="56" spans="1:10" ht="24.95" customHeight="1">
      <c r="A56" s="1337" t="s">
        <v>810</v>
      </c>
      <c r="B56" s="1338">
        <v>660000</v>
      </c>
      <c r="C56" s="1194" t="s">
        <v>808</v>
      </c>
      <c r="D56" s="1195"/>
      <c r="E56" s="1194" t="s">
        <v>809</v>
      </c>
      <c r="F56" s="1195"/>
      <c r="I56" s="149"/>
    </row>
    <row r="57" spans="1:10" ht="24.95" customHeight="1">
      <c r="A57" s="1337" t="s">
        <v>811</v>
      </c>
      <c r="B57" s="1338">
        <v>495000</v>
      </c>
      <c r="C57" s="1194" t="s">
        <v>808</v>
      </c>
      <c r="D57" s="1195"/>
      <c r="E57" s="1194" t="s">
        <v>812</v>
      </c>
      <c r="F57" s="1195"/>
      <c r="I57" s="149"/>
    </row>
    <row r="58" spans="1:10" ht="24.95" customHeight="1">
      <c r="A58" s="882"/>
      <c r="B58" s="875">
        <v>0</v>
      </c>
      <c r="C58" s="1194"/>
      <c r="D58" s="1195"/>
      <c r="E58" s="1194"/>
      <c r="F58" s="1195"/>
      <c r="I58" s="149"/>
    </row>
    <row r="59" spans="1:10" ht="24.95" customHeight="1" thickBot="1">
      <c r="A59" s="748"/>
      <c r="B59" s="749">
        <v>0</v>
      </c>
      <c r="C59" s="1196"/>
      <c r="D59" s="1197"/>
      <c r="E59" s="1198"/>
      <c r="F59" s="1199"/>
      <c r="I59" s="149"/>
      <c r="J59" s="111"/>
    </row>
    <row r="60" spans="1:10" ht="24.95" customHeight="1" thickBot="1">
      <c r="A60" s="374" t="s">
        <v>268</v>
      </c>
      <c r="B60" s="375">
        <f>SUM(B54:B59)</f>
        <v>1310000</v>
      </c>
      <c r="C60" s="1200"/>
      <c r="D60" s="1201"/>
      <c r="E60" s="1200"/>
      <c r="F60" s="1201"/>
      <c r="I60" s="421"/>
    </row>
    <row r="61" spans="1:10" ht="24.95" customHeight="1" thickBot="1">
      <c r="A61" s="376"/>
      <c r="B61" s="376"/>
      <c r="C61" s="693"/>
      <c r="D61" s="694"/>
      <c r="E61" s="693"/>
      <c r="F61" s="694"/>
      <c r="I61" s="149"/>
    </row>
    <row r="62" spans="1:10" ht="24.95" customHeight="1" thickBot="1">
      <c r="A62" s="377" t="s">
        <v>146</v>
      </c>
      <c r="B62" s="373"/>
      <c r="C62" s="691"/>
      <c r="D62" s="692"/>
      <c r="E62" s="691"/>
      <c r="F62" s="692"/>
      <c r="I62" s="149"/>
    </row>
    <row r="63" spans="1:10" ht="24.95" customHeight="1">
      <c r="A63" s="881"/>
      <c r="B63" s="1191"/>
      <c r="C63" s="1192"/>
      <c r="D63" s="1193"/>
      <c r="E63" s="1192"/>
      <c r="F63" s="1193"/>
      <c r="I63" s="149"/>
    </row>
    <row r="64" spans="1:10" ht="24.95" customHeight="1">
      <c r="A64" s="1337" t="s">
        <v>813</v>
      </c>
      <c r="B64" s="1338">
        <v>1500000</v>
      </c>
      <c r="C64" s="1194" t="s">
        <v>814</v>
      </c>
      <c r="D64" s="1195"/>
      <c r="E64" s="1194" t="s">
        <v>808</v>
      </c>
      <c r="F64" s="1195"/>
      <c r="I64" s="149"/>
    </row>
    <row r="65" spans="1:9" ht="24.95" customHeight="1">
      <c r="A65" s="1337" t="s">
        <v>815</v>
      </c>
      <c r="B65" s="1338">
        <v>8101252.2199999997</v>
      </c>
      <c r="C65" s="1194" t="s">
        <v>816</v>
      </c>
      <c r="D65" s="1195"/>
      <c r="E65" s="1194" t="s">
        <v>816</v>
      </c>
      <c r="F65" s="1195"/>
      <c r="I65" s="149"/>
    </row>
    <row r="66" spans="1:9" ht="24.95" customHeight="1">
      <c r="A66" s="882"/>
      <c r="B66" s="875">
        <v>0</v>
      </c>
      <c r="C66" s="1194"/>
      <c r="D66" s="1195"/>
      <c r="E66" s="1194"/>
      <c r="F66" s="1195"/>
      <c r="I66" s="149"/>
    </row>
    <row r="67" spans="1:9" ht="24.95" customHeight="1">
      <c r="A67" s="882"/>
      <c r="B67" s="875">
        <v>0</v>
      </c>
      <c r="C67" s="1194"/>
      <c r="D67" s="1195"/>
      <c r="E67" s="1194"/>
      <c r="F67" s="1195"/>
    </row>
    <row r="68" spans="1:9" ht="24.95" customHeight="1" thickBot="1">
      <c r="A68" s="748"/>
      <c r="B68" s="749">
        <v>0</v>
      </c>
      <c r="C68" s="1198"/>
      <c r="D68" s="1199"/>
      <c r="E68" s="1198"/>
      <c r="F68" s="1199"/>
    </row>
    <row r="69" spans="1:9" ht="24.95" customHeight="1" thickBot="1">
      <c r="A69" s="374" t="s">
        <v>269</v>
      </c>
      <c r="B69" s="375">
        <f>SUM(B63:B68)</f>
        <v>9601252.2199999988</v>
      </c>
      <c r="C69" s="1202"/>
      <c r="D69" s="1203"/>
      <c r="E69" s="1202"/>
      <c r="F69" s="1203"/>
    </row>
    <row r="70" spans="1:9" ht="24.95" customHeight="1" thickBot="1">
      <c r="A70" s="374" t="s">
        <v>270</v>
      </c>
      <c r="B70" s="375">
        <f>+B69+B60</f>
        <v>10911252.219999999</v>
      </c>
      <c r="C70" s="1202"/>
      <c r="D70" s="1203"/>
      <c r="E70" s="1204"/>
      <c r="F70" s="120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0" t="s">
        <v>271</v>
      </c>
      <c r="F1" s="368"/>
      <c r="AI1" s="24"/>
    </row>
    <row r="2" spans="1:47" s="37" customFormat="1" ht="24" customHeight="1">
      <c r="A2" s="368"/>
      <c r="B2" s="368"/>
      <c r="C2" s="368"/>
      <c r="D2" s="368"/>
      <c r="E2" s="368"/>
      <c r="F2" s="368"/>
      <c r="AI2" s="24"/>
    </row>
    <row r="3" spans="1:47" s="37" customFormat="1" ht="24" customHeight="1">
      <c r="A3" s="1122" t="s">
        <v>11</v>
      </c>
      <c r="B3" s="1122"/>
      <c r="C3" s="1122"/>
      <c r="D3" s="1122"/>
      <c r="E3" s="1122"/>
      <c r="F3" s="368"/>
    </row>
    <row r="4" spans="1:47" s="37" customFormat="1" ht="23.45" customHeight="1">
      <c r="A4" s="1122" t="s">
        <v>272</v>
      </c>
      <c r="B4" s="1122"/>
      <c r="C4" s="1122"/>
      <c r="D4" s="1122"/>
      <c r="E4" s="1122"/>
      <c r="F4" s="368"/>
    </row>
    <row r="5" spans="1:47" s="37" customFormat="1" ht="23.1" customHeight="1">
      <c r="A5" s="1121"/>
      <c r="B5" s="1121"/>
      <c r="C5" s="1121"/>
      <c r="D5" s="1121"/>
      <c r="E5" s="1121"/>
      <c r="F5" s="368"/>
    </row>
    <row r="6" spans="1:47" s="37" customFormat="1" ht="24.95" customHeight="1">
      <c r="A6" s="1125"/>
      <c r="B6" s="1125"/>
      <c r="C6" s="1125"/>
      <c r="D6" s="1125"/>
      <c r="E6" s="1125"/>
      <c r="F6" s="368"/>
    </row>
    <row r="7" spans="1:47" s="37" customFormat="1" ht="24.95" customHeight="1" thickBot="1">
      <c r="A7" s="1121" t="s">
        <v>223</v>
      </c>
      <c r="B7" s="1126" t="str">
        <f>'CHECK SHEET'!D7</f>
        <v>St. Petersburg College</v>
      </c>
      <c r="C7" s="1126"/>
      <c r="D7" s="1126"/>
      <c r="E7" s="1126"/>
      <c r="F7" s="1036"/>
    </row>
    <row r="8" spans="1:47" s="37" customFormat="1" ht="24.95" customHeight="1">
      <c r="A8" s="1134"/>
      <c r="B8" s="1134"/>
      <c r="C8" s="1134"/>
      <c r="D8" s="1134"/>
      <c r="E8" s="1134"/>
    </row>
    <row r="9" spans="1:47" s="37" customFormat="1" ht="24.95" customHeight="1">
      <c r="A9" s="1135"/>
      <c r="B9" s="1136"/>
      <c r="C9" s="1136"/>
      <c r="D9" s="1136"/>
      <c r="E9" s="1136"/>
    </row>
    <row r="10" spans="1:47" s="37" customFormat="1" ht="42.6" customHeight="1">
      <c r="A10" s="1137" t="s">
        <v>273</v>
      </c>
      <c r="B10" s="1137"/>
      <c r="C10" s="1137"/>
      <c r="D10" s="1137"/>
      <c r="E10" s="1137"/>
    </row>
    <row r="11" spans="1:47" ht="24.95" customHeight="1" thickBot="1">
      <c r="A11" s="536"/>
      <c r="B11" s="536"/>
      <c r="C11" s="536"/>
      <c r="D11" s="536"/>
      <c r="E11" s="536"/>
      <c r="AI11" s="218"/>
      <c r="AT11" s="217"/>
      <c r="AU11" s="217"/>
    </row>
    <row r="12" spans="1:47" s="671" customFormat="1" ht="78" customHeight="1" thickBot="1">
      <c r="A12" s="537" t="s">
        <v>274</v>
      </c>
      <c r="B12" s="537" t="s">
        <v>226</v>
      </c>
      <c r="C12" s="538" t="s">
        <v>275</v>
      </c>
      <c r="D12" s="538" t="s">
        <v>276</v>
      </c>
      <c r="E12" s="538" t="s">
        <v>277</v>
      </c>
    </row>
    <row r="13" spans="1:47" ht="24" customHeight="1">
      <c r="A13" s="539" t="s">
        <v>205</v>
      </c>
      <c r="B13" s="539" t="s">
        <v>232</v>
      </c>
      <c r="C13" s="540">
        <v>40101</v>
      </c>
      <c r="D13" s="695">
        <v>0</v>
      </c>
      <c r="E13" s="695">
        <v>0</v>
      </c>
      <c r="AI13" s="218"/>
    </row>
    <row r="14" spans="1:47" ht="24.95" customHeight="1">
      <c r="A14" s="883" t="s">
        <v>205</v>
      </c>
      <c r="B14" s="883" t="s">
        <v>133</v>
      </c>
      <c r="C14" s="884" t="s">
        <v>233</v>
      </c>
      <c r="D14" s="565">
        <v>0</v>
      </c>
      <c r="E14" s="565">
        <v>0</v>
      </c>
      <c r="AI14" s="218"/>
    </row>
    <row r="15" spans="1:47" ht="24.95" customHeight="1">
      <c r="A15" s="883" t="s">
        <v>205</v>
      </c>
      <c r="B15" s="883" t="s">
        <v>134</v>
      </c>
      <c r="C15" s="884" t="s">
        <v>234</v>
      </c>
      <c r="D15" s="565">
        <v>0</v>
      </c>
      <c r="E15" s="565">
        <v>0</v>
      </c>
      <c r="AI15" s="218"/>
    </row>
    <row r="16" spans="1:47" ht="24.95" customHeight="1">
      <c r="A16" s="883" t="s">
        <v>205</v>
      </c>
      <c r="B16" s="883" t="s">
        <v>82</v>
      </c>
      <c r="C16" s="884" t="s">
        <v>235</v>
      </c>
      <c r="D16" s="565">
        <v>0</v>
      </c>
      <c r="E16" s="565">
        <v>0</v>
      </c>
      <c r="AI16" s="218"/>
    </row>
    <row r="17" spans="1:46" ht="24.95" customHeight="1">
      <c r="A17" s="883" t="s">
        <v>205</v>
      </c>
      <c r="B17" s="883" t="s">
        <v>135</v>
      </c>
      <c r="C17" s="884" t="s">
        <v>236</v>
      </c>
      <c r="D17" s="566">
        <v>0</v>
      </c>
      <c r="E17" s="566">
        <v>0</v>
      </c>
      <c r="AI17" s="218"/>
    </row>
    <row r="18" spans="1:46" ht="24.95" customHeight="1" thickBot="1">
      <c r="A18" s="883" t="s">
        <v>205</v>
      </c>
      <c r="B18" s="883" t="s">
        <v>136</v>
      </c>
      <c r="C18" s="884">
        <v>40160</v>
      </c>
      <c r="D18" s="567">
        <v>0</v>
      </c>
      <c r="E18" s="567">
        <v>0</v>
      </c>
      <c r="AI18" s="218"/>
    </row>
    <row r="19" spans="1:46" ht="24.95" customHeight="1" thickBot="1">
      <c r="A19" s="541"/>
      <c r="B19" s="612"/>
      <c r="C19" s="613"/>
      <c r="D19" s="1206"/>
      <c r="E19" s="1207"/>
      <c r="AI19" s="218"/>
    </row>
    <row r="20" spans="1:46" ht="24.95" customHeight="1" thickBot="1">
      <c r="A20" s="885"/>
      <c r="B20" s="886" t="s">
        <v>237</v>
      </c>
      <c r="C20" s="886"/>
      <c r="D20" s="886"/>
      <c r="E20" s="887">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6" t="s">
        <v>220</v>
      </c>
      <c r="B22" s="614" t="s">
        <v>232</v>
      </c>
      <c r="C22" s="615">
        <v>40301</v>
      </c>
      <c r="D22" s="695">
        <v>0</v>
      </c>
      <c r="E22" s="695">
        <v>0</v>
      </c>
    </row>
    <row r="23" spans="1:46" s="215" customFormat="1" ht="24.95" customHeight="1">
      <c r="A23" s="883" t="s">
        <v>220</v>
      </c>
      <c r="B23" s="750" t="s">
        <v>133</v>
      </c>
      <c r="C23" s="773" t="s">
        <v>240</v>
      </c>
      <c r="D23" s="888">
        <v>0</v>
      </c>
      <c r="E23" s="888">
        <v>0</v>
      </c>
    </row>
    <row r="24" spans="1:46" s="215" customFormat="1" ht="24.95" customHeight="1">
      <c r="A24" s="883" t="s">
        <v>220</v>
      </c>
      <c r="B24" s="750" t="s">
        <v>134</v>
      </c>
      <c r="C24" s="773" t="s">
        <v>241</v>
      </c>
      <c r="D24" s="888">
        <v>0</v>
      </c>
      <c r="E24" s="888">
        <v>0</v>
      </c>
    </row>
    <row r="25" spans="1:46" s="215" customFormat="1" ht="24.95" customHeight="1">
      <c r="A25" s="883" t="s">
        <v>220</v>
      </c>
      <c r="B25" s="750" t="s">
        <v>82</v>
      </c>
      <c r="C25" s="773" t="s">
        <v>242</v>
      </c>
      <c r="D25" s="888">
        <v>0</v>
      </c>
      <c r="E25" s="888">
        <v>0</v>
      </c>
    </row>
    <row r="26" spans="1:46" s="215" customFormat="1" ht="24.95" customHeight="1">
      <c r="A26" s="883" t="s">
        <v>220</v>
      </c>
      <c r="B26" s="750" t="s">
        <v>135</v>
      </c>
      <c r="C26" s="773" t="s">
        <v>243</v>
      </c>
      <c r="D26" s="888">
        <v>0</v>
      </c>
      <c r="E26" s="888">
        <v>0</v>
      </c>
    </row>
    <row r="27" spans="1:46" s="215" customFormat="1" ht="24.95" customHeight="1" thickBot="1">
      <c r="A27" s="479" t="s">
        <v>220</v>
      </c>
      <c r="B27" s="614" t="s">
        <v>136</v>
      </c>
      <c r="C27" s="542">
        <v>40360</v>
      </c>
      <c r="D27" s="567">
        <v>0</v>
      </c>
      <c r="E27" s="568">
        <v>0</v>
      </c>
    </row>
    <row r="28" spans="1:46" ht="24.95" customHeight="1" thickBot="1">
      <c r="A28" s="616"/>
      <c r="B28" s="617"/>
      <c r="C28" s="616"/>
      <c r="D28" s="543"/>
      <c r="E28" s="618"/>
      <c r="AI28" s="218"/>
    </row>
    <row r="29" spans="1:46" ht="24.95" customHeight="1" thickBot="1">
      <c r="A29" s="697"/>
      <c r="B29" s="619" t="s">
        <v>237</v>
      </c>
      <c r="C29" s="544"/>
      <c r="D29" s="544"/>
      <c r="E29" s="620">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3" t="s">
        <v>280</v>
      </c>
      <c r="B32" s="536"/>
      <c r="C32" s="536"/>
      <c r="D32" s="536"/>
      <c r="E32" s="536"/>
      <c r="AI32" s="218"/>
    </row>
    <row r="33" spans="1:46" ht="24.95" customHeight="1">
      <c r="A33" s="1041"/>
      <c r="B33" s="1042"/>
      <c r="C33" s="1042"/>
      <c r="D33" s="1042"/>
      <c r="E33" s="1043"/>
      <c r="AI33" s="218"/>
    </row>
    <row r="34" spans="1:46" ht="24.95" customHeight="1">
      <c r="A34" s="1044"/>
      <c r="B34" s="1045"/>
      <c r="C34" s="1045"/>
      <c r="D34" s="1045"/>
      <c r="E34" s="1046"/>
      <c r="AI34" s="218"/>
    </row>
    <row r="35" spans="1:46" s="545" customFormat="1" ht="24.95" customHeight="1">
      <c r="A35" s="1044"/>
      <c r="B35" s="1045"/>
      <c r="C35" s="1045"/>
      <c r="D35" s="1045"/>
      <c r="E35" s="104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44"/>
      <c r="B36" s="1045"/>
      <c r="C36" s="1045"/>
      <c r="D36" s="1045"/>
      <c r="E36" s="1046"/>
      <c r="AI36" s="218"/>
    </row>
    <row r="37" spans="1:46" ht="24.95" customHeight="1" thickBot="1">
      <c r="A37" s="1047"/>
      <c r="B37" s="1048"/>
      <c r="C37" s="1048"/>
      <c r="D37" s="1048"/>
      <c r="E37" s="1049"/>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zoomScale="70" zoomScaleNormal="70" zoomScaleSheetLayoutView="70" zoomScalePageLayoutView="70" workbookViewId="0">
      <selection activeCell="O214" sqref="O214"/>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38"/>
      <c r="B1" s="1138"/>
      <c r="C1" s="1138"/>
      <c r="D1" s="1138"/>
      <c r="E1" s="1138"/>
      <c r="F1" s="1138"/>
      <c r="G1" s="1139"/>
    </row>
    <row r="2" spans="1:8" ht="30" customHeight="1" thickBot="1">
      <c r="A2" s="1139" t="s">
        <v>183</v>
      </c>
      <c r="B2" s="1126" t="str">
        <f>'CHECK SHEET'!D7</f>
        <v>St. Petersburg College</v>
      </c>
      <c r="C2" s="1126"/>
      <c r="D2" s="1126"/>
      <c r="E2" s="1126"/>
      <c r="F2" s="1126"/>
      <c r="G2" s="1140"/>
    </row>
    <row r="3" spans="1:8" ht="23.1" customHeight="1">
      <c r="A3" s="1122" t="s">
        <v>281</v>
      </c>
      <c r="B3" s="1122"/>
      <c r="C3" s="1122"/>
      <c r="D3" s="1122"/>
      <c r="E3" s="1122"/>
      <c r="F3" s="1122"/>
      <c r="G3" s="1122"/>
    </row>
    <row r="4" spans="1:8" ht="23.45" customHeight="1">
      <c r="A4" s="1122" t="s">
        <v>282</v>
      </c>
      <c r="B4" s="1122"/>
      <c r="C4" s="1122"/>
      <c r="D4" s="1122"/>
      <c r="E4" s="1122"/>
      <c r="F4" s="1122"/>
      <c r="G4" s="1122"/>
    </row>
    <row r="5" spans="1:8" ht="23.45" customHeight="1">
      <c r="A5" s="1122" t="s">
        <v>754</v>
      </c>
      <c r="B5" s="1122"/>
      <c r="C5" s="1122"/>
      <c r="D5" s="1122"/>
      <c r="E5" s="1122"/>
      <c r="F5" s="1122"/>
      <c r="G5" s="1122"/>
    </row>
    <row r="6" spans="1:8" ht="20.100000000000001" customHeight="1">
      <c r="A6" s="1141"/>
      <c r="B6" s="1141"/>
      <c r="C6" s="1141"/>
      <c r="D6" s="1141"/>
      <c r="E6" s="1141"/>
      <c r="F6" s="1141"/>
      <c r="G6" s="1141"/>
    </row>
    <row r="7" spans="1:8" ht="38.450000000000003" customHeight="1">
      <c r="A7" s="1142" t="s">
        <v>283</v>
      </c>
      <c r="B7" s="1142"/>
      <c r="C7" s="1142"/>
      <c r="D7" s="1142"/>
      <c r="E7" s="1142"/>
      <c r="F7" s="1142"/>
      <c r="G7" s="1142"/>
      <c r="H7" s="225"/>
    </row>
    <row r="8" spans="1:8" ht="20.100000000000001" customHeight="1">
      <c r="A8" s="224"/>
      <c r="B8" s="224"/>
      <c r="C8" s="224"/>
      <c r="D8" s="224"/>
      <c r="E8" s="224"/>
      <c r="F8" s="224"/>
      <c r="G8" s="224"/>
      <c r="H8" s="664"/>
    </row>
    <row r="9" spans="1:8" ht="76.349999999999994" customHeight="1">
      <c r="A9" s="644" t="s">
        <v>284</v>
      </c>
      <c r="B9" s="645" t="s">
        <v>285</v>
      </c>
      <c r="C9" s="645"/>
      <c r="D9" s="645"/>
      <c r="E9" s="645"/>
      <c r="F9" s="646" t="s">
        <v>275</v>
      </c>
      <c r="G9" s="647" t="s">
        <v>286</v>
      </c>
      <c r="H9" s="219"/>
    </row>
    <row r="10" spans="1:8" ht="20.100000000000001" customHeight="1">
      <c r="A10" s="665" t="s">
        <v>225</v>
      </c>
      <c r="B10" s="666"/>
      <c r="C10" s="666"/>
      <c r="D10" s="666"/>
      <c r="E10" s="666"/>
      <c r="F10" s="667"/>
      <c r="G10" s="668"/>
      <c r="H10" s="219"/>
    </row>
    <row r="11" spans="1:8" ht="20.100000000000001" customHeight="1">
      <c r="A11" s="624"/>
      <c r="B11" s="226"/>
      <c r="C11" s="226"/>
      <c r="D11" s="226"/>
      <c r="E11" s="226"/>
      <c r="F11" s="227"/>
      <c r="G11" s="228"/>
      <c r="H11" s="219"/>
    </row>
    <row r="12" spans="1:8" ht="20.100000000000001" customHeight="1">
      <c r="A12" s="625" t="s">
        <v>205</v>
      </c>
      <c r="B12" s="229"/>
      <c r="C12" s="229" t="s">
        <v>232</v>
      </c>
      <c r="D12" s="229"/>
      <c r="E12" s="229"/>
      <c r="F12" s="230">
        <v>40101</v>
      </c>
      <c r="G12" s="231">
        <f>+'EXHIBIT C'!H10+'EXHIBIT C(2)'!E13</f>
        <v>6670900</v>
      </c>
      <c r="H12" s="219"/>
    </row>
    <row r="13" spans="1:8" ht="20.100000000000001" customHeight="1">
      <c r="A13" s="624" t="s">
        <v>205</v>
      </c>
      <c r="B13" s="226"/>
      <c r="C13" s="219" t="s">
        <v>133</v>
      </c>
      <c r="D13" s="226"/>
      <c r="E13" s="226"/>
      <c r="F13" s="232" t="s">
        <v>233</v>
      </c>
      <c r="G13" s="231">
        <f>+'EXHIBIT C'!H11+'EXHIBIT C(2)'!E14</f>
        <v>18691892</v>
      </c>
      <c r="H13" s="219"/>
    </row>
    <row r="14" spans="1:8" ht="20.100000000000001" customHeight="1">
      <c r="A14" s="624" t="s">
        <v>205</v>
      </c>
      <c r="B14" s="226"/>
      <c r="C14" s="226" t="s">
        <v>134</v>
      </c>
      <c r="D14" s="226"/>
      <c r="E14" s="226"/>
      <c r="F14" s="232" t="s">
        <v>234</v>
      </c>
      <c r="G14" s="648">
        <f>+'EXHIBIT C'!H12+'EXHIBIT C(2)'!E15</f>
        <v>8816896</v>
      </c>
      <c r="H14" s="219"/>
    </row>
    <row r="15" spans="1:8" ht="20.100000000000001" customHeight="1">
      <c r="A15" s="624" t="s">
        <v>205</v>
      </c>
      <c r="B15" s="226"/>
      <c r="C15" s="233" t="s">
        <v>287</v>
      </c>
      <c r="D15" s="226"/>
      <c r="E15" s="226"/>
      <c r="F15" s="232" t="s">
        <v>235</v>
      </c>
      <c r="G15" s="648">
        <f>+'EXHIBIT C'!H13+'EXHIBIT C(2)'!E16</f>
        <v>470040</v>
      </c>
      <c r="H15" s="219"/>
    </row>
    <row r="16" spans="1:8" ht="20.100000000000001" customHeight="1">
      <c r="A16" s="624" t="s">
        <v>205</v>
      </c>
      <c r="B16" s="226"/>
      <c r="C16" s="233" t="s">
        <v>288</v>
      </c>
      <c r="D16" s="226"/>
      <c r="E16" s="226"/>
      <c r="F16" s="232" t="s">
        <v>236</v>
      </c>
      <c r="G16" s="649">
        <f>+'EXHIBIT C'!H14+'EXHIBIT C(2)'!E17</f>
        <v>1083536</v>
      </c>
      <c r="H16" s="219"/>
    </row>
    <row r="17" spans="1:8" ht="20.100000000000001" customHeight="1">
      <c r="A17" s="624" t="s">
        <v>205</v>
      </c>
      <c r="B17" s="226"/>
      <c r="C17" s="219" t="s">
        <v>136</v>
      </c>
      <c r="D17" s="226"/>
      <c r="E17" s="226"/>
      <c r="F17" s="235">
        <v>40160</v>
      </c>
      <c r="G17" s="649">
        <f>+'EXHIBIT C'!H15+'EXHIBIT C(2)'!E18</f>
        <v>0</v>
      </c>
      <c r="H17" s="219"/>
    </row>
    <row r="18" spans="1:8" ht="20.100000000000001" customHeight="1">
      <c r="A18" s="624"/>
      <c r="B18" s="226"/>
      <c r="C18" s="226"/>
      <c r="D18" s="226"/>
      <c r="E18" s="226"/>
      <c r="F18" s="232"/>
      <c r="G18" s="234"/>
      <c r="H18" s="219"/>
    </row>
    <row r="19" spans="1:8" ht="20.100000000000001" customHeight="1">
      <c r="A19" s="626" t="s">
        <v>289</v>
      </c>
      <c r="B19" s="226"/>
      <c r="C19" s="226"/>
      <c r="D19" s="226"/>
      <c r="E19" s="226"/>
      <c r="F19" s="232"/>
      <c r="G19" s="889">
        <f>SUM(G12:G17)</f>
        <v>35733264</v>
      </c>
      <c r="H19" s="219"/>
    </row>
    <row r="20" spans="1:8" ht="20.100000000000001" customHeight="1">
      <c r="A20" s="624"/>
      <c r="B20" s="226"/>
      <c r="C20" s="226"/>
      <c r="D20" s="226"/>
      <c r="E20" s="226"/>
      <c r="F20" s="232"/>
      <c r="G20" s="236"/>
      <c r="H20" s="219"/>
    </row>
    <row r="21" spans="1:8" ht="20.100000000000001" customHeight="1">
      <c r="A21" s="625" t="s">
        <v>220</v>
      </c>
      <c r="B21" s="229"/>
      <c r="C21" s="229" t="s">
        <v>232</v>
      </c>
      <c r="D21" s="229"/>
      <c r="E21" s="229"/>
      <c r="F21" s="230">
        <v>40301</v>
      </c>
      <c r="G21" s="237">
        <f>+'EXHIBIT C'!F19+'EXHIBIT C(2)'!E22</f>
        <v>417883</v>
      </c>
      <c r="H21" s="661"/>
    </row>
    <row r="22" spans="1:8" ht="20.100000000000001" customHeight="1">
      <c r="A22" s="625" t="s">
        <v>220</v>
      </c>
      <c r="B22" s="226"/>
      <c r="C22" s="219" t="s">
        <v>133</v>
      </c>
      <c r="D22" s="226"/>
      <c r="E22" s="226"/>
      <c r="F22" s="232" t="s">
        <v>240</v>
      </c>
      <c r="G22" s="237">
        <f>+'EXHIBIT C'!F20+'EXHIBIT C(2)'!E23</f>
        <v>2418297</v>
      </c>
      <c r="H22" s="219"/>
    </row>
    <row r="23" spans="1:8" ht="20.100000000000001" customHeight="1">
      <c r="A23" s="625" t="s">
        <v>220</v>
      </c>
      <c r="B23" s="226"/>
      <c r="C23" s="226" t="s">
        <v>134</v>
      </c>
      <c r="D23" s="226"/>
      <c r="E23" s="226"/>
      <c r="F23" s="232" t="s">
        <v>241</v>
      </c>
      <c r="G23" s="242">
        <f>+'EXHIBIT C'!F21+'EXHIBIT C(2)'!E24</f>
        <v>990316</v>
      </c>
      <c r="H23" s="219"/>
    </row>
    <row r="24" spans="1:8" ht="20.100000000000001" customHeight="1">
      <c r="A24" s="625" t="s">
        <v>220</v>
      </c>
      <c r="B24" s="226"/>
      <c r="C24" s="233" t="s">
        <v>287</v>
      </c>
      <c r="D24" s="226"/>
      <c r="E24" s="226"/>
      <c r="F24" s="232" t="s">
        <v>242</v>
      </c>
      <c r="G24" s="242">
        <f>+'EXHIBIT C'!F22+'EXHIBIT C(2)'!E25</f>
        <v>44500</v>
      </c>
      <c r="H24" s="219"/>
    </row>
    <row r="25" spans="1:8" ht="20.100000000000001" customHeight="1">
      <c r="A25" s="625" t="s">
        <v>220</v>
      </c>
      <c r="B25" s="226"/>
      <c r="C25" s="233" t="s">
        <v>288</v>
      </c>
      <c r="D25" s="226"/>
      <c r="E25" s="226"/>
      <c r="F25" s="232" t="s">
        <v>243</v>
      </c>
      <c r="G25" s="242">
        <f>+'EXHIBIT C'!F23+'EXHIBIT C(2)'!E26</f>
        <v>277580</v>
      </c>
      <c r="H25" s="219"/>
    </row>
    <row r="26" spans="1:8" ht="20.100000000000001" customHeight="1">
      <c r="A26" s="625" t="s">
        <v>220</v>
      </c>
      <c r="B26" s="226"/>
      <c r="C26" s="219" t="s">
        <v>136</v>
      </c>
      <c r="D26" s="226"/>
      <c r="E26" s="226"/>
      <c r="F26" s="235">
        <v>40360</v>
      </c>
      <c r="G26" s="242">
        <f>+'EXHIBIT C'!F24+'EXHIBIT C(2)'!E27</f>
        <v>0</v>
      </c>
      <c r="H26" s="219"/>
    </row>
    <row r="27" spans="1:8" ht="20.100000000000001" customHeight="1">
      <c r="A27" s="624"/>
      <c r="B27" s="226"/>
      <c r="C27" s="226"/>
      <c r="D27" s="226"/>
      <c r="E27" s="226"/>
      <c r="F27" s="232"/>
      <c r="G27" s="238"/>
      <c r="H27" s="219"/>
    </row>
    <row r="28" spans="1:8" ht="20.100000000000001" customHeight="1">
      <c r="A28" s="626" t="s">
        <v>290</v>
      </c>
      <c r="B28" s="226"/>
      <c r="C28" s="226"/>
      <c r="D28" s="226"/>
      <c r="E28" s="226"/>
      <c r="F28" s="232"/>
      <c r="G28" s="890">
        <f>SUM(G21:G26)</f>
        <v>4148576</v>
      </c>
      <c r="H28" s="219"/>
    </row>
    <row r="29" spans="1:8" ht="20.100000000000001" customHeight="1">
      <c r="A29" s="624"/>
      <c r="B29" s="226"/>
      <c r="C29" s="226"/>
      <c r="D29" s="226"/>
      <c r="E29" s="226"/>
      <c r="F29" s="232"/>
      <c r="G29" s="239"/>
      <c r="H29" s="219"/>
    </row>
    <row r="30" spans="1:8" ht="20.100000000000001" customHeight="1">
      <c r="A30" s="624" t="s">
        <v>291</v>
      </c>
      <c r="B30" s="226"/>
      <c r="C30" s="1051" t="s">
        <v>251</v>
      </c>
      <c r="D30" s="1051"/>
      <c r="E30" s="1051"/>
      <c r="F30" s="232" t="s">
        <v>252</v>
      </c>
      <c r="G30" s="240">
        <f>'EXHIBIT C'!H32</f>
        <v>0</v>
      </c>
      <c r="H30" s="219"/>
    </row>
    <row r="31" spans="1:8" ht="20.100000000000001" customHeight="1">
      <c r="A31" s="624" t="s">
        <v>291</v>
      </c>
      <c r="B31" s="226"/>
      <c r="C31" s="219" t="s">
        <v>253</v>
      </c>
      <c r="D31" s="226"/>
      <c r="E31" s="226"/>
      <c r="F31" s="232" t="s">
        <v>254</v>
      </c>
      <c r="G31" s="240">
        <f>'EXHIBIT C'!H33</f>
        <v>0</v>
      </c>
      <c r="H31" s="219"/>
    </row>
    <row r="32" spans="1:8" ht="20.100000000000001" customHeight="1">
      <c r="A32" s="624" t="s">
        <v>292</v>
      </c>
      <c r="B32" s="226"/>
      <c r="C32" s="226" t="s">
        <v>251</v>
      </c>
      <c r="D32" s="226"/>
      <c r="E32" s="226"/>
      <c r="F32" s="232" t="s">
        <v>252</v>
      </c>
      <c r="G32" s="240">
        <f>'EXHIBIT C'!H34</f>
        <v>0</v>
      </c>
      <c r="H32" s="219"/>
    </row>
    <row r="33" spans="1:8" ht="20.100000000000001" customHeight="1">
      <c r="A33" s="624" t="s">
        <v>292</v>
      </c>
      <c r="B33" s="226"/>
      <c r="C33" s="219" t="s">
        <v>253</v>
      </c>
      <c r="D33" s="226"/>
      <c r="E33" s="226"/>
      <c r="F33" s="232" t="s">
        <v>254</v>
      </c>
      <c r="G33" s="240">
        <f>'EXHIBIT C'!H35</f>
        <v>0</v>
      </c>
      <c r="H33" s="219"/>
    </row>
    <row r="34" spans="1:8" ht="20.100000000000001" customHeight="1">
      <c r="A34" s="624"/>
      <c r="B34" s="226"/>
      <c r="C34" s="226"/>
      <c r="D34" s="226"/>
      <c r="E34" s="226"/>
      <c r="F34" s="232"/>
      <c r="G34" s="241"/>
      <c r="H34" s="219"/>
    </row>
    <row r="35" spans="1:8" ht="20.100000000000001" customHeight="1">
      <c r="A35" s="626" t="s">
        <v>293</v>
      </c>
      <c r="B35" s="226"/>
      <c r="C35" s="226"/>
      <c r="D35" s="226"/>
      <c r="E35" s="226"/>
      <c r="F35" s="232"/>
      <c r="G35" s="890">
        <f>SUM(G30:G33)</f>
        <v>0</v>
      </c>
      <c r="H35" s="219"/>
    </row>
    <row r="36" spans="1:8" ht="20.100000000000001" customHeight="1">
      <c r="A36" s="624"/>
      <c r="B36" s="226"/>
      <c r="C36" s="226"/>
      <c r="D36" s="226"/>
      <c r="E36" s="226"/>
      <c r="F36" s="232"/>
      <c r="G36" s="238"/>
      <c r="H36" s="219"/>
    </row>
    <row r="37" spans="1:8" ht="20.100000000000001" customHeight="1">
      <c r="A37" s="624" t="s">
        <v>294</v>
      </c>
      <c r="B37" s="226"/>
      <c r="C37" s="226" t="s">
        <v>251</v>
      </c>
      <c r="D37" s="226"/>
      <c r="E37" s="226"/>
      <c r="F37" s="232" t="s">
        <v>258</v>
      </c>
      <c r="G37" s="242">
        <f>'EXHIBIT C'!F39</f>
        <v>0</v>
      </c>
      <c r="H37" s="219"/>
    </row>
    <row r="38" spans="1:8" ht="20.100000000000001" customHeight="1">
      <c r="A38" s="624" t="s">
        <v>294</v>
      </c>
      <c r="B38" s="226"/>
      <c r="C38" s="1052" t="s">
        <v>253</v>
      </c>
      <c r="D38" s="1052"/>
      <c r="E38" s="1052"/>
      <c r="F38" s="232" t="s">
        <v>259</v>
      </c>
      <c r="G38" s="242">
        <f>'EXHIBIT C'!F40</f>
        <v>0</v>
      </c>
      <c r="H38" s="219"/>
    </row>
    <row r="39" spans="1:8" ht="20.100000000000001" customHeight="1">
      <c r="A39" s="624" t="s">
        <v>295</v>
      </c>
      <c r="B39" s="226"/>
      <c r="C39" s="226" t="s">
        <v>251</v>
      </c>
      <c r="D39" s="226"/>
      <c r="E39" s="226"/>
      <c r="F39" s="232" t="s">
        <v>258</v>
      </c>
      <c r="G39" s="242">
        <f>'EXHIBIT C'!F41</f>
        <v>0</v>
      </c>
      <c r="H39" s="219"/>
    </row>
    <row r="40" spans="1:8" ht="20.100000000000001" customHeight="1">
      <c r="A40" s="624" t="s">
        <v>295</v>
      </c>
      <c r="B40" s="226"/>
      <c r="C40" s="1052" t="s">
        <v>253</v>
      </c>
      <c r="D40" s="1052"/>
      <c r="E40" s="1052"/>
      <c r="F40" s="232" t="s">
        <v>259</v>
      </c>
      <c r="G40" s="242">
        <f>'EXHIBIT C'!F42</f>
        <v>0</v>
      </c>
      <c r="H40" s="219"/>
    </row>
    <row r="41" spans="1:8" ht="20.100000000000001" customHeight="1">
      <c r="A41" s="624"/>
      <c r="B41" s="226"/>
      <c r="C41" s="226"/>
      <c r="D41" s="226"/>
      <c r="E41" s="226"/>
      <c r="F41" s="232"/>
      <c r="G41" s="238"/>
      <c r="H41" s="219"/>
    </row>
    <row r="42" spans="1:8" ht="20.100000000000001" customHeight="1">
      <c r="A42" s="626" t="s">
        <v>296</v>
      </c>
      <c r="B42" s="226"/>
      <c r="C42" s="226"/>
      <c r="D42" s="226"/>
      <c r="E42" s="226"/>
      <c r="F42" s="232"/>
      <c r="G42" s="890">
        <f>SUM(G37:G41)</f>
        <v>0</v>
      </c>
      <c r="H42" s="219"/>
    </row>
    <row r="43" spans="1:8" ht="20.100000000000001" customHeight="1">
      <c r="A43" s="624"/>
      <c r="B43" s="226"/>
      <c r="C43" s="226"/>
      <c r="D43" s="226"/>
      <c r="E43" s="226"/>
      <c r="F43" s="232"/>
      <c r="G43" s="239"/>
      <c r="H43" s="219"/>
    </row>
    <row r="44" spans="1:8" ht="20.100000000000001" customHeight="1">
      <c r="A44" s="626" t="s">
        <v>297</v>
      </c>
      <c r="B44" s="226"/>
      <c r="C44" s="226"/>
      <c r="D44" s="226"/>
      <c r="E44" s="226"/>
      <c r="F44" s="232"/>
      <c r="G44" s="891">
        <f>G19+G28+G35+G42</f>
        <v>39881840</v>
      </c>
      <c r="H44" s="219"/>
    </row>
    <row r="45" spans="1:8" ht="20.100000000000001" customHeight="1">
      <c r="A45" s="624"/>
      <c r="B45" s="226"/>
      <c r="C45" s="226"/>
      <c r="D45" s="226"/>
      <c r="E45" s="226"/>
      <c r="F45" s="232"/>
      <c r="G45" s="238"/>
      <c r="H45" s="219"/>
    </row>
    <row r="46" spans="1:8" ht="20.100000000000001" customHeight="1">
      <c r="A46" s="624" t="s">
        <v>298</v>
      </c>
      <c r="B46" s="226"/>
      <c r="C46" s="226"/>
      <c r="D46" s="226"/>
      <c r="E46" s="226"/>
      <c r="F46" s="232" t="s">
        <v>299</v>
      </c>
      <c r="G46" s="569">
        <v>0</v>
      </c>
      <c r="H46" s="219"/>
    </row>
    <row r="47" spans="1:8" ht="20.100000000000001" customHeight="1">
      <c r="A47" s="624" t="s">
        <v>300</v>
      </c>
      <c r="B47" s="243"/>
      <c r="C47" s="243"/>
      <c r="D47" s="243"/>
      <c r="E47" s="243"/>
      <c r="F47" s="244" t="s">
        <v>301</v>
      </c>
      <c r="G47" s="569">
        <v>1755012</v>
      </c>
      <c r="H47" s="661"/>
    </row>
    <row r="48" spans="1:8" ht="20.100000000000001" customHeight="1">
      <c r="A48" s="624" t="s">
        <v>302</v>
      </c>
      <c r="B48" s="219"/>
      <c r="C48" s="243"/>
      <c r="D48" s="243"/>
      <c r="E48" s="243"/>
      <c r="F48" s="244" t="s">
        <v>303</v>
      </c>
      <c r="G48" s="569">
        <v>0</v>
      </c>
      <c r="H48" s="661"/>
    </row>
    <row r="49" spans="1:8" ht="20.100000000000001" customHeight="1">
      <c r="A49" s="624" t="s">
        <v>304</v>
      </c>
      <c r="B49" s="226"/>
      <c r="C49" s="226"/>
      <c r="D49" s="226"/>
      <c r="E49" s="226"/>
      <c r="F49" s="245" t="s">
        <v>305</v>
      </c>
      <c r="G49" s="569">
        <v>0</v>
      </c>
      <c r="H49" s="219"/>
    </row>
    <row r="50" spans="1:8" ht="20.100000000000001" customHeight="1">
      <c r="A50" s="624" t="s">
        <v>306</v>
      </c>
      <c r="B50" s="226"/>
      <c r="C50" s="226"/>
      <c r="D50" s="226"/>
      <c r="E50" s="226"/>
      <c r="F50" s="245" t="s">
        <v>307</v>
      </c>
      <c r="G50" s="569">
        <v>2806882</v>
      </c>
      <c r="H50" s="219"/>
    </row>
    <row r="51" spans="1:8" ht="20.100000000000001" customHeight="1">
      <c r="A51" s="624" t="s">
        <v>308</v>
      </c>
      <c r="B51" s="226"/>
      <c r="C51" s="226"/>
      <c r="D51" s="226"/>
      <c r="E51" s="226"/>
      <c r="F51" s="230">
        <v>40450</v>
      </c>
      <c r="G51" s="569">
        <v>4693440</v>
      </c>
      <c r="H51" s="219"/>
    </row>
    <row r="52" spans="1:8" ht="20.100000000000001" customHeight="1">
      <c r="A52" s="624" t="s">
        <v>309</v>
      </c>
      <c r="B52" s="226"/>
      <c r="C52" s="226"/>
      <c r="D52" s="226"/>
      <c r="E52" s="226"/>
      <c r="F52" s="245" t="s">
        <v>310</v>
      </c>
      <c r="G52" s="569">
        <v>500000</v>
      </c>
      <c r="H52" s="219"/>
    </row>
    <row r="53" spans="1:8" ht="20.100000000000001" customHeight="1">
      <c r="A53" s="625" t="s">
        <v>311</v>
      </c>
      <c r="B53" s="229"/>
      <c r="C53" s="229"/>
      <c r="D53" s="229"/>
      <c r="E53" s="229"/>
      <c r="F53" s="244" t="s">
        <v>312</v>
      </c>
      <c r="G53" s="569">
        <v>0</v>
      </c>
      <c r="H53" s="219"/>
    </row>
    <row r="54" spans="1:8" ht="20.100000000000001" customHeight="1">
      <c r="A54" s="625" t="s">
        <v>313</v>
      </c>
      <c r="B54" s="229"/>
      <c r="C54" s="229"/>
      <c r="D54" s="229"/>
      <c r="E54" s="229"/>
      <c r="F54" s="245" t="s">
        <v>314</v>
      </c>
      <c r="G54" s="569">
        <v>0</v>
      </c>
      <c r="H54" s="219"/>
    </row>
    <row r="55" spans="1:8" ht="20.100000000000001" customHeight="1">
      <c r="A55" s="625" t="s">
        <v>315</v>
      </c>
      <c r="B55" s="229"/>
      <c r="C55" s="229"/>
      <c r="D55" s="229"/>
      <c r="E55" s="229"/>
      <c r="F55" s="244" t="s">
        <v>316</v>
      </c>
      <c r="G55" s="569">
        <v>0</v>
      </c>
      <c r="H55" s="219"/>
    </row>
    <row r="56" spans="1:8" ht="20.100000000000001" customHeight="1">
      <c r="A56" s="625" t="s">
        <v>317</v>
      </c>
      <c r="B56" s="229"/>
      <c r="C56" s="229"/>
      <c r="D56" s="229"/>
      <c r="E56" s="229"/>
      <c r="F56" s="245" t="s">
        <v>318</v>
      </c>
      <c r="G56" s="569">
        <v>96500</v>
      </c>
      <c r="H56" s="219"/>
    </row>
    <row r="57" spans="1:8" ht="20.100000000000001" customHeight="1">
      <c r="A57" s="625" t="s">
        <v>319</v>
      </c>
      <c r="B57" s="229"/>
      <c r="C57" s="229"/>
      <c r="D57" s="229"/>
      <c r="E57" s="229"/>
      <c r="F57" s="245" t="s">
        <v>320</v>
      </c>
      <c r="G57" s="569">
        <v>0</v>
      </c>
      <c r="H57" s="219"/>
    </row>
    <row r="58" spans="1:8" ht="20.100000000000001" customHeight="1">
      <c r="A58" s="625" t="s">
        <v>321</v>
      </c>
      <c r="B58" s="229"/>
      <c r="C58" s="229"/>
      <c r="D58" s="229"/>
      <c r="E58" s="229"/>
      <c r="F58" s="246" t="s">
        <v>322</v>
      </c>
      <c r="G58" s="569">
        <v>2035406</v>
      </c>
      <c r="H58" s="219"/>
    </row>
    <row r="59" spans="1:8" ht="20.100000000000001" customHeight="1">
      <c r="A59" s="625" t="s">
        <v>323</v>
      </c>
      <c r="B59" s="229"/>
      <c r="C59" s="229"/>
      <c r="D59" s="229"/>
      <c r="E59" s="229"/>
      <c r="F59" s="245" t="s">
        <v>324</v>
      </c>
      <c r="G59" s="569">
        <f>202500+10000</f>
        <v>212500</v>
      </c>
      <c r="H59" s="219"/>
    </row>
    <row r="60" spans="1:8" ht="20.100000000000001" customHeight="1">
      <c r="A60" s="625" t="s">
        <v>325</v>
      </c>
      <c r="B60" s="229"/>
      <c r="C60" s="229"/>
      <c r="D60" s="229"/>
      <c r="E60" s="229"/>
      <c r="F60" s="244" t="s">
        <v>326</v>
      </c>
      <c r="G60" s="569">
        <v>0</v>
      </c>
      <c r="H60" s="219"/>
    </row>
    <row r="61" spans="1:8" ht="20.100000000000001" customHeight="1">
      <c r="A61" s="625" t="s">
        <v>327</v>
      </c>
      <c r="B61" s="229"/>
      <c r="C61" s="229"/>
      <c r="D61" s="229"/>
      <c r="E61" s="229"/>
      <c r="F61" s="244" t="s">
        <v>328</v>
      </c>
      <c r="G61" s="569">
        <v>0</v>
      </c>
      <c r="H61" s="219"/>
    </row>
    <row r="62" spans="1:8" ht="20.100000000000001" customHeight="1">
      <c r="A62" s="624"/>
      <c r="B62" s="226"/>
      <c r="C62" s="226"/>
      <c r="D62" s="226"/>
      <c r="E62" s="226"/>
      <c r="F62" s="232"/>
      <c r="G62" s="892"/>
      <c r="H62" s="219"/>
    </row>
    <row r="63" spans="1:8" ht="20.100000000000001" customHeight="1">
      <c r="A63" s="626" t="s">
        <v>329</v>
      </c>
      <c r="B63" s="226"/>
      <c r="C63" s="226"/>
      <c r="D63" s="226"/>
      <c r="E63" s="226"/>
      <c r="F63" s="232"/>
      <c r="G63" s="893">
        <f>SUM(G44:G61)</f>
        <v>51981580</v>
      </c>
      <c r="H63" s="219"/>
    </row>
    <row r="64" spans="1:8" ht="20.100000000000001" customHeight="1">
      <c r="A64" s="624"/>
      <c r="B64" s="226"/>
      <c r="C64" s="226"/>
      <c r="D64" s="226"/>
      <c r="E64" s="226"/>
      <c r="F64" s="232"/>
      <c r="G64" s="238"/>
      <c r="H64" s="219"/>
    </row>
    <row r="65" spans="1:8" ht="20.100000000000001" customHeight="1">
      <c r="A65" s="1053" t="s">
        <v>330</v>
      </c>
      <c r="B65" s="1054"/>
      <c r="C65" s="1054"/>
      <c r="D65" s="1054"/>
      <c r="E65" s="1054"/>
      <c r="F65" s="1055"/>
      <c r="G65" s="894"/>
      <c r="H65" s="219"/>
    </row>
    <row r="66" spans="1:8" ht="20.100000000000001" customHeight="1">
      <c r="A66" s="624"/>
      <c r="B66" s="226"/>
      <c r="C66" s="226"/>
      <c r="D66" s="226"/>
      <c r="E66" s="226"/>
      <c r="F66" s="232"/>
      <c r="G66" s="238"/>
      <c r="H66" s="219"/>
    </row>
    <row r="67" spans="1:8" ht="20.100000000000001" customHeight="1">
      <c r="A67" s="624" t="s">
        <v>331</v>
      </c>
      <c r="B67" s="226"/>
      <c r="C67" s="226"/>
      <c r="D67" s="226"/>
      <c r="E67" s="226"/>
      <c r="F67" s="232" t="s">
        <v>332</v>
      </c>
      <c r="G67" s="569">
        <v>0</v>
      </c>
      <c r="H67" s="219"/>
    </row>
    <row r="68" spans="1:8" ht="20.100000000000001" customHeight="1">
      <c r="A68" s="624" t="s">
        <v>333</v>
      </c>
      <c r="B68" s="226"/>
      <c r="C68" s="226"/>
      <c r="D68" s="226"/>
      <c r="E68" s="226"/>
      <c r="F68" s="232" t="s">
        <v>334</v>
      </c>
      <c r="G68" s="569">
        <f>948400+2100000</f>
        <v>3048400</v>
      </c>
      <c r="H68" s="219"/>
    </row>
    <row r="69" spans="1:8" ht="20.100000000000001" customHeight="1">
      <c r="A69" s="624" t="s">
        <v>335</v>
      </c>
      <c r="B69" s="226"/>
      <c r="C69" s="226"/>
      <c r="D69" s="226"/>
      <c r="E69" s="226"/>
      <c r="F69" s="232" t="s">
        <v>336</v>
      </c>
      <c r="G69" s="569">
        <v>8000</v>
      </c>
      <c r="H69" s="219"/>
    </row>
    <row r="70" spans="1:8" ht="20.100000000000001" customHeight="1">
      <c r="A70" s="624"/>
      <c r="B70" s="226"/>
      <c r="C70" s="226"/>
      <c r="D70" s="226"/>
      <c r="E70" s="226"/>
      <c r="F70" s="232"/>
      <c r="G70" s="892"/>
      <c r="H70" s="219"/>
    </row>
    <row r="71" spans="1:8" ht="20.100000000000001" customHeight="1">
      <c r="A71" s="626" t="s">
        <v>337</v>
      </c>
      <c r="B71" s="226"/>
      <c r="C71" s="226"/>
      <c r="D71" s="226"/>
      <c r="E71" s="226"/>
      <c r="F71" s="232"/>
      <c r="G71" s="276">
        <f>SUM(G67:G69)</f>
        <v>3056400</v>
      </c>
      <c r="H71" s="219"/>
    </row>
    <row r="72" spans="1:8" ht="20.100000000000001" customHeight="1">
      <c r="A72" s="895"/>
      <c r="B72" s="707"/>
      <c r="C72" s="707"/>
      <c r="D72" s="707"/>
      <c r="E72" s="707"/>
      <c r="F72" s="708"/>
      <c r="G72" s="896"/>
      <c r="H72" s="219"/>
    </row>
    <row r="73" spans="1:8" ht="20.100000000000001" customHeight="1">
      <c r="A73" s="1053" t="s">
        <v>338</v>
      </c>
      <c r="B73" s="1054"/>
      <c r="C73" s="1054"/>
      <c r="D73" s="1054"/>
      <c r="E73" s="1054"/>
      <c r="F73" s="1055"/>
      <c r="G73" s="774"/>
      <c r="H73" s="219"/>
    </row>
    <row r="74" spans="1:8" ht="20.100000000000001" customHeight="1">
      <c r="A74" s="624"/>
      <c r="B74" s="226"/>
      <c r="C74" s="226"/>
      <c r="D74" s="226"/>
      <c r="E74" s="226"/>
      <c r="F74" s="232"/>
      <c r="G74" s="247"/>
      <c r="H74" s="219"/>
    </row>
    <row r="75" spans="1:8" ht="20.100000000000001" customHeight="1">
      <c r="A75" s="624" t="s">
        <v>339</v>
      </c>
      <c r="B75" s="226"/>
      <c r="C75" s="226"/>
      <c r="D75" s="226"/>
      <c r="E75" s="226"/>
      <c r="F75" s="232" t="s">
        <v>340</v>
      </c>
      <c r="G75" s="650">
        <f>'CHECK SHEET'!D102</f>
        <v>71617032.119900003</v>
      </c>
      <c r="H75" s="219"/>
    </row>
    <row r="76" spans="1:8" ht="20.100000000000001" customHeight="1">
      <c r="A76" s="624" t="s">
        <v>798</v>
      </c>
      <c r="B76" s="226"/>
      <c r="C76" s="226"/>
      <c r="D76" s="226"/>
      <c r="E76" s="226"/>
      <c r="F76" s="235">
        <v>42130</v>
      </c>
      <c r="G76" s="651">
        <v>2458648</v>
      </c>
      <c r="H76" s="219"/>
    </row>
    <row r="77" spans="1:8" ht="20.100000000000001" customHeight="1">
      <c r="A77" s="627" t="s">
        <v>341</v>
      </c>
      <c r="B77" s="628"/>
      <c r="C77" s="628"/>
      <c r="D77" s="628"/>
      <c r="E77" s="628"/>
      <c r="F77" s="248" t="s">
        <v>342</v>
      </c>
      <c r="G77" s="652">
        <v>1599416</v>
      </c>
      <c r="H77" s="219"/>
    </row>
    <row r="78" spans="1:8" ht="20.100000000000001" customHeight="1">
      <c r="A78" s="627" t="s">
        <v>343</v>
      </c>
      <c r="B78" s="628"/>
      <c r="C78" s="628"/>
      <c r="D78" s="628"/>
      <c r="E78" s="628"/>
      <c r="F78" s="248" t="s">
        <v>344</v>
      </c>
      <c r="G78" s="651">
        <v>0</v>
      </c>
      <c r="H78" s="219"/>
    </row>
    <row r="79" spans="1:8" ht="20.100000000000001" customHeight="1">
      <c r="A79" s="624" t="s">
        <v>345</v>
      </c>
      <c r="B79" s="226"/>
      <c r="C79" s="226"/>
      <c r="D79" s="226"/>
      <c r="E79" s="226"/>
      <c r="F79" s="232" t="s">
        <v>346</v>
      </c>
      <c r="G79" s="651">
        <v>0</v>
      </c>
      <c r="H79" s="219"/>
    </row>
    <row r="80" spans="1:8" ht="20.100000000000001" customHeight="1">
      <c r="A80" s="624" t="s">
        <v>347</v>
      </c>
      <c r="B80" s="226"/>
      <c r="C80" s="226"/>
      <c r="D80" s="226"/>
      <c r="E80" s="226"/>
      <c r="F80" s="232" t="s">
        <v>348</v>
      </c>
      <c r="G80" s="651">
        <v>700000</v>
      </c>
      <c r="H80" s="219"/>
    </row>
    <row r="81" spans="1:10" ht="20.100000000000001" customHeight="1">
      <c r="A81" s="624" t="s">
        <v>349</v>
      </c>
      <c r="B81" s="226"/>
      <c r="C81" s="226"/>
      <c r="D81" s="226"/>
      <c r="E81" s="226"/>
      <c r="F81" s="232" t="s">
        <v>350</v>
      </c>
      <c r="G81" s="650">
        <f>'CHECK SHEET'!D104</f>
        <v>14743060</v>
      </c>
      <c r="H81" s="219"/>
    </row>
    <row r="82" spans="1:10" ht="20.100000000000001" customHeight="1">
      <c r="A82" s="629" t="s">
        <v>351</v>
      </c>
      <c r="B82" s="630"/>
      <c r="C82" s="630"/>
      <c r="D82" s="630"/>
      <c r="E82" s="630"/>
      <c r="F82" s="247" t="s">
        <v>352</v>
      </c>
      <c r="G82" s="651">
        <v>0</v>
      </c>
      <c r="H82" s="219"/>
    </row>
    <row r="83" spans="1:10" ht="20.100000000000001" customHeight="1">
      <c r="A83" s="624" t="s">
        <v>353</v>
      </c>
      <c r="B83" s="226"/>
      <c r="C83" s="226"/>
      <c r="D83" s="226"/>
      <c r="E83" s="226"/>
      <c r="F83" s="232" t="s">
        <v>354</v>
      </c>
      <c r="G83" s="651">
        <v>50000</v>
      </c>
      <c r="H83" s="219"/>
    </row>
    <row r="84" spans="1:10" ht="20.100000000000001" customHeight="1">
      <c r="A84" s="624"/>
      <c r="B84" s="226"/>
      <c r="C84" s="226"/>
      <c r="D84" s="226"/>
      <c r="E84" s="226"/>
      <c r="F84" s="232"/>
      <c r="G84" s="897"/>
      <c r="H84" s="219"/>
    </row>
    <row r="85" spans="1:10" ht="20.100000000000001" customHeight="1">
      <c r="A85" s="626" t="s">
        <v>355</v>
      </c>
      <c r="B85" s="226"/>
      <c r="C85" s="226"/>
      <c r="D85" s="226"/>
      <c r="E85" s="226"/>
      <c r="F85" s="232"/>
      <c r="G85" s="277">
        <f>SUM(G75:G83)</f>
        <v>91168156.119900003</v>
      </c>
      <c r="H85" s="219"/>
    </row>
    <row r="86" spans="1:10" ht="20.100000000000001" customHeight="1">
      <c r="A86" s="895"/>
      <c r="B86" s="707"/>
      <c r="C86" s="707"/>
      <c r="D86" s="707"/>
      <c r="E86" s="707"/>
      <c r="F86" s="708"/>
      <c r="G86" s="896"/>
      <c r="H86" s="219"/>
    </row>
    <row r="87" spans="1:10" ht="20.100000000000001" customHeight="1">
      <c r="A87" s="1056" t="s">
        <v>356</v>
      </c>
      <c r="B87" s="1057"/>
      <c r="C87" s="1057"/>
      <c r="D87" s="1057"/>
      <c r="E87" s="1057"/>
      <c r="F87" s="1058"/>
      <c r="G87" s="774"/>
      <c r="H87" s="219"/>
    </row>
    <row r="88" spans="1:10" ht="20.100000000000001" customHeight="1">
      <c r="A88" s="624"/>
      <c r="B88" s="226"/>
      <c r="C88" s="226"/>
      <c r="D88" s="226"/>
      <c r="E88" s="226"/>
      <c r="F88" s="232"/>
      <c r="G88" s="247"/>
      <c r="H88" s="219"/>
    </row>
    <row r="89" spans="1:10" ht="20.100000000000001" customHeight="1">
      <c r="A89" s="624" t="s">
        <v>357</v>
      </c>
      <c r="B89" s="226"/>
      <c r="C89" s="226"/>
      <c r="D89" s="226"/>
      <c r="E89" s="226"/>
      <c r="F89" s="232" t="s">
        <v>358</v>
      </c>
      <c r="G89" s="572">
        <v>70000</v>
      </c>
      <c r="H89" s="219"/>
    </row>
    <row r="90" spans="1:10" ht="20.100000000000001" customHeight="1">
      <c r="A90" s="625" t="s">
        <v>359</v>
      </c>
      <c r="B90" s="229"/>
      <c r="C90" s="229"/>
      <c r="D90" s="229"/>
      <c r="E90" s="229"/>
      <c r="F90" s="1229">
        <v>43518</v>
      </c>
      <c r="G90" s="653">
        <v>0</v>
      </c>
      <c r="H90" s="219"/>
      <c r="J90" s="249"/>
    </row>
    <row r="91" spans="1:10" ht="20.100000000000001" customHeight="1">
      <c r="A91" s="625" t="s">
        <v>360</v>
      </c>
      <c r="B91" s="229"/>
      <c r="C91" s="229"/>
      <c r="D91" s="229"/>
      <c r="E91" s="229"/>
      <c r="F91" s="1229">
        <v>43519</v>
      </c>
      <c r="G91" s="653">
        <v>0</v>
      </c>
      <c r="H91" s="219"/>
    </row>
    <row r="92" spans="1:10" ht="20.100000000000001" customHeight="1">
      <c r="A92" s="625" t="s">
        <v>7</v>
      </c>
      <c r="B92" s="229"/>
      <c r="C92" s="229"/>
      <c r="D92" s="229"/>
      <c r="E92" s="229"/>
      <c r="F92" s="252">
        <v>43521</v>
      </c>
      <c r="G92" s="653">
        <v>0</v>
      </c>
      <c r="H92" s="219"/>
    </row>
    <row r="93" spans="1:10" ht="20.100000000000001" customHeight="1">
      <c r="A93" s="625" t="s">
        <v>8</v>
      </c>
      <c r="B93" s="229"/>
      <c r="C93" s="229"/>
      <c r="D93" s="229"/>
      <c r="E93" s="229"/>
      <c r="F93" s="252">
        <v>43526</v>
      </c>
      <c r="G93" s="653">
        <v>0</v>
      </c>
      <c r="H93" s="219"/>
    </row>
    <row r="94" spans="1:10" ht="20.100000000000001" customHeight="1">
      <c r="A94" s="624" t="s">
        <v>361</v>
      </c>
      <c r="B94" s="226"/>
      <c r="C94" s="226"/>
      <c r="D94" s="226"/>
      <c r="E94" s="226"/>
      <c r="F94" s="232" t="s">
        <v>362</v>
      </c>
      <c r="G94" s="569">
        <v>350000</v>
      </c>
      <c r="H94" s="219"/>
    </row>
    <row r="95" spans="1:10" ht="20.100000000000001" customHeight="1">
      <c r="A95" s="751"/>
      <c r="B95" s="709"/>
      <c r="C95" s="709"/>
      <c r="D95" s="709"/>
      <c r="E95" s="709"/>
      <c r="F95" s="726"/>
      <c r="G95" s="897"/>
      <c r="H95" s="219"/>
    </row>
    <row r="96" spans="1:10" ht="20.100000000000001" customHeight="1">
      <c r="A96" s="626" t="s">
        <v>363</v>
      </c>
      <c r="B96" s="226"/>
      <c r="C96" s="226"/>
      <c r="D96" s="226"/>
      <c r="E96" s="226"/>
      <c r="F96" s="250"/>
      <c r="G96" s="898">
        <f>SUM(G89:G94)</f>
        <v>420000</v>
      </c>
      <c r="H96" s="219"/>
    </row>
    <row r="97" spans="1:8" ht="20.100000000000001" customHeight="1">
      <c r="A97" s="624"/>
      <c r="B97" s="226"/>
      <c r="C97" s="226"/>
      <c r="D97" s="226"/>
      <c r="E97" s="226"/>
      <c r="F97" s="232"/>
      <c r="G97" s="251"/>
      <c r="H97" s="219"/>
    </row>
    <row r="98" spans="1:8" ht="20.100000000000001" customHeight="1">
      <c r="A98" s="1059" t="s">
        <v>364</v>
      </c>
      <c r="B98" s="1060"/>
      <c r="C98" s="1060"/>
      <c r="D98" s="1060"/>
      <c r="E98" s="1060"/>
      <c r="F98" s="1061"/>
      <c r="G98" s="899"/>
      <c r="H98" s="219"/>
    </row>
    <row r="99" spans="1:8" ht="20.100000000000001" customHeight="1">
      <c r="A99" s="624"/>
      <c r="B99" s="226"/>
      <c r="C99" s="226"/>
      <c r="D99" s="226"/>
      <c r="E99" s="226"/>
      <c r="F99" s="232"/>
      <c r="G99" s="251"/>
      <c r="H99" s="219"/>
    </row>
    <row r="100" spans="1:8" ht="20.100000000000001" customHeight="1">
      <c r="A100" s="624" t="s">
        <v>365</v>
      </c>
      <c r="B100" s="226"/>
      <c r="C100" s="226"/>
      <c r="D100" s="226"/>
      <c r="E100" s="226"/>
      <c r="F100" s="232" t="s">
        <v>366</v>
      </c>
      <c r="G100" s="572">
        <f>800000+70000</f>
        <v>870000</v>
      </c>
      <c r="H100" s="219"/>
    </row>
    <row r="101" spans="1:8" ht="20.100000000000001" customHeight="1">
      <c r="A101" s="624" t="s">
        <v>367</v>
      </c>
      <c r="B101" s="226"/>
      <c r="C101" s="226"/>
      <c r="D101" s="226"/>
      <c r="E101" s="226"/>
      <c r="F101" s="232" t="s">
        <v>368</v>
      </c>
      <c r="G101" s="570">
        <v>0</v>
      </c>
      <c r="H101" s="219"/>
    </row>
    <row r="102" spans="1:8" ht="20.100000000000001" customHeight="1">
      <c r="A102" s="625" t="s">
        <v>369</v>
      </c>
      <c r="B102" s="229"/>
      <c r="C102" s="229"/>
      <c r="D102" s="229"/>
      <c r="E102" s="229"/>
      <c r="F102" s="252">
        <v>44400</v>
      </c>
      <c r="G102" s="571">
        <v>0</v>
      </c>
      <c r="H102" s="219"/>
    </row>
    <row r="103" spans="1:8" ht="20.100000000000001" customHeight="1">
      <c r="A103" s="624" t="s">
        <v>370</v>
      </c>
      <c r="B103" s="226"/>
      <c r="C103" s="226"/>
      <c r="D103" s="226"/>
      <c r="E103" s="226"/>
      <c r="F103" s="232" t="s">
        <v>371</v>
      </c>
      <c r="G103" s="570">
        <f>100000+162994</f>
        <v>262994</v>
      </c>
      <c r="H103" s="219"/>
    </row>
    <row r="104" spans="1:8" ht="20.100000000000001" customHeight="1">
      <c r="A104" s="624"/>
      <c r="B104" s="226"/>
      <c r="C104" s="226"/>
      <c r="D104" s="226"/>
      <c r="E104" s="226"/>
      <c r="F104" s="232"/>
      <c r="G104" s="900"/>
      <c r="H104" s="219"/>
    </row>
    <row r="105" spans="1:8" ht="20.100000000000001" customHeight="1">
      <c r="A105" s="626" t="s">
        <v>372</v>
      </c>
      <c r="B105" s="226"/>
      <c r="C105" s="226"/>
      <c r="D105" s="226"/>
      <c r="E105" s="226"/>
      <c r="F105" s="232"/>
      <c r="G105" s="898">
        <f>SUM(G100:G103)</f>
        <v>1132994</v>
      </c>
      <c r="H105" s="219"/>
    </row>
    <row r="106" spans="1:8" ht="20.100000000000001" customHeight="1">
      <c r="A106" s="624"/>
      <c r="B106" s="226"/>
      <c r="C106" s="226"/>
      <c r="D106" s="226"/>
      <c r="E106" s="226"/>
      <c r="F106" s="232"/>
      <c r="G106" s="251"/>
      <c r="H106" s="219"/>
    </row>
    <row r="107" spans="1:8" ht="20.100000000000001" customHeight="1">
      <c r="A107" s="1053" t="s">
        <v>373</v>
      </c>
      <c r="B107" s="1054"/>
      <c r="C107" s="1054"/>
      <c r="D107" s="1054"/>
      <c r="E107" s="1054"/>
      <c r="F107" s="1055"/>
      <c r="G107" s="901"/>
      <c r="H107" s="219"/>
    </row>
    <row r="108" spans="1:8" ht="20.100000000000001" customHeight="1">
      <c r="A108" s="624"/>
      <c r="B108" s="226"/>
      <c r="C108" s="226"/>
      <c r="D108" s="226"/>
      <c r="E108" s="226"/>
      <c r="F108" s="232"/>
      <c r="G108" s="251"/>
      <c r="H108" s="219"/>
    </row>
    <row r="109" spans="1:8" ht="20.100000000000001" customHeight="1">
      <c r="A109" s="624" t="s">
        <v>374</v>
      </c>
      <c r="B109" s="226"/>
      <c r="C109" s="226"/>
      <c r="D109" s="226"/>
      <c r="E109" s="226"/>
      <c r="F109" s="232" t="s">
        <v>375</v>
      </c>
      <c r="G109" s="572">
        <v>0</v>
      </c>
      <c r="H109" s="219"/>
    </row>
    <row r="110" spans="1:8" ht="20.100000000000001" customHeight="1">
      <c r="A110" s="624" t="s">
        <v>376</v>
      </c>
      <c r="B110" s="226"/>
      <c r="C110" s="226"/>
      <c r="D110" s="226"/>
      <c r="E110" s="226"/>
      <c r="F110" s="232" t="s">
        <v>377</v>
      </c>
      <c r="G110" s="570">
        <v>1136500</v>
      </c>
      <c r="H110" s="219"/>
    </row>
    <row r="111" spans="1:8" ht="20.100000000000001" customHeight="1">
      <c r="A111" s="624" t="s">
        <v>378</v>
      </c>
      <c r="B111" s="226"/>
      <c r="C111" s="226"/>
      <c r="D111" s="226"/>
      <c r="E111" s="226"/>
      <c r="F111" s="232" t="s">
        <v>379</v>
      </c>
      <c r="G111" s="570">
        <f>220000+50000+350000</f>
        <v>620000</v>
      </c>
      <c r="H111" s="219"/>
    </row>
    <row r="112" spans="1:8" ht="20.100000000000001" customHeight="1">
      <c r="A112" s="624" t="s">
        <v>380</v>
      </c>
      <c r="B112" s="226"/>
      <c r="C112" s="226"/>
      <c r="D112" s="226"/>
      <c r="E112" s="226"/>
      <c r="F112" s="232" t="s">
        <v>381</v>
      </c>
      <c r="G112" s="570">
        <v>59500</v>
      </c>
      <c r="H112" s="219"/>
    </row>
    <row r="113" spans="1:8" ht="20.100000000000001" customHeight="1">
      <c r="A113" s="624" t="s">
        <v>382</v>
      </c>
      <c r="B113" s="226"/>
      <c r="C113" s="226"/>
      <c r="D113" s="226"/>
      <c r="E113" s="226"/>
      <c r="F113" s="232" t="s">
        <v>383</v>
      </c>
      <c r="G113" s="1329">
        <v>0</v>
      </c>
      <c r="H113" s="219"/>
    </row>
    <row r="114" spans="1:8" ht="20.100000000000001" customHeight="1">
      <c r="A114" s="624"/>
      <c r="B114" s="226"/>
      <c r="C114" s="226"/>
      <c r="D114" s="226"/>
      <c r="E114" s="226"/>
      <c r="F114" s="232"/>
      <c r="G114" s="900"/>
      <c r="H114" s="219"/>
    </row>
    <row r="115" spans="1:8" ht="20.100000000000001" customHeight="1">
      <c r="A115" s="902" t="s">
        <v>384</v>
      </c>
      <c r="B115" s="903"/>
      <c r="C115" s="903"/>
      <c r="D115" s="903"/>
      <c r="E115" s="903"/>
      <c r="F115" s="904"/>
      <c r="G115" s="898">
        <f>SUM(G109:G113)</f>
        <v>1816000</v>
      </c>
      <c r="H115" s="219"/>
    </row>
    <row r="116" spans="1:8" ht="20.100000000000001" customHeight="1">
      <c r="A116" s="624"/>
      <c r="B116" s="226"/>
      <c r="C116" s="226"/>
      <c r="D116" s="226"/>
      <c r="E116" s="226"/>
      <c r="F116" s="631"/>
      <c r="G116" s="632"/>
      <c r="H116" s="219"/>
    </row>
    <row r="117" spans="1:8" ht="20.100000000000001" customHeight="1">
      <c r="A117" s="905" t="s">
        <v>385</v>
      </c>
      <c r="B117" s="710"/>
      <c r="C117" s="710"/>
      <c r="D117" s="710"/>
      <c r="E117" s="710"/>
      <c r="F117" s="711" t="s">
        <v>386</v>
      </c>
      <c r="G117" s="906">
        <v>0</v>
      </c>
      <c r="H117" s="219"/>
    </row>
    <row r="118" spans="1:8" ht="20.100000000000001" customHeight="1">
      <c r="A118" s="633"/>
      <c r="B118" s="219"/>
      <c r="C118" s="219"/>
      <c r="D118" s="219"/>
      <c r="E118" s="219"/>
      <c r="F118" s="253"/>
      <c r="G118" s="254"/>
      <c r="H118" s="219"/>
    </row>
    <row r="119" spans="1:8" ht="20.100000000000001" customHeight="1">
      <c r="A119" s="626" t="s">
        <v>387</v>
      </c>
      <c r="B119" s="219"/>
      <c r="C119" s="226"/>
      <c r="D119" s="226"/>
      <c r="E119" s="219"/>
      <c r="F119" s="253"/>
      <c r="G119" s="898">
        <f>G117</f>
        <v>0</v>
      </c>
      <c r="H119" s="219"/>
    </row>
    <row r="120" spans="1:8" ht="20.100000000000001" customHeight="1">
      <c r="A120" s="633"/>
      <c r="B120" s="219"/>
      <c r="C120" s="219"/>
      <c r="D120" s="219"/>
      <c r="E120" s="219"/>
      <c r="F120" s="253"/>
      <c r="G120" s="251"/>
      <c r="H120" s="219"/>
    </row>
    <row r="121" spans="1:8" ht="20.100000000000001" customHeight="1">
      <c r="A121" s="1059" t="s">
        <v>388</v>
      </c>
      <c r="B121" s="1060"/>
      <c r="C121" s="1060"/>
      <c r="D121" s="1060"/>
      <c r="E121" s="1060"/>
      <c r="F121" s="1061"/>
      <c r="G121" s="899"/>
      <c r="H121" s="219"/>
    </row>
    <row r="122" spans="1:8" ht="20.100000000000001" customHeight="1">
      <c r="A122" s="624"/>
      <c r="B122" s="226"/>
      <c r="C122" s="226"/>
      <c r="D122" s="226"/>
      <c r="E122" s="226"/>
      <c r="F122" s="232"/>
      <c r="G122" s="251"/>
      <c r="H122" s="219"/>
    </row>
    <row r="123" spans="1:8" ht="20.100000000000001" customHeight="1">
      <c r="A123" s="624" t="s">
        <v>389</v>
      </c>
      <c r="B123" s="226"/>
      <c r="C123" s="226"/>
      <c r="D123" s="226"/>
      <c r="E123" s="226"/>
      <c r="F123" s="232" t="s">
        <v>390</v>
      </c>
      <c r="G123" s="572">
        <f>60000</f>
        <v>60000</v>
      </c>
      <c r="H123" s="219"/>
    </row>
    <row r="124" spans="1:8" ht="20.100000000000001" customHeight="1">
      <c r="A124" s="624" t="s">
        <v>391</v>
      </c>
      <c r="B124" s="226"/>
      <c r="C124" s="226"/>
      <c r="D124" s="226"/>
      <c r="E124" s="226"/>
      <c r="F124" s="232" t="s">
        <v>392</v>
      </c>
      <c r="G124" s="570">
        <v>0</v>
      </c>
      <c r="H124" s="219"/>
    </row>
    <row r="125" spans="1:8" ht="20.100000000000001" customHeight="1">
      <c r="A125" s="624" t="s">
        <v>393</v>
      </c>
      <c r="B125" s="226"/>
      <c r="C125" s="226"/>
      <c r="D125" s="226"/>
      <c r="E125" s="226"/>
      <c r="F125" s="232" t="s">
        <v>394</v>
      </c>
      <c r="G125" s="570">
        <v>2000</v>
      </c>
      <c r="H125" s="219"/>
    </row>
    <row r="126" spans="1:8" ht="20.100000000000001" customHeight="1">
      <c r="A126" s="624" t="s">
        <v>395</v>
      </c>
      <c r="B126" s="226"/>
      <c r="C126" s="226"/>
      <c r="D126" s="226"/>
      <c r="E126" s="226"/>
      <c r="F126" s="232" t="s">
        <v>396</v>
      </c>
      <c r="G126" s="570">
        <f>26500+5000</f>
        <v>31500</v>
      </c>
      <c r="H126" s="219"/>
    </row>
    <row r="127" spans="1:8" ht="20.100000000000001" customHeight="1">
      <c r="A127" s="624"/>
      <c r="B127" s="226"/>
      <c r="C127" s="226"/>
      <c r="D127" s="226"/>
      <c r="E127" s="226"/>
      <c r="F127" s="232"/>
      <c r="G127" s="900"/>
      <c r="H127" s="219"/>
    </row>
    <row r="128" spans="1:8" ht="20.100000000000001" customHeight="1">
      <c r="A128" s="626" t="s">
        <v>397</v>
      </c>
      <c r="B128" s="226"/>
      <c r="C128" s="226"/>
      <c r="D128" s="226"/>
      <c r="E128" s="226"/>
      <c r="F128" s="232"/>
      <c r="G128" s="898">
        <f>SUM(G123:G126)</f>
        <v>93500</v>
      </c>
      <c r="H128" s="219"/>
    </row>
    <row r="129" spans="1:8" ht="20.100000000000001" customHeight="1">
      <c r="A129" s="624"/>
      <c r="B129" s="226"/>
      <c r="C129" s="226"/>
      <c r="D129" s="226"/>
      <c r="E129" s="226"/>
      <c r="F129" s="232"/>
      <c r="G129" s="251"/>
      <c r="H129" s="219"/>
    </row>
    <row r="130" spans="1:8" ht="20.100000000000001" customHeight="1">
      <c r="A130" s="1053" t="s">
        <v>398</v>
      </c>
      <c r="B130" s="1054"/>
      <c r="C130" s="1054"/>
      <c r="D130" s="1054"/>
      <c r="E130" s="1054"/>
      <c r="F130" s="1055"/>
      <c r="G130" s="901"/>
      <c r="H130" s="219"/>
    </row>
    <row r="131" spans="1:8" ht="20.100000000000001" customHeight="1">
      <c r="A131" s="624"/>
      <c r="B131" s="226"/>
      <c r="C131" s="226"/>
      <c r="D131" s="226"/>
      <c r="E131" s="226"/>
      <c r="F131" s="232"/>
      <c r="G131" s="251"/>
      <c r="H131" s="219"/>
    </row>
    <row r="132" spans="1:8" ht="20.100000000000001" customHeight="1">
      <c r="A132" s="624" t="s">
        <v>399</v>
      </c>
      <c r="B132" s="226"/>
      <c r="C132" s="226"/>
      <c r="D132" s="634"/>
      <c r="E132" s="635"/>
      <c r="F132" s="248" t="s">
        <v>400</v>
      </c>
      <c r="G132" s="572">
        <v>0</v>
      </c>
      <c r="H132" s="219"/>
    </row>
    <row r="133" spans="1:8" ht="20.100000000000001" customHeight="1">
      <c r="A133" s="624" t="s">
        <v>401</v>
      </c>
      <c r="B133" s="226"/>
      <c r="C133" s="226"/>
      <c r="D133" s="634"/>
      <c r="E133" s="635"/>
      <c r="F133" s="248" t="s">
        <v>402</v>
      </c>
      <c r="G133" s="570">
        <v>8101252.2199999997</v>
      </c>
      <c r="H133" s="219"/>
    </row>
    <row r="134" spans="1:8" ht="20.100000000000001" customHeight="1">
      <c r="A134" s="625" t="s">
        <v>403</v>
      </c>
      <c r="B134" s="229"/>
      <c r="C134" s="229"/>
      <c r="D134" s="636"/>
      <c r="E134" s="243"/>
      <c r="F134" s="255">
        <v>49230</v>
      </c>
      <c r="G134" s="571">
        <v>1500000</v>
      </c>
      <c r="H134" s="219"/>
    </row>
    <row r="135" spans="1:8" ht="20.100000000000001" customHeight="1">
      <c r="A135" s="625" t="s">
        <v>404</v>
      </c>
      <c r="B135" s="229"/>
      <c r="C135" s="229"/>
      <c r="D135" s="636"/>
      <c r="E135" s="243"/>
      <c r="F135" s="255">
        <v>49240</v>
      </c>
      <c r="G135" s="570">
        <v>0</v>
      </c>
      <c r="H135" s="219"/>
    </row>
    <row r="136" spans="1:8" ht="20.100000000000001" customHeight="1">
      <c r="A136" s="624" t="s">
        <v>405</v>
      </c>
      <c r="B136" s="226"/>
      <c r="C136" s="226"/>
      <c r="D136" s="226"/>
      <c r="E136" s="226"/>
      <c r="F136" s="232" t="s">
        <v>406</v>
      </c>
      <c r="G136" s="570">
        <v>0</v>
      </c>
      <c r="H136" s="219"/>
    </row>
    <row r="137" spans="1:8" ht="20.100000000000001" customHeight="1">
      <c r="A137" s="624" t="s">
        <v>407</v>
      </c>
      <c r="B137" s="226"/>
      <c r="C137" s="226"/>
      <c r="D137" s="226"/>
      <c r="E137" s="226"/>
      <c r="F137" s="235">
        <v>49520</v>
      </c>
      <c r="G137" s="570">
        <v>0</v>
      </c>
      <c r="H137" s="219"/>
    </row>
    <row r="138" spans="1:8" ht="20.100000000000001" customHeight="1">
      <c r="A138" s="1246" t="s">
        <v>734</v>
      </c>
      <c r="B138" s="226"/>
      <c r="C138" s="226"/>
      <c r="D138" s="226"/>
      <c r="E138" s="226"/>
      <c r="F138" s="1247" t="s">
        <v>733</v>
      </c>
      <c r="G138" s="570">
        <v>4790873.78</v>
      </c>
      <c r="H138" s="219"/>
    </row>
    <row r="139" spans="1:8" ht="20.100000000000001" customHeight="1">
      <c r="A139" s="624" t="s">
        <v>408</v>
      </c>
      <c r="B139" s="226"/>
      <c r="C139" s="226"/>
      <c r="D139" s="226"/>
      <c r="E139" s="226"/>
      <c r="F139" s="232" t="s">
        <v>409</v>
      </c>
      <c r="G139" s="570">
        <v>0</v>
      </c>
      <c r="H139" s="219"/>
    </row>
    <row r="140" spans="1:8" ht="20.100000000000001" customHeight="1">
      <c r="A140" s="624" t="s">
        <v>410</v>
      </c>
      <c r="B140" s="226"/>
      <c r="C140" s="226"/>
      <c r="D140" s="226"/>
      <c r="E140" s="226"/>
      <c r="F140" s="232" t="s">
        <v>411</v>
      </c>
      <c r="G140" s="570">
        <v>0</v>
      </c>
      <c r="H140" s="219"/>
    </row>
    <row r="141" spans="1:8" ht="20.100000000000001" customHeight="1">
      <c r="A141" s="624"/>
      <c r="B141" s="226"/>
      <c r="C141" s="226"/>
      <c r="D141" s="226"/>
      <c r="E141" s="226"/>
      <c r="F141" s="232"/>
      <c r="G141" s="900"/>
      <c r="H141" s="219"/>
    </row>
    <row r="142" spans="1:8" ht="20.100000000000001" customHeight="1">
      <c r="A142" s="626" t="s">
        <v>412</v>
      </c>
      <c r="B142" s="226"/>
      <c r="C142" s="226"/>
      <c r="D142" s="226"/>
      <c r="E142" s="226"/>
      <c r="F142" s="232"/>
      <c r="G142" s="898">
        <f>SUM(G132:G140)</f>
        <v>14392126</v>
      </c>
      <c r="H142" s="219"/>
    </row>
    <row r="143" spans="1:8" ht="20.100000000000001" customHeight="1">
      <c r="A143" s="624"/>
      <c r="B143" s="226"/>
      <c r="C143" s="226"/>
      <c r="D143" s="226"/>
      <c r="E143" s="226"/>
      <c r="F143" s="232"/>
      <c r="G143" s="251"/>
      <c r="H143" s="219"/>
    </row>
    <row r="144" spans="1:8" ht="20.100000000000001" customHeight="1" thickBot="1">
      <c r="A144" s="656" t="s">
        <v>413</v>
      </c>
      <c r="B144" s="657"/>
      <c r="C144" s="657"/>
      <c r="D144" s="657"/>
      <c r="E144" s="657"/>
      <c r="F144" s="658"/>
      <c r="G144" s="660">
        <f>G63+G71+G85+G96+G105+G115+G119+G128+G142</f>
        <v>164060756.11989999</v>
      </c>
      <c r="H144" s="219"/>
    </row>
    <row r="145" spans="1:8" ht="20.100000000000001" customHeight="1" thickTop="1">
      <c r="A145" s="895"/>
      <c r="B145" s="707"/>
      <c r="C145" s="707"/>
      <c r="D145" s="707"/>
      <c r="E145" s="707"/>
      <c r="F145" s="775"/>
      <c r="G145" s="776"/>
      <c r="H145" s="219"/>
    </row>
    <row r="146" spans="1:8" ht="20.100000000000001" customHeight="1">
      <c r="A146" s="1053" t="s">
        <v>414</v>
      </c>
      <c r="B146" s="1054"/>
      <c r="C146" s="1054"/>
      <c r="D146" s="1054"/>
      <c r="E146" s="1054"/>
      <c r="F146" s="1055"/>
      <c r="G146" s="907"/>
      <c r="H146" s="219"/>
    </row>
    <row r="147" spans="1:8" ht="20.100000000000001" customHeight="1">
      <c r="A147" s="624"/>
      <c r="B147" s="226"/>
      <c r="C147" s="226"/>
      <c r="D147" s="226"/>
      <c r="E147" s="226"/>
      <c r="F147" s="232"/>
      <c r="G147" s="256"/>
      <c r="H147" s="219"/>
    </row>
    <row r="148" spans="1:8" ht="20.100000000000001" customHeight="1">
      <c r="A148" s="624" t="s">
        <v>415</v>
      </c>
      <c r="B148" s="226"/>
      <c r="C148" s="226"/>
      <c r="D148" s="226"/>
      <c r="E148" s="226"/>
      <c r="F148" s="232" t="s">
        <v>416</v>
      </c>
      <c r="G148" s="573">
        <v>4784291.9800000004</v>
      </c>
      <c r="H148" s="219"/>
    </row>
    <row r="149" spans="1:8" ht="20.100000000000001" customHeight="1">
      <c r="A149" s="624" t="s">
        <v>417</v>
      </c>
      <c r="B149" s="219"/>
      <c r="C149" s="219"/>
      <c r="D149" s="219"/>
      <c r="E149" s="219"/>
      <c r="F149" s="232" t="s">
        <v>418</v>
      </c>
      <c r="G149" s="574">
        <v>5005932</v>
      </c>
      <c r="H149" s="219"/>
    </row>
    <row r="150" spans="1:8" ht="20.100000000000001" customHeight="1">
      <c r="A150" s="624" t="s">
        <v>419</v>
      </c>
      <c r="B150" s="219"/>
      <c r="C150" s="219"/>
      <c r="D150" s="219"/>
      <c r="E150" s="219"/>
      <c r="F150" s="232" t="s">
        <v>420</v>
      </c>
      <c r="G150" s="574">
        <v>2850420.94</v>
      </c>
      <c r="H150" s="219"/>
    </row>
    <row r="151" spans="1:8" ht="20.100000000000001" customHeight="1">
      <c r="A151" s="624" t="s">
        <v>421</v>
      </c>
      <c r="B151" s="219"/>
      <c r="C151" s="219"/>
      <c r="D151" s="219"/>
      <c r="E151" s="219"/>
      <c r="F151" s="232" t="s">
        <v>422</v>
      </c>
      <c r="G151" s="574">
        <v>0</v>
      </c>
      <c r="H151" s="219"/>
    </row>
    <row r="152" spans="1:8" ht="20.100000000000001" customHeight="1">
      <c r="A152" s="624" t="s">
        <v>423</v>
      </c>
      <c r="B152" s="219"/>
      <c r="C152" s="219"/>
      <c r="D152" s="219"/>
      <c r="E152" s="219"/>
      <c r="F152" s="232" t="s">
        <v>424</v>
      </c>
      <c r="G152" s="574">
        <v>0</v>
      </c>
      <c r="H152" s="219"/>
    </row>
    <row r="153" spans="1:8" ht="20.100000000000001" customHeight="1">
      <c r="A153" s="624" t="s">
        <v>425</v>
      </c>
      <c r="B153" s="226"/>
      <c r="C153" s="226"/>
      <c r="D153" s="226"/>
      <c r="E153" s="226"/>
      <c r="F153" s="232" t="s">
        <v>426</v>
      </c>
      <c r="G153" s="574">
        <v>25006408.669999998</v>
      </c>
      <c r="H153" s="219"/>
    </row>
    <row r="154" spans="1:8" ht="20.100000000000001" customHeight="1">
      <c r="A154" s="624" t="s">
        <v>427</v>
      </c>
      <c r="B154" s="226"/>
      <c r="C154" s="226"/>
      <c r="D154" s="226"/>
      <c r="E154" s="226"/>
      <c r="F154" s="232" t="s">
        <v>428</v>
      </c>
      <c r="G154" s="574">
        <v>3224797.84</v>
      </c>
      <c r="H154" s="219"/>
    </row>
    <row r="155" spans="1:8" ht="20.100000000000001" customHeight="1">
      <c r="A155" s="624" t="s">
        <v>429</v>
      </c>
      <c r="B155" s="226"/>
      <c r="C155" s="226"/>
      <c r="D155" s="226"/>
      <c r="E155" s="226"/>
      <c r="F155" s="232" t="s">
        <v>430</v>
      </c>
      <c r="G155" s="574">
        <v>0</v>
      </c>
      <c r="H155" s="219"/>
    </row>
    <row r="156" spans="1:8" ht="20.100000000000001" customHeight="1">
      <c r="A156" s="624" t="s">
        <v>431</v>
      </c>
      <c r="B156" s="226"/>
      <c r="C156" s="226"/>
      <c r="D156" s="226"/>
      <c r="E156" s="226"/>
      <c r="F156" s="232" t="s">
        <v>432</v>
      </c>
      <c r="G156" s="574">
        <v>1648392.79</v>
      </c>
      <c r="H156" s="219"/>
    </row>
    <row r="157" spans="1:8" ht="20.100000000000001" customHeight="1">
      <c r="A157" s="624" t="s">
        <v>433</v>
      </c>
      <c r="B157" s="226"/>
      <c r="C157" s="226"/>
      <c r="D157" s="226"/>
      <c r="E157" s="226"/>
      <c r="F157" s="232" t="s">
        <v>434</v>
      </c>
      <c r="G157" s="574">
        <v>0</v>
      </c>
      <c r="H157" s="219"/>
    </row>
    <row r="158" spans="1:8" ht="20.100000000000001" customHeight="1">
      <c r="A158" s="624" t="s">
        <v>435</v>
      </c>
      <c r="B158" s="226"/>
      <c r="C158" s="226"/>
      <c r="D158" s="226"/>
      <c r="E158" s="226"/>
      <c r="F158" s="235">
        <v>52500</v>
      </c>
      <c r="G158" s="574">
        <v>0</v>
      </c>
      <c r="H158" s="219"/>
    </row>
    <row r="159" spans="1:8" ht="20.100000000000001" customHeight="1">
      <c r="A159" s="624" t="s">
        <v>436</v>
      </c>
      <c r="B159" s="226"/>
      <c r="C159" s="226"/>
      <c r="D159" s="226"/>
      <c r="E159" s="226"/>
      <c r="F159" s="232" t="s">
        <v>437</v>
      </c>
      <c r="G159" s="574">
        <v>0</v>
      </c>
      <c r="H159" s="219"/>
    </row>
    <row r="160" spans="1:8" ht="20.100000000000001" customHeight="1">
      <c r="A160" s="624" t="s">
        <v>438</v>
      </c>
      <c r="B160" s="226"/>
      <c r="C160" s="226"/>
      <c r="D160" s="226"/>
      <c r="E160" s="226"/>
      <c r="F160" s="232" t="s">
        <v>439</v>
      </c>
      <c r="G160" s="574">
        <v>0</v>
      </c>
      <c r="H160" s="219"/>
    </row>
    <row r="161" spans="1:8" ht="20.100000000000001" customHeight="1">
      <c r="A161" s="624" t="s">
        <v>440</v>
      </c>
      <c r="B161" s="226"/>
      <c r="C161" s="226"/>
      <c r="D161" s="226"/>
      <c r="E161" s="226"/>
      <c r="F161" s="232" t="s">
        <v>441</v>
      </c>
      <c r="G161" s="574">
        <v>0</v>
      </c>
      <c r="H161" s="219"/>
    </row>
    <row r="162" spans="1:8" ht="20.100000000000001" customHeight="1">
      <c r="A162" s="624" t="s">
        <v>442</v>
      </c>
      <c r="B162" s="226"/>
      <c r="C162" s="226"/>
      <c r="D162" s="226"/>
      <c r="E162" s="226"/>
      <c r="F162" s="232" t="s">
        <v>443</v>
      </c>
      <c r="G162" s="574">
        <v>0</v>
      </c>
      <c r="H162" s="219"/>
    </row>
    <row r="163" spans="1:8" ht="20.100000000000001" customHeight="1">
      <c r="A163" s="624" t="s">
        <v>444</v>
      </c>
      <c r="B163" s="226"/>
      <c r="C163" s="226"/>
      <c r="D163" s="226"/>
      <c r="E163" s="226"/>
      <c r="F163" s="232" t="s">
        <v>445</v>
      </c>
      <c r="G163" s="574">
        <v>18873511.280000001</v>
      </c>
      <c r="H163" s="219"/>
    </row>
    <row r="164" spans="1:8" ht="20.100000000000001" customHeight="1">
      <c r="A164" s="624" t="s">
        <v>446</v>
      </c>
      <c r="B164" s="226"/>
      <c r="C164" s="226"/>
      <c r="D164" s="226"/>
      <c r="E164" s="226"/>
      <c r="F164" s="232" t="s">
        <v>447</v>
      </c>
      <c r="G164" s="574">
        <v>0</v>
      </c>
      <c r="H164" s="219"/>
    </row>
    <row r="165" spans="1:8" ht="20.100000000000001" customHeight="1">
      <c r="A165" s="624" t="s">
        <v>448</v>
      </c>
      <c r="B165" s="226"/>
      <c r="C165" s="226"/>
      <c r="D165" s="226"/>
      <c r="E165" s="226"/>
      <c r="F165" s="232" t="s">
        <v>449</v>
      </c>
      <c r="G165" s="574">
        <v>0</v>
      </c>
      <c r="H165" s="219"/>
    </row>
    <row r="166" spans="1:8" ht="20.100000000000001" customHeight="1">
      <c r="A166" s="624" t="s">
        <v>450</v>
      </c>
      <c r="B166" s="226"/>
      <c r="C166" s="226"/>
      <c r="D166" s="226"/>
      <c r="E166" s="226"/>
      <c r="F166" s="232" t="s">
        <v>451</v>
      </c>
      <c r="G166" s="574">
        <v>0</v>
      </c>
      <c r="H166" s="219"/>
    </row>
    <row r="167" spans="1:8" ht="20.100000000000001" customHeight="1">
      <c r="A167" s="624" t="s">
        <v>452</v>
      </c>
      <c r="B167" s="226"/>
      <c r="C167" s="226"/>
      <c r="D167" s="226"/>
      <c r="E167" s="226"/>
      <c r="F167" s="232" t="s">
        <v>453</v>
      </c>
      <c r="G167" s="574">
        <v>24401.5</v>
      </c>
      <c r="H167" s="219"/>
    </row>
    <row r="168" spans="1:8" ht="20.100000000000001" customHeight="1">
      <c r="A168" s="624" t="s">
        <v>454</v>
      </c>
      <c r="B168" s="226"/>
      <c r="C168" s="226"/>
      <c r="D168" s="226"/>
      <c r="E168" s="226"/>
      <c r="F168" s="232" t="s">
        <v>455</v>
      </c>
      <c r="G168" s="574">
        <v>17135694.899999999</v>
      </c>
      <c r="H168" s="219"/>
    </row>
    <row r="169" spans="1:8" ht="20.100000000000001" customHeight="1">
      <c r="A169" s="624" t="s">
        <v>456</v>
      </c>
      <c r="B169" s="226"/>
      <c r="C169" s="226"/>
      <c r="D169" s="226"/>
      <c r="E169" s="226"/>
      <c r="F169" s="232" t="s">
        <v>457</v>
      </c>
      <c r="G169" s="574">
        <v>327000</v>
      </c>
      <c r="H169" s="219"/>
    </row>
    <row r="170" spans="1:8" ht="20.100000000000001" customHeight="1">
      <c r="A170" s="624" t="s">
        <v>458</v>
      </c>
      <c r="B170" s="226"/>
      <c r="C170" s="226"/>
      <c r="D170" s="226"/>
      <c r="E170" s="226"/>
      <c r="F170" s="232" t="s">
        <v>459</v>
      </c>
      <c r="G170" s="574">
        <v>70838.39</v>
      </c>
      <c r="H170" s="219"/>
    </row>
    <row r="171" spans="1:8" ht="20.100000000000001" customHeight="1">
      <c r="A171" s="624" t="s">
        <v>460</v>
      </c>
      <c r="B171" s="226"/>
      <c r="C171" s="226"/>
      <c r="D171" s="226"/>
      <c r="E171" s="226"/>
      <c r="F171" s="232" t="s">
        <v>461</v>
      </c>
      <c r="G171" s="574">
        <v>0</v>
      </c>
      <c r="H171" s="219"/>
    </row>
    <row r="172" spans="1:8" ht="20.100000000000001" customHeight="1">
      <c r="A172" s="624" t="s">
        <v>462</v>
      </c>
      <c r="B172" s="226"/>
      <c r="C172" s="226"/>
      <c r="D172" s="226"/>
      <c r="E172" s="226"/>
      <c r="F172" s="232" t="s">
        <v>463</v>
      </c>
      <c r="G172" s="574">
        <v>7182150</v>
      </c>
      <c r="H172" s="219"/>
    </row>
    <row r="173" spans="1:8" ht="20.100000000000001" customHeight="1">
      <c r="A173" s="624" t="s">
        <v>464</v>
      </c>
      <c r="B173" s="226"/>
      <c r="C173" s="226"/>
      <c r="D173" s="226"/>
      <c r="E173" s="226"/>
      <c r="F173" s="235">
        <v>56001</v>
      </c>
      <c r="G173" s="574">
        <v>0</v>
      </c>
      <c r="H173" s="219"/>
    </row>
    <row r="174" spans="1:8" ht="20.100000000000001" customHeight="1">
      <c r="A174" s="624" t="s">
        <v>465</v>
      </c>
      <c r="B174" s="226"/>
      <c r="C174" s="226"/>
      <c r="D174" s="226"/>
      <c r="E174" s="226"/>
      <c r="F174" s="235">
        <v>56002</v>
      </c>
      <c r="G174" s="574">
        <v>0</v>
      </c>
      <c r="H174" s="219"/>
    </row>
    <row r="175" spans="1:8" ht="20.100000000000001" customHeight="1">
      <c r="A175" s="624" t="s">
        <v>466</v>
      </c>
      <c r="B175" s="226"/>
      <c r="C175" s="226"/>
      <c r="D175" s="226"/>
      <c r="E175" s="226"/>
      <c r="F175" s="235">
        <v>56003</v>
      </c>
      <c r="G175" s="574">
        <v>0</v>
      </c>
      <c r="H175" s="219"/>
    </row>
    <row r="176" spans="1:8" ht="20.100000000000001" customHeight="1">
      <c r="A176" s="624" t="s">
        <v>467</v>
      </c>
      <c r="B176" s="226"/>
      <c r="C176" s="226"/>
      <c r="D176" s="226"/>
      <c r="E176" s="226"/>
      <c r="F176" s="257" t="s">
        <v>468</v>
      </c>
      <c r="G176" s="574">
        <v>0</v>
      </c>
      <c r="H176" s="219"/>
    </row>
    <row r="177" spans="1:8" ht="20.100000000000001" customHeight="1">
      <c r="A177" s="624" t="s">
        <v>469</v>
      </c>
      <c r="B177" s="226"/>
      <c r="C177" s="226"/>
      <c r="D177" s="226"/>
      <c r="E177" s="226"/>
      <c r="F177" s="232" t="s">
        <v>470</v>
      </c>
      <c r="G177" s="574">
        <v>0</v>
      </c>
      <c r="H177" s="219"/>
    </row>
    <row r="178" spans="1:8" ht="20.100000000000001" customHeight="1">
      <c r="A178" s="633" t="s">
        <v>471</v>
      </c>
      <c r="B178" s="219"/>
      <c r="C178" s="219"/>
      <c r="D178" s="219"/>
      <c r="E178" s="219"/>
      <c r="F178" s="253" t="s">
        <v>472</v>
      </c>
      <c r="G178" s="574">
        <v>385583.94</v>
      </c>
      <c r="H178" s="219"/>
    </row>
    <row r="179" spans="1:8" ht="20.100000000000001" customHeight="1">
      <c r="A179" s="624" t="s">
        <v>473</v>
      </c>
      <c r="B179" s="226"/>
      <c r="C179" s="226"/>
      <c r="D179" s="226"/>
      <c r="E179" s="226"/>
      <c r="F179" s="232" t="s">
        <v>474</v>
      </c>
      <c r="G179" s="574">
        <v>1143347.4099999999</v>
      </c>
      <c r="H179" s="219"/>
    </row>
    <row r="180" spans="1:8" ht="20.100000000000001" customHeight="1">
      <c r="A180" s="624" t="s">
        <v>475</v>
      </c>
      <c r="B180" s="226"/>
      <c r="C180" s="226"/>
      <c r="D180" s="226"/>
      <c r="E180" s="226"/>
      <c r="F180" s="232" t="s">
        <v>476</v>
      </c>
      <c r="G180" s="574">
        <v>0</v>
      </c>
      <c r="H180" s="219"/>
    </row>
    <row r="181" spans="1:8" ht="20.100000000000001" customHeight="1">
      <c r="A181" s="624" t="s">
        <v>477</v>
      </c>
      <c r="B181" s="226"/>
      <c r="C181" s="226"/>
      <c r="D181" s="226"/>
      <c r="E181" s="226"/>
      <c r="F181" s="232" t="s">
        <v>478</v>
      </c>
      <c r="G181" s="574">
        <v>0</v>
      </c>
      <c r="H181" s="219"/>
    </row>
    <row r="182" spans="1:8" ht="20.100000000000001" customHeight="1">
      <c r="A182" s="624" t="s">
        <v>479</v>
      </c>
      <c r="B182" s="226"/>
      <c r="C182" s="226"/>
      <c r="D182" s="226"/>
      <c r="E182" s="226"/>
      <c r="F182" s="232" t="s">
        <v>480</v>
      </c>
      <c r="G182" s="574">
        <v>0</v>
      </c>
      <c r="H182" s="219"/>
    </row>
    <row r="183" spans="1:8" ht="20.100000000000001" customHeight="1">
      <c r="A183" s="624" t="s">
        <v>481</v>
      </c>
      <c r="B183" s="226"/>
      <c r="C183" s="226"/>
      <c r="D183" s="226"/>
      <c r="E183" s="226"/>
      <c r="F183" s="232" t="s">
        <v>482</v>
      </c>
      <c r="G183" s="574">
        <v>422851</v>
      </c>
      <c r="H183" s="219"/>
    </row>
    <row r="184" spans="1:8" ht="20.100000000000001" customHeight="1">
      <c r="A184" s="624" t="s">
        <v>483</v>
      </c>
      <c r="B184" s="226"/>
      <c r="C184" s="226"/>
      <c r="D184" s="226"/>
      <c r="E184" s="226"/>
      <c r="F184" s="232" t="s">
        <v>484</v>
      </c>
      <c r="G184" s="574">
        <v>0</v>
      </c>
      <c r="H184" s="219"/>
    </row>
    <row r="185" spans="1:8" ht="20.100000000000001" customHeight="1">
      <c r="A185" s="624" t="s">
        <v>485</v>
      </c>
      <c r="B185" s="226"/>
      <c r="C185" s="226"/>
      <c r="D185" s="226"/>
      <c r="E185" s="226"/>
      <c r="F185" s="232" t="s">
        <v>486</v>
      </c>
      <c r="G185" s="574">
        <v>20000.38</v>
      </c>
      <c r="H185" s="219"/>
    </row>
    <row r="186" spans="1:8" ht="20.100000000000001" customHeight="1">
      <c r="A186" s="624" t="s">
        <v>487</v>
      </c>
      <c r="B186" s="226"/>
      <c r="C186" s="226"/>
      <c r="D186" s="226"/>
      <c r="E186" s="226"/>
      <c r="F186" s="232" t="s">
        <v>488</v>
      </c>
      <c r="G186" s="574">
        <v>5142060.24</v>
      </c>
      <c r="H186" s="219"/>
    </row>
    <row r="187" spans="1:8" ht="20.100000000000001" customHeight="1">
      <c r="A187" s="624" t="s">
        <v>489</v>
      </c>
      <c r="B187" s="226"/>
      <c r="C187" s="226"/>
      <c r="D187" s="226"/>
      <c r="E187" s="226"/>
      <c r="F187" s="232" t="s">
        <v>490</v>
      </c>
      <c r="G187" s="574">
        <v>8120439.2199999997</v>
      </c>
      <c r="H187" s="219"/>
    </row>
    <row r="188" spans="1:8" ht="20.100000000000001" customHeight="1">
      <c r="A188" s="624" t="s">
        <v>491</v>
      </c>
      <c r="B188" s="226"/>
      <c r="C188" s="226"/>
      <c r="D188" s="226"/>
      <c r="E188" s="226"/>
      <c r="F188" s="232" t="s">
        <v>492</v>
      </c>
      <c r="G188" s="574">
        <v>771000</v>
      </c>
      <c r="H188" s="219"/>
    </row>
    <row r="189" spans="1:8" ht="20.100000000000001" customHeight="1">
      <c r="A189" s="624" t="s">
        <v>493</v>
      </c>
      <c r="B189" s="226"/>
      <c r="C189" s="226"/>
      <c r="D189" s="226"/>
      <c r="E189" s="226"/>
      <c r="F189" s="232" t="s">
        <v>494</v>
      </c>
      <c r="G189" s="574">
        <v>0</v>
      </c>
      <c r="H189" s="219"/>
    </row>
    <row r="190" spans="1:8" ht="20.100000000000001" customHeight="1">
      <c r="A190" s="624" t="s">
        <v>495</v>
      </c>
      <c r="B190" s="226"/>
      <c r="C190" s="226"/>
      <c r="D190" s="226"/>
      <c r="E190" s="226"/>
      <c r="F190" s="232" t="s">
        <v>496</v>
      </c>
      <c r="G190" s="574">
        <v>39650</v>
      </c>
      <c r="H190" s="219"/>
    </row>
    <row r="191" spans="1:8" ht="20.100000000000001" customHeight="1">
      <c r="A191" s="624" t="s">
        <v>497</v>
      </c>
      <c r="B191" s="226"/>
      <c r="C191" s="226"/>
      <c r="D191" s="226"/>
      <c r="E191" s="226"/>
      <c r="F191" s="258">
        <v>59600</v>
      </c>
      <c r="G191" s="574">
        <v>0</v>
      </c>
      <c r="H191" s="219"/>
    </row>
    <row r="192" spans="1:8" ht="20.100000000000001" customHeight="1">
      <c r="A192" s="624" t="s">
        <v>498</v>
      </c>
      <c r="B192" s="226"/>
      <c r="C192" s="226"/>
      <c r="D192" s="226"/>
      <c r="E192" s="226"/>
      <c r="F192" s="232" t="s">
        <v>499</v>
      </c>
      <c r="G192" s="574">
        <v>18099272.119999997</v>
      </c>
      <c r="H192" s="219"/>
    </row>
    <row r="193" spans="1:8" ht="20.100000000000001" customHeight="1">
      <c r="A193" s="624" t="s">
        <v>500</v>
      </c>
      <c r="B193" s="226"/>
      <c r="C193" s="226"/>
      <c r="D193" s="226"/>
      <c r="E193" s="226"/>
      <c r="F193" s="232" t="s">
        <v>501</v>
      </c>
      <c r="G193" s="574">
        <v>227732</v>
      </c>
      <c r="H193" s="219"/>
    </row>
    <row r="194" spans="1:8" ht="20.100000000000001" customHeight="1">
      <c r="A194" s="624" t="s">
        <v>502</v>
      </c>
      <c r="B194" s="226"/>
      <c r="C194" s="226"/>
      <c r="D194" s="226"/>
      <c r="E194" s="226"/>
      <c r="F194" s="232" t="s">
        <v>503</v>
      </c>
      <c r="G194" s="574">
        <v>645951.4</v>
      </c>
      <c r="H194" s="219"/>
    </row>
    <row r="195" spans="1:8" ht="20.100000000000001" customHeight="1">
      <c r="A195" s="624"/>
      <c r="B195" s="226"/>
      <c r="C195" s="226"/>
      <c r="D195" s="226"/>
      <c r="E195" s="226"/>
      <c r="F195" s="232"/>
      <c r="G195" s="908"/>
      <c r="H195" s="219"/>
    </row>
    <row r="196" spans="1:8" ht="20.100000000000001" customHeight="1">
      <c r="A196" s="640" t="s">
        <v>504</v>
      </c>
      <c r="B196" s="641"/>
      <c r="C196" s="641"/>
      <c r="D196" s="641"/>
      <c r="E196" s="641"/>
      <c r="F196" s="654"/>
      <c r="G196" s="655">
        <f>SUM(G148:G194)</f>
        <v>121151727.99999997</v>
      </c>
      <c r="H196" s="219"/>
    </row>
    <row r="197" spans="1:8" ht="20.100000000000001" customHeight="1">
      <c r="A197" s="637"/>
      <c r="B197" s="259"/>
      <c r="C197" s="259"/>
      <c r="D197" s="259"/>
      <c r="E197" s="259"/>
      <c r="F197" s="278"/>
      <c r="G197" s="260"/>
      <c r="H197" s="219"/>
    </row>
    <row r="198" spans="1:8" ht="20.100000000000001" customHeight="1">
      <c r="A198" s="909" t="s">
        <v>505</v>
      </c>
      <c r="B198" s="752"/>
      <c r="C198" s="752"/>
      <c r="D198" s="752"/>
      <c r="E198" s="752"/>
      <c r="F198" s="894"/>
      <c r="G198" s="910"/>
      <c r="H198" s="219"/>
    </row>
    <row r="199" spans="1:8" ht="20.100000000000001" customHeight="1">
      <c r="A199" s="624"/>
      <c r="B199" s="226"/>
      <c r="C199" s="226"/>
      <c r="D199" s="226"/>
      <c r="E199" s="226"/>
      <c r="F199" s="232"/>
      <c r="G199" s="256"/>
      <c r="H199" s="219"/>
    </row>
    <row r="200" spans="1:8" ht="20.100000000000001" customHeight="1">
      <c r="A200" s="624" t="s">
        <v>506</v>
      </c>
      <c r="B200" s="226"/>
      <c r="C200" s="226"/>
      <c r="D200" s="226"/>
      <c r="E200" s="226"/>
      <c r="F200" s="232" t="s">
        <v>507</v>
      </c>
      <c r="G200" s="574">
        <v>725627.34</v>
      </c>
      <c r="H200" s="219"/>
    </row>
    <row r="201" spans="1:8" ht="20.100000000000001" customHeight="1">
      <c r="A201" s="624" t="s">
        <v>508</v>
      </c>
      <c r="B201" s="226"/>
      <c r="C201" s="226"/>
      <c r="D201" s="226"/>
      <c r="E201" s="226"/>
      <c r="F201" s="232" t="s">
        <v>509</v>
      </c>
      <c r="G201" s="574">
        <v>249258</v>
      </c>
      <c r="H201" s="219"/>
    </row>
    <row r="202" spans="1:8" ht="20.100000000000001" customHeight="1">
      <c r="A202" s="624" t="s">
        <v>510</v>
      </c>
      <c r="B202" s="226"/>
      <c r="C202" s="226"/>
      <c r="D202" s="226"/>
      <c r="E202" s="226"/>
      <c r="F202" s="232" t="s">
        <v>511</v>
      </c>
      <c r="G202" s="574">
        <v>861420.56</v>
      </c>
      <c r="H202" s="219"/>
    </row>
    <row r="203" spans="1:8" ht="20.100000000000001" customHeight="1">
      <c r="A203" s="624" t="s">
        <v>512</v>
      </c>
      <c r="B203" s="226"/>
      <c r="C203" s="226"/>
      <c r="D203" s="226"/>
      <c r="E203" s="226"/>
      <c r="F203" s="232" t="s">
        <v>513</v>
      </c>
      <c r="G203" s="574">
        <v>449757.44</v>
      </c>
      <c r="H203" s="219"/>
    </row>
    <row r="204" spans="1:8" ht="20.100000000000001" customHeight="1">
      <c r="A204" s="624" t="s">
        <v>514</v>
      </c>
      <c r="B204" s="226"/>
      <c r="C204" s="226"/>
      <c r="D204" s="226"/>
      <c r="E204" s="226"/>
      <c r="F204" s="232" t="s">
        <v>515</v>
      </c>
      <c r="G204" s="574">
        <v>1288324</v>
      </c>
      <c r="H204" s="219"/>
    </row>
    <row r="205" spans="1:8" ht="20.100000000000001" customHeight="1">
      <c r="A205" s="624" t="s">
        <v>516</v>
      </c>
      <c r="B205" s="226"/>
      <c r="C205" s="226"/>
      <c r="D205" s="226"/>
      <c r="E205" s="226"/>
      <c r="F205" s="232" t="s">
        <v>517</v>
      </c>
      <c r="G205" s="574">
        <v>246132</v>
      </c>
      <c r="H205" s="219"/>
    </row>
    <row r="206" spans="1:8" ht="20.100000000000001" customHeight="1">
      <c r="A206" s="624" t="s">
        <v>732</v>
      </c>
      <c r="B206" s="226"/>
      <c r="C206" s="226"/>
      <c r="D206" s="226"/>
      <c r="E206" s="226"/>
      <c r="F206" s="1242">
        <v>63100</v>
      </c>
      <c r="G206" s="574">
        <v>786105.5</v>
      </c>
      <c r="H206" s="219"/>
    </row>
    <row r="207" spans="1:8" ht="20.100000000000001" customHeight="1">
      <c r="A207" s="624" t="s">
        <v>518</v>
      </c>
      <c r="B207" s="226"/>
      <c r="C207" s="226"/>
      <c r="D207" s="226"/>
      <c r="E207" s="226"/>
      <c r="F207" s="232" t="s">
        <v>519</v>
      </c>
      <c r="G207" s="574">
        <v>2960590</v>
      </c>
      <c r="H207" s="219"/>
    </row>
    <row r="208" spans="1:8" ht="20.100000000000001" customHeight="1">
      <c r="A208" s="624" t="s">
        <v>520</v>
      </c>
      <c r="B208" s="226"/>
      <c r="C208" s="226"/>
      <c r="D208" s="226"/>
      <c r="E208" s="226"/>
      <c r="F208" s="232" t="s">
        <v>521</v>
      </c>
      <c r="G208" s="574"/>
      <c r="H208" s="219"/>
    </row>
    <row r="209" spans="1:8" ht="20.100000000000001" customHeight="1">
      <c r="A209" s="624" t="s">
        <v>522</v>
      </c>
      <c r="B209" s="226"/>
      <c r="C209" s="226"/>
      <c r="D209" s="226"/>
      <c r="E209" s="226"/>
      <c r="F209" s="232" t="s">
        <v>523</v>
      </c>
      <c r="G209" s="574">
        <v>133379</v>
      </c>
      <c r="H209" s="219"/>
    </row>
    <row r="210" spans="1:8" ht="20.100000000000001" customHeight="1">
      <c r="A210" s="624" t="s">
        <v>524</v>
      </c>
      <c r="B210" s="226"/>
      <c r="C210" s="226"/>
      <c r="D210" s="226"/>
      <c r="E210" s="226"/>
      <c r="F210" s="232" t="s">
        <v>525</v>
      </c>
      <c r="G210" s="574">
        <v>425000</v>
      </c>
      <c r="H210" s="219"/>
    </row>
    <row r="211" spans="1:8" ht="20.100000000000001" customHeight="1">
      <c r="A211" s="624" t="s">
        <v>526</v>
      </c>
      <c r="B211" s="226"/>
      <c r="C211" s="226"/>
      <c r="D211" s="226"/>
      <c r="E211" s="226"/>
      <c r="F211" s="232" t="s">
        <v>527</v>
      </c>
      <c r="G211" s="574">
        <v>4350000</v>
      </c>
      <c r="H211" s="219"/>
    </row>
    <row r="212" spans="1:8" ht="20.100000000000001" customHeight="1">
      <c r="A212" s="624" t="s">
        <v>528</v>
      </c>
      <c r="B212" s="226"/>
      <c r="C212" s="226"/>
      <c r="D212" s="226"/>
      <c r="E212" s="226"/>
      <c r="F212" s="232" t="s">
        <v>529</v>
      </c>
      <c r="G212" s="574">
        <v>0</v>
      </c>
      <c r="H212" s="219"/>
    </row>
    <row r="213" spans="1:8" ht="20.100000000000001" customHeight="1">
      <c r="A213" s="624" t="s">
        <v>530</v>
      </c>
      <c r="B213" s="226"/>
      <c r="C213" s="226"/>
      <c r="D213" s="226"/>
      <c r="E213" s="226"/>
      <c r="F213" s="232" t="s">
        <v>531</v>
      </c>
      <c r="G213" s="574">
        <v>2400</v>
      </c>
      <c r="H213" s="219"/>
    </row>
    <row r="214" spans="1:8" ht="20.100000000000001" customHeight="1">
      <c r="A214" s="624" t="s">
        <v>532</v>
      </c>
      <c r="B214" s="219"/>
      <c r="C214" s="219"/>
      <c r="D214" s="219"/>
      <c r="E214" s="219"/>
      <c r="F214" s="232" t="s">
        <v>533</v>
      </c>
      <c r="G214" s="574">
        <v>300</v>
      </c>
      <c r="H214" s="219"/>
    </row>
    <row r="215" spans="1:8" ht="20.100000000000001" customHeight="1">
      <c r="A215" s="624" t="s">
        <v>534</v>
      </c>
      <c r="B215" s="219"/>
      <c r="C215" s="219"/>
      <c r="D215" s="219"/>
      <c r="E215" s="219"/>
      <c r="F215" s="235">
        <v>64007</v>
      </c>
      <c r="G215" s="574">
        <v>0</v>
      </c>
      <c r="H215" s="219"/>
    </row>
    <row r="216" spans="1:8" ht="20.100000000000001" customHeight="1">
      <c r="A216" s="624" t="s">
        <v>535</v>
      </c>
      <c r="B216" s="226"/>
      <c r="C216" s="226"/>
      <c r="D216" s="226"/>
      <c r="E216" s="226"/>
      <c r="F216" s="232" t="s">
        <v>536</v>
      </c>
      <c r="G216" s="574">
        <f>2555237+2537262.05</f>
        <v>5092499.05</v>
      </c>
      <c r="H216" s="219"/>
    </row>
    <row r="217" spans="1:8" ht="20.100000000000001" customHeight="1">
      <c r="A217" s="624" t="s">
        <v>724</v>
      </c>
      <c r="B217" s="226"/>
      <c r="C217" s="226"/>
      <c r="D217" s="226"/>
      <c r="E217" s="226"/>
      <c r="F217" s="232" t="s">
        <v>537</v>
      </c>
      <c r="G217" s="574">
        <v>0</v>
      </c>
      <c r="H217" s="219"/>
    </row>
    <row r="218" spans="1:8" ht="20.100000000000001" customHeight="1">
      <c r="A218" s="624" t="s">
        <v>538</v>
      </c>
      <c r="B218" s="226"/>
      <c r="C218" s="226"/>
      <c r="D218" s="226"/>
      <c r="E218" s="226"/>
      <c r="F218" s="232" t="s">
        <v>539</v>
      </c>
      <c r="G218" s="574">
        <v>23974</v>
      </c>
      <c r="H218" s="219"/>
    </row>
    <row r="219" spans="1:8" ht="20.100000000000001" customHeight="1">
      <c r="A219" s="624" t="s">
        <v>540</v>
      </c>
      <c r="B219" s="226"/>
      <c r="C219" s="226"/>
      <c r="D219" s="226"/>
      <c r="E219" s="226"/>
      <c r="F219" s="232" t="s">
        <v>541</v>
      </c>
      <c r="G219" s="574">
        <v>4021296</v>
      </c>
      <c r="H219" s="219"/>
    </row>
    <row r="220" spans="1:8" ht="20.100000000000001" customHeight="1">
      <c r="A220" s="624" t="s">
        <v>542</v>
      </c>
      <c r="B220" s="226"/>
      <c r="C220" s="226"/>
      <c r="D220" s="226"/>
      <c r="E220" s="226"/>
      <c r="F220" s="232" t="s">
        <v>543</v>
      </c>
      <c r="G220" s="574">
        <v>2045613.5</v>
      </c>
      <c r="H220" s="219"/>
    </row>
    <row r="221" spans="1:8" ht="20.100000000000001" customHeight="1">
      <c r="A221" s="624" t="s">
        <v>544</v>
      </c>
      <c r="B221" s="219"/>
      <c r="C221" s="219"/>
      <c r="D221" s="219"/>
      <c r="E221" s="219"/>
      <c r="F221" s="253" t="s">
        <v>545</v>
      </c>
      <c r="G221" s="574">
        <v>3027977.73</v>
      </c>
      <c r="H221" s="219"/>
    </row>
    <row r="222" spans="1:8" ht="20.100000000000001" customHeight="1">
      <c r="A222" s="624" t="s">
        <v>546</v>
      </c>
      <c r="B222" s="226"/>
      <c r="C222" s="226"/>
      <c r="D222" s="226"/>
      <c r="E222" s="226"/>
      <c r="F222" s="232" t="s">
        <v>547</v>
      </c>
      <c r="G222" s="574">
        <v>713858.5</v>
      </c>
      <c r="H222" s="219"/>
    </row>
    <row r="223" spans="1:8" ht="20.100000000000001" customHeight="1">
      <c r="A223" s="624" t="s">
        <v>548</v>
      </c>
      <c r="B223" s="226"/>
      <c r="C223" s="226"/>
      <c r="D223" s="226"/>
      <c r="E223" s="226"/>
      <c r="F223" s="232" t="s">
        <v>549</v>
      </c>
      <c r="G223" s="574">
        <f>846210.7+48426.52</f>
        <v>894637.22</v>
      </c>
      <c r="H223" s="219"/>
    </row>
    <row r="224" spans="1:8" ht="20.100000000000001" customHeight="1">
      <c r="A224" s="625" t="s">
        <v>550</v>
      </c>
      <c r="B224" s="229"/>
      <c r="C224" s="229"/>
      <c r="D224" s="229"/>
      <c r="E224" s="229"/>
      <c r="F224" s="245" t="s">
        <v>551</v>
      </c>
      <c r="G224" s="574">
        <v>308650</v>
      </c>
      <c r="H224" s="219"/>
    </row>
    <row r="225" spans="1:9" ht="20.100000000000001" customHeight="1">
      <c r="A225" s="624" t="s">
        <v>552</v>
      </c>
      <c r="B225" s="226"/>
      <c r="C225" s="226"/>
      <c r="D225" s="226"/>
      <c r="E225" s="226"/>
      <c r="F225" s="250" t="s">
        <v>553</v>
      </c>
      <c r="G225" s="574">
        <v>17975</v>
      </c>
      <c r="H225" s="219"/>
    </row>
    <row r="226" spans="1:9" ht="20.100000000000001" customHeight="1">
      <c r="A226" s="624" t="s">
        <v>554</v>
      </c>
      <c r="B226" s="226"/>
      <c r="C226" s="226"/>
      <c r="D226" s="226"/>
      <c r="E226" s="226"/>
      <c r="F226" s="232" t="s">
        <v>555</v>
      </c>
      <c r="G226" s="574">
        <v>21818</v>
      </c>
      <c r="H226" s="219"/>
    </row>
    <row r="227" spans="1:9" ht="20.100000000000001" customHeight="1">
      <c r="A227" s="624" t="s">
        <v>556</v>
      </c>
      <c r="B227" s="226"/>
      <c r="C227" s="226"/>
      <c r="D227" s="226"/>
      <c r="E227" s="226"/>
      <c r="F227" s="232" t="s">
        <v>557</v>
      </c>
      <c r="G227" s="574">
        <v>0</v>
      </c>
      <c r="H227" s="219"/>
    </row>
    <row r="228" spans="1:9" ht="20.100000000000001" customHeight="1">
      <c r="A228" s="624" t="s">
        <v>558</v>
      </c>
      <c r="B228" s="226"/>
      <c r="C228" s="226"/>
      <c r="D228" s="226"/>
      <c r="E228" s="226"/>
      <c r="F228" s="232" t="s">
        <v>559</v>
      </c>
      <c r="G228" s="574">
        <v>2377858</v>
      </c>
      <c r="H228" s="219"/>
    </row>
    <row r="229" spans="1:9" ht="20.100000000000001" customHeight="1">
      <c r="A229" s="624" t="s">
        <v>560</v>
      </c>
      <c r="B229" s="226"/>
      <c r="C229" s="226"/>
      <c r="D229" s="226"/>
      <c r="E229" s="226"/>
      <c r="F229" s="232" t="s">
        <v>561</v>
      </c>
      <c r="G229" s="574">
        <v>0</v>
      </c>
      <c r="H229" s="219"/>
    </row>
    <row r="230" spans="1:9" ht="20.100000000000001" customHeight="1">
      <c r="A230" s="624" t="s">
        <v>562</v>
      </c>
      <c r="B230" s="226"/>
      <c r="C230" s="226"/>
      <c r="D230" s="226"/>
      <c r="E230" s="226"/>
      <c r="F230" s="232" t="s">
        <v>563</v>
      </c>
      <c r="G230" s="574">
        <v>0</v>
      </c>
      <c r="H230" s="219"/>
    </row>
    <row r="231" spans="1:9" ht="20.100000000000001" customHeight="1">
      <c r="A231" s="638" t="s">
        <v>564</v>
      </c>
      <c r="B231" s="226"/>
      <c r="C231" s="226"/>
      <c r="D231" s="261"/>
      <c r="E231" s="226"/>
      <c r="F231" s="262" t="s">
        <v>565</v>
      </c>
      <c r="G231" s="574">
        <v>495000</v>
      </c>
      <c r="H231" s="219"/>
    </row>
    <row r="232" spans="1:9" ht="20.100000000000001" customHeight="1">
      <c r="A232" s="638" t="s">
        <v>566</v>
      </c>
      <c r="B232" s="263"/>
      <c r="C232" s="263"/>
      <c r="D232" s="264"/>
      <c r="E232" s="263"/>
      <c r="F232" s="265" t="s">
        <v>567</v>
      </c>
      <c r="G232" s="574">
        <v>0</v>
      </c>
      <c r="H232" s="219"/>
    </row>
    <row r="233" spans="1:9" ht="20.100000000000001" customHeight="1">
      <c r="A233" s="638" t="s">
        <v>568</v>
      </c>
      <c r="B233" s="263"/>
      <c r="C233" s="263"/>
      <c r="D233" s="264"/>
      <c r="E233" s="263"/>
      <c r="F233" s="265" t="s">
        <v>569</v>
      </c>
      <c r="G233" s="574">
        <v>0</v>
      </c>
      <c r="H233" s="219"/>
    </row>
    <row r="234" spans="1:9" ht="20.100000000000001" customHeight="1">
      <c r="A234" s="638" t="s">
        <v>570</v>
      </c>
      <c r="B234" s="263"/>
      <c r="C234" s="263"/>
      <c r="D234" s="264"/>
      <c r="E234" s="263"/>
      <c r="F234" s="266" t="s">
        <v>571</v>
      </c>
      <c r="G234" s="574">
        <v>815000</v>
      </c>
      <c r="H234" s="219"/>
    </row>
    <row r="235" spans="1:9" ht="20.100000000000001" customHeight="1">
      <c r="A235" s="638" t="s">
        <v>572</v>
      </c>
      <c r="B235" s="263"/>
      <c r="C235" s="263"/>
      <c r="D235" s="264"/>
      <c r="E235" s="263"/>
      <c r="F235" s="267">
        <v>69270</v>
      </c>
      <c r="G235" s="574">
        <v>0</v>
      </c>
      <c r="H235" s="219"/>
    </row>
    <row r="236" spans="1:9" ht="20.100000000000001" customHeight="1">
      <c r="A236" s="624" t="s">
        <v>573</v>
      </c>
      <c r="B236" s="226"/>
      <c r="C236" s="226"/>
      <c r="D236" s="226"/>
      <c r="E236" s="226"/>
      <c r="F236" s="232" t="s">
        <v>574</v>
      </c>
      <c r="G236" s="574">
        <v>600200</v>
      </c>
      <c r="H236" s="219"/>
      <c r="I236" s="268"/>
    </row>
    <row r="237" spans="1:9" ht="20.100000000000001" customHeight="1">
      <c r="A237" s="624" t="s">
        <v>575</v>
      </c>
      <c r="B237" s="226"/>
      <c r="C237" s="226"/>
      <c r="D237" s="226"/>
      <c r="E237" s="226"/>
      <c r="F237" s="232" t="s">
        <v>576</v>
      </c>
      <c r="G237" s="574">
        <v>9403673</v>
      </c>
      <c r="H237" s="219"/>
    </row>
    <row r="238" spans="1:9" ht="20.100000000000001" customHeight="1">
      <c r="A238" s="624" t="s">
        <v>577</v>
      </c>
      <c r="B238" s="226"/>
      <c r="C238" s="226"/>
      <c r="D238" s="226"/>
      <c r="E238" s="226"/>
      <c r="F238" s="232" t="s">
        <v>578</v>
      </c>
      <c r="G238" s="1330">
        <v>0</v>
      </c>
      <c r="H238" s="219"/>
    </row>
    <row r="239" spans="1:9" ht="20.100000000000001" customHeight="1">
      <c r="A239" s="624"/>
      <c r="B239" s="226"/>
      <c r="C239" s="226"/>
      <c r="D239" s="226"/>
      <c r="E239" s="226"/>
      <c r="F239" s="232"/>
      <c r="G239" s="269"/>
      <c r="H239" s="219"/>
    </row>
    <row r="240" spans="1:9" ht="20.100000000000001" customHeight="1">
      <c r="A240" s="905" t="s">
        <v>579</v>
      </c>
      <c r="B240" s="707"/>
      <c r="C240" s="707"/>
      <c r="D240" s="707"/>
      <c r="E240" s="707"/>
      <c r="F240" s="708"/>
      <c r="G240" s="777">
        <f>SUM(G200:G238)</f>
        <v>42338323.840000004</v>
      </c>
      <c r="H240" s="219"/>
    </row>
    <row r="241" spans="1:10" ht="20.100000000000001" customHeight="1">
      <c r="A241" s="637"/>
      <c r="B241" s="259"/>
      <c r="C241" s="259"/>
      <c r="D241" s="259"/>
      <c r="E241" s="259"/>
      <c r="F241" s="712"/>
      <c r="G241" s="713"/>
      <c r="H241" s="219"/>
    </row>
    <row r="242" spans="1:10" ht="20.100000000000001" customHeight="1">
      <c r="A242" s="1053" t="s">
        <v>165</v>
      </c>
      <c r="B242" s="1054"/>
      <c r="C242" s="1054"/>
      <c r="D242" s="1054"/>
      <c r="E242" s="1054"/>
      <c r="F242" s="1055"/>
      <c r="G242" s="911"/>
      <c r="H242" s="219"/>
    </row>
    <row r="243" spans="1:10" ht="20.100000000000001" customHeight="1">
      <c r="A243" s="624"/>
      <c r="B243" s="226"/>
      <c r="C243" s="226"/>
      <c r="D243" s="226"/>
      <c r="E243" s="226"/>
      <c r="F243" s="232"/>
      <c r="G243" s="269"/>
      <c r="H243" s="219"/>
    </row>
    <row r="244" spans="1:10" ht="20.100000000000001" customHeight="1">
      <c r="A244" s="625" t="s">
        <v>580</v>
      </c>
      <c r="B244" s="229"/>
      <c r="C244" s="229"/>
      <c r="D244" s="229"/>
      <c r="E244" s="229"/>
      <c r="F244" s="245" t="s">
        <v>581</v>
      </c>
      <c r="G244" s="574">
        <v>570704</v>
      </c>
      <c r="H244" s="219"/>
    </row>
    <row r="245" spans="1:10" ht="20.100000000000001" customHeight="1">
      <c r="A245" s="625" t="s">
        <v>582</v>
      </c>
      <c r="B245" s="229"/>
      <c r="C245" s="229"/>
      <c r="D245" s="229"/>
      <c r="E245" s="229"/>
      <c r="F245" s="245" t="s">
        <v>583</v>
      </c>
      <c r="G245" s="574">
        <v>0</v>
      </c>
      <c r="H245" s="219"/>
    </row>
    <row r="246" spans="1:10" ht="20.100000000000001" customHeight="1">
      <c r="A246" s="624" t="s">
        <v>584</v>
      </c>
      <c r="B246" s="226"/>
      <c r="C246" s="226"/>
      <c r="D246" s="226"/>
      <c r="E246" s="226"/>
      <c r="F246" s="232" t="s">
        <v>585</v>
      </c>
      <c r="G246" s="574">
        <v>0</v>
      </c>
      <c r="H246" s="219"/>
    </row>
    <row r="247" spans="1:10" ht="20.100000000000001" customHeight="1">
      <c r="A247" s="625" t="s">
        <v>586</v>
      </c>
      <c r="B247" s="229"/>
      <c r="C247" s="229"/>
      <c r="D247" s="229"/>
      <c r="E247" s="229"/>
      <c r="F247" s="1288" t="s">
        <v>587</v>
      </c>
      <c r="G247" s="574">
        <v>0</v>
      </c>
      <c r="H247" s="661"/>
      <c r="I247" s="222"/>
    </row>
    <row r="248" spans="1:10" ht="20.100000000000001" customHeight="1">
      <c r="A248" s="1302" t="s">
        <v>763</v>
      </c>
      <c r="B248" s="1303"/>
      <c r="C248" s="1303"/>
      <c r="D248" s="1303"/>
      <c r="E248" s="1303"/>
      <c r="F248" s="1331">
        <v>73001</v>
      </c>
      <c r="G248" s="574">
        <v>0</v>
      </c>
      <c r="H248" s="661"/>
      <c r="I248" s="222"/>
    </row>
    <row r="249" spans="1:10" ht="20.100000000000001" customHeight="1">
      <c r="A249" s="1302" t="s">
        <v>764</v>
      </c>
      <c r="B249" s="1303"/>
      <c r="C249" s="1303"/>
      <c r="D249" s="1303"/>
      <c r="E249" s="1303"/>
      <c r="F249" s="1331">
        <v>73002</v>
      </c>
      <c r="G249" s="574">
        <v>0</v>
      </c>
      <c r="H249" s="661"/>
      <c r="I249" s="222"/>
    </row>
    <row r="250" spans="1:10" ht="20.100000000000001" customHeight="1">
      <c r="A250" s="625" t="s">
        <v>588</v>
      </c>
      <c r="B250" s="229"/>
      <c r="C250" s="229"/>
      <c r="D250" s="229"/>
      <c r="E250" s="229"/>
      <c r="F250" s="252">
        <v>73050</v>
      </c>
      <c r="G250" s="574">
        <v>0</v>
      </c>
      <c r="H250" s="661"/>
      <c r="I250" s="222"/>
    </row>
    <row r="251" spans="1:10" ht="20.100000000000001" customHeight="1">
      <c r="A251" s="625" t="s">
        <v>731</v>
      </c>
      <c r="B251" s="229"/>
      <c r="C251" s="229"/>
      <c r="D251" s="229"/>
      <c r="E251" s="229"/>
      <c r="F251" s="252">
        <v>73100</v>
      </c>
      <c r="G251" s="574">
        <v>0</v>
      </c>
      <c r="H251" s="661"/>
      <c r="I251" s="222"/>
    </row>
    <row r="252" spans="1:10" ht="20.100000000000001" customHeight="1">
      <c r="A252" s="625" t="s">
        <v>589</v>
      </c>
      <c r="B252" s="229"/>
      <c r="C252" s="229"/>
      <c r="D252" s="229"/>
      <c r="E252" s="229"/>
      <c r="F252" s="245" t="s">
        <v>590</v>
      </c>
      <c r="G252" s="574">
        <v>0</v>
      </c>
      <c r="H252" s="661"/>
      <c r="I252" s="222"/>
    </row>
    <row r="253" spans="1:10" ht="20.100000000000001" customHeight="1">
      <c r="A253" s="625" t="s">
        <v>591</v>
      </c>
      <c r="B253" s="229"/>
      <c r="C253" s="229"/>
      <c r="D253" s="229"/>
      <c r="E253" s="229"/>
      <c r="F253" s="245" t="s">
        <v>592</v>
      </c>
      <c r="G253" s="574">
        <v>0</v>
      </c>
      <c r="H253" s="661"/>
      <c r="I253" s="222"/>
      <c r="J253" s="222"/>
    </row>
    <row r="254" spans="1:10" s="222" customFormat="1" ht="20.100000000000001" customHeight="1">
      <c r="A254" s="625" t="s">
        <v>593</v>
      </c>
      <c r="B254" s="229"/>
      <c r="C254" s="229"/>
      <c r="D254" s="229"/>
      <c r="E254" s="229"/>
      <c r="F254" s="245" t="s">
        <v>594</v>
      </c>
      <c r="G254" s="574">
        <v>0</v>
      </c>
      <c r="H254" s="661"/>
    </row>
    <row r="255" spans="1:10" ht="20.100000000000001" customHeight="1">
      <c r="A255" s="625" t="s">
        <v>595</v>
      </c>
      <c r="B255" s="229"/>
      <c r="C255" s="229"/>
      <c r="D255" s="229"/>
      <c r="E255" s="229"/>
      <c r="F255" s="245" t="s">
        <v>596</v>
      </c>
      <c r="G255" s="574">
        <v>0</v>
      </c>
      <c r="H255" s="661"/>
      <c r="I255" s="222"/>
      <c r="J255" s="222"/>
    </row>
    <row r="256" spans="1:10" ht="20.100000000000001" customHeight="1">
      <c r="A256" s="625" t="s">
        <v>597</v>
      </c>
      <c r="B256" s="229"/>
      <c r="C256" s="229"/>
      <c r="D256" s="229"/>
      <c r="E256" s="229"/>
      <c r="F256" s="245" t="s">
        <v>598</v>
      </c>
      <c r="G256" s="574">
        <v>0</v>
      </c>
      <c r="H256" s="661"/>
      <c r="I256" s="222"/>
    </row>
    <row r="257" spans="1:9" ht="20.100000000000001" customHeight="1">
      <c r="A257" s="625"/>
      <c r="B257" s="229"/>
      <c r="C257" s="229"/>
      <c r="D257" s="229"/>
      <c r="E257" s="229"/>
      <c r="F257" s="245"/>
      <c r="G257" s="912"/>
      <c r="H257" s="661"/>
      <c r="I257" s="222"/>
    </row>
    <row r="258" spans="1:9" ht="20.100000000000001" customHeight="1">
      <c r="A258" s="905" t="s">
        <v>599</v>
      </c>
      <c r="B258" s="707"/>
      <c r="C258" s="707"/>
      <c r="D258" s="707"/>
      <c r="E258" s="707"/>
      <c r="F258" s="708"/>
      <c r="G258" s="777">
        <f>SUM(G244:G256)</f>
        <v>570704</v>
      </c>
      <c r="H258" s="219"/>
    </row>
    <row r="259" spans="1:9" ht="20.100000000000001" customHeight="1">
      <c r="A259" s="637"/>
      <c r="B259" s="259"/>
      <c r="C259" s="259"/>
      <c r="D259" s="259"/>
      <c r="E259" s="259"/>
      <c r="F259" s="259"/>
      <c r="G259" s="714"/>
      <c r="H259" s="219"/>
    </row>
    <row r="260" spans="1:9" ht="20.100000000000001" customHeight="1" thickBot="1">
      <c r="A260" s="656" t="s">
        <v>600</v>
      </c>
      <c r="B260" s="657"/>
      <c r="C260" s="657"/>
      <c r="D260" s="657"/>
      <c r="E260" s="657"/>
      <c r="F260" s="658"/>
      <c r="G260" s="659">
        <f>SUM(G196+G240+G258)</f>
        <v>164060755.83999997</v>
      </c>
      <c r="H260" s="219"/>
    </row>
    <row r="261" spans="1:9" ht="20.100000000000001" customHeight="1" thickTop="1">
      <c r="A261" s="913"/>
      <c r="B261" s="914"/>
      <c r="C261" s="914"/>
      <c r="D261" s="914"/>
      <c r="E261" s="914"/>
      <c r="F261" s="915"/>
      <c r="G261" s="916"/>
      <c r="H261" s="219"/>
    </row>
    <row r="262" spans="1:9" ht="20.100000000000001" customHeight="1">
      <c r="A262" s="1062"/>
      <c r="B262" s="1063"/>
      <c r="C262" s="1063"/>
      <c r="D262" s="1063"/>
      <c r="E262" s="1063"/>
      <c r="F262" s="1064"/>
      <c r="G262" s="917"/>
      <c r="H262" s="219"/>
    </row>
    <row r="263" spans="1:9" ht="20.100000000000001" customHeight="1">
      <c r="A263" s="624"/>
      <c r="B263" s="226"/>
      <c r="C263" s="226"/>
      <c r="D263" s="226"/>
      <c r="E263" s="226"/>
      <c r="F263" s="232"/>
      <c r="G263" s="269"/>
      <c r="H263" s="219"/>
    </row>
    <row r="264" spans="1:9" ht="20.100000000000001" customHeight="1">
      <c r="A264" s="624" t="s">
        <v>601</v>
      </c>
      <c r="B264" s="226"/>
      <c r="C264" s="226"/>
      <c r="D264" s="226"/>
      <c r="E264" s="226"/>
      <c r="F264" s="270">
        <v>30100</v>
      </c>
      <c r="G264" s="573">
        <v>0</v>
      </c>
      <c r="H264" s="219"/>
    </row>
    <row r="265" spans="1:9" ht="20.100000000000001" customHeight="1">
      <c r="A265" s="624" t="s">
        <v>602</v>
      </c>
      <c r="B265" s="226"/>
      <c r="C265" s="226"/>
      <c r="D265" s="226"/>
      <c r="E265" s="226"/>
      <c r="F265" s="270">
        <v>30200</v>
      </c>
      <c r="G265" s="574">
        <v>0</v>
      </c>
      <c r="H265" s="219"/>
    </row>
    <row r="266" spans="1:9" ht="20.100000000000001" customHeight="1">
      <c r="A266" s="624" t="s">
        <v>603</v>
      </c>
      <c r="B266" s="226"/>
      <c r="C266" s="226"/>
      <c r="D266" s="226"/>
      <c r="E266" s="226"/>
      <c r="F266" s="270">
        <v>30300</v>
      </c>
      <c r="G266" s="574">
        <v>0</v>
      </c>
      <c r="H266" s="219"/>
    </row>
    <row r="267" spans="1:9" ht="20.100000000000001" customHeight="1">
      <c r="A267" s="624" t="s">
        <v>604</v>
      </c>
      <c r="B267" s="226"/>
      <c r="C267" s="226"/>
      <c r="D267" s="226"/>
      <c r="E267" s="226"/>
      <c r="F267" s="270">
        <v>30400</v>
      </c>
      <c r="G267" s="574">
        <v>1910320</v>
      </c>
      <c r="H267" s="219"/>
    </row>
    <row r="268" spans="1:9" ht="20.100000000000001" customHeight="1">
      <c r="A268" s="624" t="s">
        <v>605</v>
      </c>
      <c r="B268" s="226"/>
      <c r="C268" s="226"/>
      <c r="D268" s="226"/>
      <c r="E268" s="226"/>
      <c r="F268" s="270">
        <v>30500</v>
      </c>
      <c r="G268" s="574">
        <v>285000</v>
      </c>
      <c r="H268" s="219"/>
    </row>
    <row r="269" spans="1:9" ht="20.100000000000001" customHeight="1">
      <c r="A269" s="624" t="s">
        <v>606</v>
      </c>
      <c r="B269" s="226"/>
      <c r="C269" s="226"/>
      <c r="D269" s="226"/>
      <c r="E269" s="226"/>
      <c r="F269" s="270">
        <v>30600</v>
      </c>
      <c r="G269" s="574">
        <v>0</v>
      </c>
      <c r="H269" s="219"/>
    </row>
    <row r="270" spans="1:9" ht="20.100000000000001" customHeight="1">
      <c r="A270" s="624" t="s">
        <v>607</v>
      </c>
      <c r="B270" s="226"/>
      <c r="C270" s="226"/>
      <c r="D270" s="226"/>
      <c r="E270" s="226"/>
      <c r="F270" s="270">
        <v>30700</v>
      </c>
      <c r="G270" s="574">
        <v>0</v>
      </c>
      <c r="H270" s="219"/>
    </row>
    <row r="271" spans="1:9" ht="20.100000000000001" customHeight="1">
      <c r="A271" s="624" t="s">
        <v>608</v>
      </c>
      <c r="B271" s="226"/>
      <c r="C271" s="226"/>
      <c r="D271" s="226"/>
      <c r="E271" s="226"/>
      <c r="F271" s="270">
        <v>30900</v>
      </c>
      <c r="G271" s="574">
        <v>0</v>
      </c>
      <c r="H271" s="219"/>
    </row>
    <row r="272" spans="1:9" ht="20.100000000000001" customHeight="1">
      <c r="A272" s="624" t="s">
        <v>609</v>
      </c>
      <c r="B272" s="226"/>
      <c r="C272" s="226"/>
      <c r="D272" s="226"/>
      <c r="E272" s="226"/>
      <c r="F272" s="270">
        <v>31100</v>
      </c>
      <c r="G272" s="1339">
        <f>42904825-G264-G267-G268</f>
        <v>40709505</v>
      </c>
      <c r="H272" s="219"/>
    </row>
    <row r="273" spans="1:12" ht="20.100000000000001" customHeight="1">
      <c r="A273" s="624"/>
      <c r="B273" s="226"/>
      <c r="C273" s="226"/>
      <c r="D273" s="226"/>
      <c r="E273" s="226"/>
      <c r="F273" s="270"/>
      <c r="G273" s="918"/>
      <c r="H273" s="219"/>
    </row>
    <row r="274" spans="1:12" ht="20.100000000000001" customHeight="1">
      <c r="A274" s="626" t="s">
        <v>610</v>
      </c>
      <c r="B274" s="226"/>
      <c r="C274" s="226"/>
      <c r="D274" s="226"/>
      <c r="E274" s="226"/>
      <c r="F274" s="270"/>
      <c r="G274" s="919">
        <f>SUM(G264:G272)</f>
        <v>42904825</v>
      </c>
      <c r="H274" s="219"/>
    </row>
    <row r="275" spans="1:12" ht="20.100000000000001" customHeight="1">
      <c r="A275" s="626"/>
      <c r="B275" s="226"/>
      <c r="C275" s="226"/>
      <c r="D275" s="226"/>
      <c r="E275" s="226"/>
      <c r="F275" s="270"/>
      <c r="G275" s="269"/>
      <c r="H275" s="219"/>
    </row>
    <row r="276" spans="1:12" ht="20.100000000000001" customHeight="1" thickBot="1">
      <c r="A276" s="639" t="s">
        <v>765</v>
      </c>
      <c r="B276" s="219"/>
      <c r="C276" s="219"/>
      <c r="D276" s="219"/>
      <c r="E276" s="219"/>
      <c r="F276" s="253">
        <v>30800</v>
      </c>
      <c r="G276" s="575">
        <v>-120556763</v>
      </c>
      <c r="H276" s="662"/>
    </row>
    <row r="277" spans="1:12" ht="20.100000000000001" customHeight="1">
      <c r="A277" s="633"/>
      <c r="B277" s="219"/>
      <c r="C277" s="219"/>
      <c r="D277" s="219"/>
      <c r="E277" s="219"/>
      <c r="F277" s="253"/>
      <c r="G277" s="269"/>
      <c r="H277" s="219"/>
    </row>
    <row r="278" spans="1:12" ht="20.100000000000001" customHeight="1">
      <c r="A278" s="640" t="s">
        <v>611</v>
      </c>
      <c r="B278" s="641"/>
      <c r="C278" s="641"/>
      <c r="D278" s="641"/>
      <c r="E278" s="641"/>
      <c r="F278" s="642"/>
      <c r="G278" s="643">
        <f>G274+G276</f>
        <v>-77651938</v>
      </c>
      <c r="H278" s="663"/>
    </row>
    <row r="279" spans="1:12">
      <c r="A279" s="271"/>
      <c r="B279" s="271"/>
      <c r="C279" s="271"/>
      <c r="D279" s="271"/>
      <c r="E279" s="271"/>
      <c r="F279" s="272"/>
      <c r="G279" s="273"/>
      <c r="H279" s="274"/>
      <c r="I279" s="274"/>
      <c r="J279" s="274"/>
      <c r="K279" s="274"/>
      <c r="L279" s="274"/>
    </row>
    <row r="280" spans="1:12" s="222" customFormat="1" ht="13.5" customHeight="1">
      <c r="A280" s="1050"/>
      <c r="B280" s="1050"/>
      <c r="C280" s="1050"/>
      <c r="D280" s="1050"/>
      <c r="E280" s="1050"/>
      <c r="F280" s="1050"/>
      <c r="G280" s="1050"/>
      <c r="H280" s="1050"/>
      <c r="I280" s="275"/>
      <c r="J280" s="275"/>
      <c r="K280" s="275"/>
      <c r="L280" s="275"/>
    </row>
    <row r="281" spans="1:12" s="222" customFormat="1">
      <c r="A281" s="1050"/>
      <c r="B281" s="1050"/>
      <c r="C281" s="1050"/>
      <c r="D281" s="1050"/>
      <c r="E281" s="1050"/>
      <c r="F281" s="1050"/>
      <c r="G281" s="1050"/>
      <c r="H281" s="1050"/>
      <c r="I281" s="275"/>
      <c r="J281" s="275"/>
      <c r="K281" s="275"/>
      <c r="L281" s="275"/>
    </row>
    <row r="282" spans="1:12" s="222" customFormat="1">
      <c r="A282" s="1050"/>
      <c r="B282" s="1050"/>
      <c r="C282" s="1050"/>
      <c r="D282" s="1050"/>
      <c r="E282" s="1050"/>
      <c r="F282" s="1050"/>
      <c r="G282" s="1050"/>
      <c r="H282" s="1050"/>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www.w3.org/XML/1998/namespace"/>
    <ds:schemaRef ds:uri="http://purl.org/dc/terms/"/>
    <ds:schemaRef ds:uri="ee822479-6e51-4d14-b6b0-2c589e913e66"/>
    <ds:schemaRef ds:uri="http://schemas.microsoft.com/office/2006/metadata/properties"/>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2022-06-29T12:08:48Z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