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autoCompressPictures="0"/>
  <mc:AlternateContent xmlns:mc="http://schemas.openxmlformats.org/markup-compatibility/2006">
    <mc:Choice Requires="x15">
      <x15ac:absPath xmlns:x15ac="http://schemas.microsoft.com/office/spreadsheetml/2010/11/ac" url="C:\Users\andyj\AppData\Local\Microsoft\Windows\INetCache\Content.Outlook\LNF75QVL\"/>
    </mc:Choice>
  </mc:AlternateContent>
  <xr:revisionPtr revIDLastSave="0" documentId="13_ncr:1_{673AAABB-E3B8-43BC-ADA3-BF870D96EEB7}" xr6:coauthVersionLast="47" xr6:coauthVersionMax="47" xr10:uidLastSave="{00000000-0000-0000-0000-000000000000}"/>
  <bookViews>
    <workbookView xWindow="-28920" yWindow="12420" windowWidth="29040" windowHeight="15720" tabRatio="769" firstSheet="1" activeTab="6"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4" l="1"/>
  <c r="G50" i="7" l="1"/>
  <c r="E14" i="4" l="1"/>
  <c r="G276" i="7" s="1"/>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G32" i="6"/>
  <c r="F33" i="6"/>
  <c r="G33" i="6"/>
  <c r="F34" i="6"/>
  <c r="G34" i="6"/>
  <c r="H34" i="6" s="1"/>
  <c r="G32" i="7" s="1"/>
  <c r="F35" i="6"/>
  <c r="G35" i="6"/>
  <c r="E19" i="6"/>
  <c r="F19" i="6" s="1"/>
  <c r="G21" i="7" s="1"/>
  <c r="E20" i="6"/>
  <c r="F20" i="6" s="1"/>
  <c r="G22" i="7" s="1"/>
  <c r="E21" i="6"/>
  <c r="F21" i="6" s="1"/>
  <c r="G23" i="7" s="1"/>
  <c r="E22" i="6"/>
  <c r="F22" i="6"/>
  <c r="G24" i="7" s="1"/>
  <c r="E23" i="6"/>
  <c r="F23" i="6"/>
  <c r="G25" i="7" s="1"/>
  <c r="E24" i="6"/>
  <c r="F24" i="6" s="1"/>
  <c r="G26" i="7" s="1"/>
  <c r="B34" i="5"/>
  <c r="E39" i="6" s="1"/>
  <c r="F39" i="6" s="1"/>
  <c r="B35" i="5"/>
  <c r="E40" i="6"/>
  <c r="F40" i="6" s="1"/>
  <c r="G38" i="7" s="1"/>
  <c r="B37" i="5"/>
  <c r="E41" i="6"/>
  <c r="F41" i="6" s="1"/>
  <c r="G39" i="7" s="1"/>
  <c r="B38" i="5"/>
  <c r="E42" i="6" s="1"/>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4" i="15"/>
  <c r="F135" i="15"/>
  <c r="F136" i="15"/>
  <c r="F137" i="15"/>
  <c r="F138" i="15"/>
  <c r="E139" i="15"/>
  <c r="B53" i="22"/>
  <c r="D75" i="22"/>
  <c r="E75" i="22"/>
  <c r="E65" i="22"/>
  <c r="E66" i="22" s="1"/>
  <c r="D65" i="22"/>
  <c r="D67" i="22"/>
  <c r="D59" i="22"/>
  <c r="D60" i="22"/>
  <c r="D62" i="22"/>
  <c r="B52" i="22"/>
  <c r="E33" i="22"/>
  <c r="E34" i="22" s="1"/>
  <c r="D33" i="22"/>
  <c r="D34" i="22" s="1"/>
  <c r="D26" i="22"/>
  <c r="D38" i="22"/>
  <c r="C38" i="22"/>
  <c r="E15" i="22"/>
  <c r="D15" i="22"/>
  <c r="B46" i="22"/>
  <c r="E26" i="22"/>
  <c r="E59" i="22"/>
  <c r="E61" i="22" s="1"/>
  <c r="E38" i="22"/>
  <c r="B29" i="5"/>
  <c r="G14" i="5"/>
  <c r="H14" i="5" s="1"/>
  <c r="G258" i="7"/>
  <c r="E15" i="8"/>
  <c r="E36" i="6"/>
  <c r="F36" i="6" s="1"/>
  <c r="D36" i="6"/>
  <c r="D43" i="6"/>
  <c r="D26" i="6"/>
  <c r="E17" i="6"/>
  <c r="G20" i="5"/>
  <c r="H20" i="5" s="1"/>
  <c r="G19" i="5"/>
  <c r="H19" i="5" s="1"/>
  <c r="G22" i="5"/>
  <c r="H22" i="5" s="1"/>
  <c r="G23" i="5"/>
  <c r="H23" i="5"/>
  <c r="E20" i="12"/>
  <c r="E29" i="12"/>
  <c r="E30" i="12"/>
  <c r="D21" i="8"/>
  <c r="E68" i="3"/>
  <c r="C94" i="12"/>
  <c r="B31" i="5"/>
  <c r="H31" i="5" s="1"/>
  <c r="I31" i="5" s="1"/>
  <c r="B30" i="5"/>
  <c r="H30" i="5" s="1"/>
  <c r="I30" i="5" s="1"/>
  <c r="G16" i="5"/>
  <c r="H16" i="5" s="1"/>
  <c r="G15" i="5"/>
  <c r="H15" i="5" s="1"/>
  <c r="D96" i="8"/>
  <c r="C96" i="8"/>
  <c r="B69" i="6"/>
  <c r="C92" i="3" s="1"/>
  <c r="E69" i="3"/>
  <c r="E70" i="3"/>
  <c r="E71" i="3"/>
  <c r="E72" i="3"/>
  <c r="E73" i="3"/>
  <c r="B21" i="8"/>
  <c r="C21" i="8"/>
  <c r="E10" i="8"/>
  <c r="E12" i="8"/>
  <c r="E16" i="8"/>
  <c r="E17" i="8"/>
  <c r="E18" i="8"/>
  <c r="E19" i="8"/>
  <c r="E20" i="8"/>
  <c r="E36" i="4"/>
  <c r="C127" i="3" s="1"/>
  <c r="D33" i="4"/>
  <c r="B60" i="6"/>
  <c r="C96" i="3" s="1"/>
  <c r="E26" i="4"/>
  <c r="E16" i="4"/>
  <c r="E67" i="22"/>
  <c r="D61" i="22"/>
  <c r="E14" i="8"/>
  <c r="G240" i="7"/>
  <c r="X147" i="23"/>
  <c r="E60" i="22"/>
  <c r="D66" i="22"/>
  <c r="D68" i="22" s="1"/>
  <c r="H33" i="6"/>
  <c r="G31" i="7" s="1"/>
  <c r="H37" i="5"/>
  <c r="I37" i="5" s="1"/>
  <c r="D70" i="22"/>
  <c r="D17" i="6"/>
  <c r="F12" i="6"/>
  <c r="H12" i="6" s="1"/>
  <c r="G14" i="7" s="1"/>
  <c r="F11" i="6"/>
  <c r="H11" i="6"/>
  <c r="G13" i="7" s="1"/>
  <c r="F14" i="6"/>
  <c r="H14" i="6" s="1"/>
  <c r="G16" i="7" s="1"/>
  <c r="H13" i="6"/>
  <c r="G15" i="7" s="1"/>
  <c r="F15" i="6"/>
  <c r="H15" i="6" s="1"/>
  <c r="G17" i="7" s="1"/>
  <c r="F10" i="6"/>
  <c r="E44" i="3" s="1"/>
  <c r="E47" i="3"/>
  <c r="E45" i="3"/>
  <c r="H10" i="6"/>
  <c r="G12" i="7" s="1"/>
  <c r="E48" i="3" l="1"/>
  <c r="H35" i="6"/>
  <c r="G33" i="7" s="1"/>
  <c r="H34" i="5"/>
  <c r="I34" i="5" s="1"/>
  <c r="H32" i="6"/>
  <c r="D69" i="22"/>
  <c r="C95" i="3"/>
  <c r="E49" i="3"/>
  <c r="C93" i="3"/>
  <c r="B70" i="6"/>
  <c r="E46" i="3"/>
  <c r="E70" i="22"/>
  <c r="E69" i="22"/>
  <c r="E68" i="22"/>
  <c r="G30" i="7"/>
  <c r="G35" i="7" s="1"/>
  <c r="H36" i="6"/>
  <c r="F43" i="6"/>
  <c r="G37" i="7"/>
  <c r="G42" i="7" s="1"/>
  <c r="D128" i="15"/>
  <c r="C144" i="3" s="1"/>
  <c r="H38" i="5"/>
  <c r="I38" i="5" s="1"/>
  <c r="F17" i="6"/>
  <c r="E50" i="3" s="1"/>
  <c r="E62" i="22"/>
  <c r="E21" i="8"/>
  <c r="C113" i="3"/>
  <c r="G75" i="7"/>
  <c r="G85" i="7" s="1"/>
  <c r="D106" i="3"/>
  <c r="H29" i="5"/>
  <c r="I29" i="5" s="1"/>
  <c r="E74" i="3"/>
  <c r="F121" i="15"/>
  <c r="T119" i="23"/>
  <c r="C112" i="3"/>
  <c r="G28" i="7"/>
  <c r="G19" i="7"/>
  <c r="H17" i="6"/>
  <c r="F26" i="6"/>
  <c r="D129" i="15"/>
  <c r="C128" i="3"/>
  <c r="C132" i="3" s="1"/>
  <c r="E123" i="15"/>
  <c r="E141" i="15" s="1"/>
  <c r="F103" i="15"/>
  <c r="D123" i="15"/>
  <c r="D133" i="15" s="1"/>
  <c r="F133" i="15" s="1"/>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E102" i="3"/>
  <c r="E106" i="3" s="1"/>
  <c r="D139" i="15" l="1"/>
  <c r="H27" i="6"/>
  <c r="H44" i="6"/>
  <c r="H46" i="6" s="1"/>
  <c r="C137" i="3"/>
  <c r="F128" i="15"/>
  <c r="F123" i="15"/>
  <c r="G44" i="7"/>
  <c r="G63" i="7" s="1"/>
  <c r="G144" i="7" s="1"/>
  <c r="C139" i="3"/>
  <c r="F129" i="15"/>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E18" i="4" l="1"/>
  <c r="E21" i="4" s="1"/>
  <c r="E23" i="4" s="1"/>
  <c r="F139" i="15"/>
  <c r="C34" i="3"/>
  <c r="C153" i="3"/>
  <c r="F141" i="15"/>
  <c r="G196" i="7" l="1"/>
  <c r="C111" i="3" l="1"/>
  <c r="G260" i="7"/>
  <c r="E25" i="4" l="1"/>
  <c r="E28" i="4" s="1"/>
  <c r="D32" i="4" s="1"/>
  <c r="E35" i="4" s="1"/>
  <c r="E38" i="4" s="1"/>
  <c r="C114" i="3"/>
  <c r="G272" i="7"/>
  <c r="E40" i="4" l="1"/>
  <c r="G274" i="7"/>
  <c r="G278" i="7" s="1"/>
  <c r="C120" i="3" s="1"/>
  <c r="C119" i="3" l="1"/>
  <c r="C121" i="3" s="1"/>
  <c r="E44" i="4"/>
  <c r="C1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8"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6"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6"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14"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15"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8"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8"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8"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8"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8"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8"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8"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8"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8"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8"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8"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8"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8"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8"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8"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20"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21"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24"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6"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<sst xmlns="http://schemas.openxmlformats.org/spreadsheetml/2006/main" count="1336" uniqueCount="810">
  <si>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</si>
  <si>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</si>
  <si>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</si>
  <si>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</si>
  <si>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</si>
  <si>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</si>
  <si>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</si>
  <si>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</si>
  <si>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</si>
  <si>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</si>
  <si>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</si>
  <si>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</si>
  <si>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</si>
  <si>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</si>
  <si>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</si>
  <si>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</si>
  <si>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</si>
  <si>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</si>
  <si>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</si>
  <si>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</si>
  <si>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</si>
  <si>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</si>
  <si>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</si>
  <si>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</si>
  <si>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</si>
  <si>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</si>
  <si>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</si>
  <si>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</si>
  <si>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</si>
  <si>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</si>
  <si>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</si>
  <si>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</si>
  <si>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</si>
  <si>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</si>
  <si>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</si>
  <si>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</si>
  <si>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</si>
  <si>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</si>
  <si>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</si>
  <si>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</si>
  <si>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</si>
  <si>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</si>
  <si>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</si>
  <si>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</si>
  <si>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</si>
  <si>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</si>
  <si>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</si>
  <si>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</si>
  <si>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</si>
  <si>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</si>
  <si>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</si>
  <si>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</si>
  <si>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</si>
  <si>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</si>
  <si>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</si>
  <si>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</si>
  <si>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</si>
  <si>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</si>
  <si>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</si>
  <si>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</si>
  <si>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</si>
  <si>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</si>
  <si>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</si>
  <si>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</si>
  <si>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</si>
  <si>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</si>
  <si>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</si>
  <si>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</si>
  <si>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</si>
  <si>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</si>
  <si>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</si>
  <si>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</si>
  <si>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</si>
  <si>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</si>
  <si>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</si>
  <si>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</si>
  <si>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</si>
  <si>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</si>
  <si>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</si>
  <si>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</si>
  <si>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</si>
  <si>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</si>
  <si>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</si>
  <si>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</si>
  <si>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</si>
  <si>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</si>
  <si>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</si>
  <si>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</si>
  <si>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</si>
  <si>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</si>
  <si>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</si>
  <si>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</si>
  <si>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</si>
  <si>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</si>
  <si>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</si>
  <si>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</si>
  <si>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</si>
  <si>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</si>
  <si>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</si>
  <si>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</si>
  <si>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</si>
  <si>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</si>
  <si>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</si>
  <si>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</si>
  <si>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</si>
  <si>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</si>
  <si>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</si>
  <si>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</si>
  <si>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</si>
  <si>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</si>
  <si>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</si>
  <si>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</si>
  <si>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</si>
  <si>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</si>
  <si>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</si>
  <si>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</si>
  <si>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</si>
  <si>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</si>
  <si>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</si>
  <si>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</si>
  <si>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</si>
  <si>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</si>
  <si>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</si>
  <si>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</si>
  <si>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</si>
  <si>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</si>
  <si>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</si>
  <si>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</si>
  <si>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</si>
  <si>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</si>
  <si>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</si>
  <si>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</si>
  <si>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</si>
  <si>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</si>
  <si>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</si>
  <si>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</si>
  <si>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</si>
  <si>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</si>
  <si>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</si>
  <si>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</si>
  <si>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</si>
  <si>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</si>
  <si>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</si>
  <si>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</si>
  <si>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</si>
  <si>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</si>
  <si>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</si>
  <si>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</si>
  <si>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</si>
  <si>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</si>
  <si>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</si>
  <si>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</si>
  <si>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</si>
  <si>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</si>
  <si>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</si>
  <si>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</si>
  <si>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</si>
  <si>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</si>
  <si>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</si>
  <si>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</si>
  <si>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</si>
  <si>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</si>
  <si>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</si>
  <si>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</si>
  <si>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</si>
  <si>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</si>
  <si>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</si>
  <si>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</si>
  <si>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</si>
  <si>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</si>
  <si>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</si>
  <si>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</si>
  <si>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</si>
  <si>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</si>
  <si>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</si>
  <si>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</si>
  <si>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</si>
  <si>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</si>
  <si>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</si>
  <si>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</si>
  <si>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</si>
  <si>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</si>
  <si>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</si>
  <si>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</si>
  <si>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</si>
  <si>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</si>
  <si>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</si>
  <si>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</si>
  <si>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</si>
  <si>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</si>
  <si>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</si>
  <si>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</si>
  <si>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</si>
  <si>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</si>
  <si>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</si>
  <si>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</si>
  <si>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</si>
  <si>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</si>
  <si>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</si>
  <si>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</si>
  <si>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</si>
  <si>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</si>
  <si>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</si>
  <si>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</si>
  <si>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</si>
  <si>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</si>
  <si>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</si>
  <si>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</si>
  <si>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</si>
  <si>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</si>
  <si>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</si>
  <si>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</si>
  <si>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</si>
  <si>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</si>
  <si>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</si>
  <si>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</si>
  <si>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</si>
  <si>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</si>
  <si>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</si>
  <si>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</si>
  <si>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</si>
  <si>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</si>
  <si>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</si>
  <si>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</si>
  <si>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</si>
  <si>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</si>
  <si>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</si>
  <si>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</si>
  <si>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</si>
  <si>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</si>
  <si>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</si>
  <si>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</si>
  <si>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</si>
  <si>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</si>
  <si>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</si>
  <si>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</si>
  <si>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</si>
  <si>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</si>
  <si>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</si>
  <si>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</si>
  <si>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</si>
  <si>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</si>
  <si>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</si>
  <si>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</si>
  <si>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</si>
  <si>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</si>
  <si>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</si>
  <si>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</si>
  <si>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</si>
  <si>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</si>
  <si>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</si>
  <si>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</si>
  <si>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</si>
  <si>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</si>
  <si>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</si>
  <si>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</si>
  <si>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</si>
  <si>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</si>
  <si>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</si>
  <si>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</si>
  <si>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</si>
  <si>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</si>
  <si>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</si>
  <si>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</si>
  <si>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</si>
  <si>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</si>
  <si>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</si>
  <si>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</si>
  <si>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</si>
  <si>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</si>
  <si>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</si>
  <si>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</si>
  <si>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</si>
  <si>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</si>
  <si>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</si>
  <si>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</si>
  <si>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</si>
  <si>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</si>
  <si>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</si>
  <si>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</si>
  <si>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</si>
  <si>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</si>
  <si>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</si>
  <si>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</si>
  <si>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</si>
  <si>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</si>
  <si>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</si>
  <si>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</si>
  <si>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</si>
  <si>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</si>
  <si>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</si>
  <si>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</si>
  <si>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</si>
  <si>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</si>
  <si>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</si>
  <si>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</si>
  <si>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</si>
  <si>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</si>
  <si>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</si>
  <si>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</si>
  <si>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</si>
  <si>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</si>
  <si>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</si>
  <si>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</si>
  <si>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</si>
  <si>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</si>
  <si>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</si>
  <si>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</si>
  <si>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</si>
  <si>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</si>
  <si>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</si>
  <si>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</si>
  <si>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</si>
  <si>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</si>
  <si>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</si>
  <si>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</si>
  <si>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</si>
  <si>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</si>
  <si>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</si>
  <si>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</si>
  <si>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</si>
  <si>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</si>
  <si>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</si>
  <si>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</si>
  <si>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</si>
  <si>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</si>
  <si>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</si>
  <si>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</si>
  <si>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</si>
  <si>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</si>
  <si>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</si>
  <si>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</si>
  <si>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</si>
  <si>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</si>
  <si>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</si>
  <si>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</si>
  <si>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</si>
  <si>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</si>
  <si>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</si>
  <si>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</si>
  <si>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</si>
  <si>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</si>
  <si>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</si>
  <si>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</si>
  <si>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</si>
  <si>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</si>
  <si>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</si>
  <si>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</si>
  <si>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</si>
  <si>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</si>
  <si>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</si>
  <si>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</si>
  <si>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</si>
  <si>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</si>
  <si>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</si>
  <si>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</si>
  <si>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</si>
  <si>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</si>
  <si>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</si>
  <si>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</si>
  <si>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</si>
  <si>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</si>
  <si>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</si>
  <si>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</si>
  <si>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</si>
  <si>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</si>
  <si>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</si>
  <si>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</si>
  <si>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</si>
  <si>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</si>
  <si>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</si>
  <si>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</si>
  <si>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</si>
  <si>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</si>
  <si>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</si>
  <si>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</si>
  <si>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</si>
  <si>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</si>
  <si>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</si>
  <si>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</si>
  <si>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</si>
  <si>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</si>
  <si>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</si>
  <si>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</si>
  <si>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</si>
  <si>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</si>
  <si>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</si>
  <si>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</si>
  <si>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</si>
  <si>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</si>
  <si>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</si>
  <si>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</si>
  <si>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</si>
  <si>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</si>
  <si>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</si>
  <si>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</si>
  <si>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</si>
  <si>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</si>
  <si>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</si>
  <si>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</si>
  <si>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</si>
  <si>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</si>
  <si>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</si>
  <si>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</si>
  <si>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</si>
  <si>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</si>
  <si>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</si>
  <si>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</si>
  <si>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</si>
  <si>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</si>
  <si>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</si>
  <si>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</si>
  <si>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</si>
  <si>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</si>
  <si>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</si>
  <si>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</si>
  <si>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</si>
  <si>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</si>
  <si>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</si>
  <si>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</si>
  <si>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</si>
  <si>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</si>
  <si>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</si>
  <si>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</si>
  <si>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</si>
  <si>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</si>
  <si>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</si>
  <si>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</si>
  <si>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</si>
  <si>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</si>
  <si>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</si>
  <si>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</si>
  <si>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</si>
  <si>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</si>
  <si>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</si>
  <si>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</si>
  <si>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</si>
  <si>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</si>
  <si>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</si>
  <si>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</si>
  <si>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</si>
  <si>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</si>
  <si>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</si>
  <si>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</si>
  <si>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</si>
  <si>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</si>
  <si>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</si>
  <si>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</si>
  <si>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</si>
  <si>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</si>
  <si>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</si>
  <si>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</si>
  <si>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</si>
  <si>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</si>
  <si>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</si>
  <si>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</si>
  <si>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</si>
  <si>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</si>
  <si>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</si>
  <si>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</si>
  <si>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</si>
  <si>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</si>
  <si>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</si>
  <si>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</si>
  <si>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</si>
  <si>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</si>
  <si>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</si>
  <si>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</si>
  <si>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</si>
  <si>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</si>
  <si>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</si>
  <si>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</si>
  <si>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</si>
  <si>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</si>
  <si>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</si>
  <si>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</si>
  <si>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</si>
  <si>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</si>
  <si>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</si>
  <si>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</si>
  <si>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</si>
  <si>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</si>
  <si>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</si>
  <si>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</si>
  <si>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</si>
  <si>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</si>
  <si>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</si>
  <si>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</si>
  <si>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</si>
  <si>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</si>
  <si>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</si>
  <si>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</si>
  <si>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</si>
  <si>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</si>
  <si>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</si>
  <si>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</si>
  <si>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</si>
  <si>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</si>
  <si>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</si>
  <si>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</si>
  <si>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</si>
  <si>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</si>
  <si>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</si>
  <si>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</si>
  <si>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</si>
  <si>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</si>
  <si>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</si>
  <si>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</si>
  <si>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</si>
  <si>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</si>
  <si>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</si>
  <si>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</si>
  <si>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</si>
  <si>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</si>
  <si>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</si>
  <si>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</si>
  <si>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</si>
  <si>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</si>
  <si>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</si>
  <si>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</si>
  <si>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</si>
  <si>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</si>
  <si>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</si>
  <si>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</si>
  <si>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</si>
  <si>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</si>
  <si>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</si>
  <si>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</si>
  <si>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</si>
  <si>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</si>
  <si>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</si>
  <si>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</si>
  <si>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</si>
  <si>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</si>
  <si>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</si>
  <si>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</si>
  <si>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</si>
  <si>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</si>
  <si>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</si>
  <si>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</si>
  <si>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</si>
  <si>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</si>
  <si>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</si>
  <si>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</si>
  <si>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</si>
  <si>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</si>
  <si>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</si>
  <si>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</si>
  <si>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</si>
  <si>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</si>
  <si>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</si>
  <si>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</si>
  <si>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</si>
  <si>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</si>
  <si>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</si>
  <si>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</si>
  <si>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</si>
  <si>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</si>
  <si>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</si>
  <si>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</si>
  <si>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</si>
  <si>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</si>
  <si>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</si>
  <si>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</si>
  <si>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</si>
  <si>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</si>
  <si>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</si>
  <si>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</si>
  <si>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</si>
  <si>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</si>
  <si>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</si>
  <si>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</si>
  <si>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</si>
  <si>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</si>
  <si>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</si>
  <si>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</si>
  <si>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</si>
  <si>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</si>
  <si>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</si>
  <si>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</si>
  <si>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</si>
  <si>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</si>
  <si>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</si>
  <si>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</si>
  <si>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</si>
  <si>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</si>
  <si>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</si>
  <si>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</si>
  <si>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</si>
  <si>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</si>
  <si>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</si>
  <si>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</si>
  <si>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</si>
  <si>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</si>
  <si>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</si>
  <si>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</si>
  <si>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</si>
  <si>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</si>
  <si>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</si>
  <si>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</si>
  <si>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</si>
  <si>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</si>
  <si>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</si>
  <si>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</si>
  <si>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</si>
  <si>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</si>
  <si>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</si>
  <si>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</si>
  <si>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</si>
  <si>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</si>
  <si>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</si>
  <si>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</si>
  <si>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</si>
  <si>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</si>
  <si>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</si>
  <si>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</si>
  <si>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</si>
  <si>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</si>
  <si>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</si>
  <si>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</si>
  <si>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</si>
  <si>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</si>
  <si>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</si>
  <si>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</si>
  <si>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</si>
  <si>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</si>
  <si>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</si>
  <si>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</si>
  <si>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</si>
  <si>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</si>
  <si>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</si>
  <si>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</si>
  <si>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</si>
  <si>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</si>
  <si>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</si>
  <si>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</si>
  <si>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</si>
  <si>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</si>
  <si>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</si>
  <si>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</si>
  <si>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</si>
  <si>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</si>
  <si>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</si>
  <si>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</si>
  <si>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</si>
  <si>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</si>
  <si>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</si>
  <si>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</si>
  <si>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</si>
  <si>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</si>
  <si>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</si>
  <si>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</si>
  <si>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</si>
  <si>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</si>
  <si>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</si>
  <si>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</si>
  <si>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</si>
  <si>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</si>
  <si>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</si>
  <si>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</si>
  <si>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</si>
  <si>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</si>
  <si>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</si>
  <si>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</si>
  <si>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</si>
  <si>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</si>
  <si>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</si>
  <si>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</si>
  <si>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</si>
  <si>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</si>
  <si>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</si>
  <si>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</si>
  <si>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</si>
  <si>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</si>
  <si>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</si>
  <si>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</si>
  <si>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</si>
  <si>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</si>
  <si>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</si>
  <si>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</si>
  <si>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</si>
  <si>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</si>
  <si>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</si>
  <si>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</si>
  <si>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</si>
  <si>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</si>
  <si>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</si>
  <si>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</si>
  <si>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</si>
  <si>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</si>
  <si>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</si>
  <si>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</si>
  <si>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</si>
  <si>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</si>
  <si>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</si>
  <si>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</si>
  <si>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</si>
  <si>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</si>
  <si>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</si>
  <si>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</si>
  <si>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</si>
  <si>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</si>
  <si>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</si>
  <si>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</si>
  <si>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</si>
  <si>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</si>
  <si>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</si>
  <si>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</si>
  <si>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</si>
  <si>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</si>
  <si>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</si>
  <si>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</si>
  <si>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</si>
  <si>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</si>
  <si>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</si>
  <si>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</si>
  <si>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</si>
  <si>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</si>
  <si>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</si>
  <si>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</si>
  <si>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</si>
  <si>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</si>
  <si>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</si>
  <si>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</si>
  <si>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</si>
  <si>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</si>
  <si>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</si>
  <si>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</si>
  <si>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</si>
  <si>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</si>
  <si>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</si>
  <si>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</si>
  <si>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</si>
  <si>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</si>
  <si>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</si>
  <si>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</si>
  <si>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</si>
  <si>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</si>
  <si>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</si>
  <si>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</si>
  <si>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</si>
  <si>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</si>
  <si>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</si>
  <si>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</si>
  <si>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</si>
  <si>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</si>
  <si>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</si>
  <si>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</si>
  <si>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</si>
  <si>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</si>
  <si>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</si>
  <si>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</si>
  <si>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</si>
  <si>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</si>
  <si>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</si>
  <si>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</si>
  <si>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</si>
  <si>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</si>
  <si>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</si>
  <si>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</si>
  <si>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</si>
  <si>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</si>
  <si>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</si>
  <si>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</si>
  <si>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</si>
  <si>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</si>
  <si>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</si>
  <si>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</si>
  <si>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</si>
  <si>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</si>
  <si>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</si>
  <si>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</si>
  <si>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</si>
  <si>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</si>
  <si>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</si>
  <si>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</si>
  <si>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</si>
  <si>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</si>
  <si>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</si>
  <si>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</si>
  <si>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</si>
  <si>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</si>
  <si>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</si>
  <si>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</si>
  <si>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</si>
  <si>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</si>
  <si>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</si>
  <si>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</si>
  <si>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</si>
  <si>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</si>
  <si>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</si>
  <si>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</si>
  <si>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</si>
  <si>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</si>
  <si>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</si>
  <si>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</si>
  <si>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</si>
  <si>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</si>
  <si>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</si>
  <si>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</si>
  <si>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</si>
  <si>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</si>
  <si>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</si>
  <si>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</si>
  <si>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</si>
  <si>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</si>
  <si>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Auxiliary Fund 3</t>
  </si>
  <si>
    <t>Non-Mandatory Promotion/PR</t>
  </si>
  <si>
    <t>General Operation/Administration</t>
  </si>
  <si>
    <t>Current Fund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</si>
</sst>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79" fillId="32" borderId="303" xfId="0" applyNumberFormat="1" applyFont="1" applyFill="1" applyBorder="1" applyAlignment="1" applyProtection="1">
      <alignment horizontal="right"/>
    </xf>
    <xf numFmtId="37" fontId="179" fillId="32" borderId="304" xfId="0" applyNumberFormat="1" applyFont="1" applyFill="1" applyBorder="1" applyAlignment="1" applyProtection="1">
      <alignment horizontal="right"/>
    </xf>
    <xf numFmtId="37" fontId="180" fillId="0" borderId="307" xfId="0" applyNumberFormat="1" applyFont="1" applyFill="1" applyBorder="1" applyProtection="1"/>
    <xf numFmtId="37" fontId="180" fillId="0" borderId="308" xfId="0" applyNumberFormat="1" applyFont="1" applyFill="1" applyBorder="1" applyProtection="1"/>
    <xf numFmtId="172" fontId="180" fillId="0" borderId="303" xfId="0" applyNumberFormat="1" applyFont="1" applyFill="1" applyBorder="1" applyAlignment="1" applyProtection="1">
      <alignment horizontal="center"/>
    </xf>
    <xf numFmtId="37" fontId="180" fillId="0" borderId="309" xfId="0" applyNumberFormat="1" applyFont="1" applyFill="1" applyBorder="1" applyProtection="1"/>
    <xf numFmtId="37" fontId="180" fillId="0" borderId="310" xfId="0" applyNumberFormat="1" applyFont="1" applyFill="1" applyBorder="1" applyProtection="1"/>
    <xf numFmtId="172" fontId="180" fillId="0" borderId="304" xfId="0" applyNumberFormat="1" applyFont="1" applyFill="1" applyBorder="1" applyAlignment="1" applyProtection="1">
      <alignment horizontal="center"/>
    </xf>
    <xf numFmtId="37" fontId="181" fillId="0" borderId="172"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1"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xf numFmtId="43" fontId="157" fillId="33" borderId="10" xfId="0"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6057900</xdr:colOff>
          <xdr:row>50</xdr:row>
          <xdr:rowOff>114300</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66675</xdr:colOff>
          <xdr:row>51</xdr:row>
          <xdr:rowOff>66675</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328125" defaultRowHeight="12.75"/>
  <cols>
    <col min="1" max="1" width="116.265625" style="2" customWidth="1"/>
    <col min="2" max="2" width="3.265625" style="2" customWidth="1"/>
    <col min="3" max="3" width="16.265625" style="2" customWidth="1"/>
    <col min="4" max="4" width="16.86328125" style="2" customWidth="1"/>
    <col min="5" max="5" width="20.86328125" style="2" customWidth="1"/>
    <col min="6" max="6" width="15.86328125" style="2" customWidth="1"/>
    <col min="7" max="7" width="18.1328125" style="2" customWidth="1"/>
    <col min="8" max="8" width="3" style="2" customWidth="1"/>
    <col min="9" max="16384" width="9.1328125" style="2"/>
  </cols>
  <sheetData>
    <row r="1" spans="1:5" ht="21" customHeight="1">
      <c r="A1" s="755" t="s">
        <v>0</v>
      </c>
      <c r="B1" s="755"/>
      <c r="C1" s="755"/>
      <c r="D1" s="755"/>
      <c r="E1" s="755"/>
    </row>
    <row r="2" spans="1:5" ht="22.5">
      <c r="A2" s="755" t="s">
        <v>727</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Normal="100" zoomScalePageLayoutView="80" workbookViewId="0"/>
  </sheetViews>
  <sheetFormatPr defaultColWidth="9.1328125" defaultRowHeight="23.25"/>
  <cols>
    <col min="1" max="1" width="47.73046875" style="419" customWidth="1"/>
    <col min="2" max="2" width="20.73046875" style="419" customWidth="1"/>
    <col min="3" max="4" width="17.3984375" style="419" customWidth="1"/>
    <col min="5" max="5" width="19.86328125" style="419" customWidth="1"/>
    <col min="6" max="6" width="7.3984375" style="419" customWidth="1"/>
    <col min="7" max="16384" width="9.13281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Santa Fe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754</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v>36216015</v>
      </c>
      <c r="C10" s="577">
        <v>2661911</v>
      </c>
      <c r="D10" s="577">
        <v>116991</v>
      </c>
      <c r="E10" s="480">
        <f>SUM(B10:D10)</f>
        <v>38994917</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5797254</v>
      </c>
      <c r="C14" s="579">
        <v>1656238</v>
      </c>
      <c r="D14" s="579">
        <v>1245252</v>
      </c>
      <c r="E14" s="481">
        <f t="shared" ref="E14:E20" si="0">SUM(B14:D14)</f>
        <v>8698744</v>
      </c>
      <c r="F14" s="457"/>
    </row>
    <row r="15" spans="1:8" s="37" customFormat="1" ht="20.100000000000001" customHeight="1">
      <c r="A15" s="479" t="s">
        <v>625</v>
      </c>
      <c r="B15" s="578">
        <v>461916</v>
      </c>
      <c r="C15" s="567">
        <v>961688</v>
      </c>
      <c r="D15" s="567">
        <v>0</v>
      </c>
      <c r="E15" s="481">
        <f>SUM(B15:D15)</f>
        <v>1423604</v>
      </c>
      <c r="F15" s="457"/>
    </row>
    <row r="16" spans="1:8" s="37" customFormat="1" ht="20.100000000000001" customHeight="1">
      <c r="A16" s="479" t="s">
        <v>626</v>
      </c>
      <c r="B16" s="578">
        <v>8439297</v>
      </c>
      <c r="C16" s="567">
        <v>1389920</v>
      </c>
      <c r="D16" s="567">
        <v>260120</v>
      </c>
      <c r="E16" s="481">
        <f t="shared" si="0"/>
        <v>10089337</v>
      </c>
      <c r="F16" s="457"/>
    </row>
    <row r="17" spans="1:6" s="37" customFormat="1" ht="20.100000000000001" customHeight="1">
      <c r="A17" s="479" t="s">
        <v>627</v>
      </c>
      <c r="B17" s="578">
        <v>12627551</v>
      </c>
      <c r="C17" s="567">
        <v>5624572</v>
      </c>
      <c r="D17" s="567">
        <v>104360</v>
      </c>
      <c r="E17" s="481">
        <f t="shared" si="0"/>
        <v>18356483</v>
      </c>
      <c r="F17" s="457"/>
    </row>
    <row r="18" spans="1:6" s="37" customFormat="1" ht="20.100000000000001" customHeight="1">
      <c r="A18" s="479" t="s">
        <v>628</v>
      </c>
      <c r="B18" s="578">
        <v>6268245</v>
      </c>
      <c r="C18" s="567">
        <v>7240064</v>
      </c>
      <c r="D18" s="567">
        <v>293033</v>
      </c>
      <c r="E18" s="481">
        <f t="shared" si="0"/>
        <v>13801342</v>
      </c>
      <c r="F18" s="457"/>
    </row>
    <row r="19" spans="1:6" s="37" customFormat="1" ht="20.100000000000001" customHeight="1">
      <c r="A19" s="479" t="s">
        <v>629</v>
      </c>
      <c r="B19" s="578">
        <v>0</v>
      </c>
      <c r="C19" s="567">
        <v>880000</v>
      </c>
      <c r="D19" s="567">
        <v>0</v>
      </c>
      <c r="E19" s="481">
        <f t="shared" si="0"/>
        <v>880000</v>
      </c>
      <c r="F19" s="457"/>
    </row>
    <row r="20" spans="1:6" s="37" customFormat="1" ht="20.100000000000001" customHeight="1" thickBot="1">
      <c r="A20" s="479" t="s">
        <v>630</v>
      </c>
      <c r="B20" s="578">
        <v>715693</v>
      </c>
      <c r="C20" s="568">
        <v>1715000</v>
      </c>
      <c r="D20" s="568">
        <v>700000</v>
      </c>
      <c r="E20" s="481">
        <f t="shared" si="0"/>
        <v>3130693</v>
      </c>
      <c r="F20" s="457"/>
    </row>
    <row r="21" spans="1:6" s="37" customFormat="1" ht="24" customHeight="1" thickBot="1">
      <c r="A21" s="377" t="s">
        <v>50</v>
      </c>
      <c r="B21" s="458">
        <f>SUM(B10:B20)</f>
        <v>70525971</v>
      </c>
      <c r="C21" s="461">
        <f>SUM(C10:C20)</f>
        <v>22129393</v>
      </c>
      <c r="D21" s="461">
        <f>SUM(D10:D20)</f>
        <v>2719756</v>
      </c>
      <c r="E21" s="460">
        <f>SUM(E10:E20)</f>
        <v>95375120</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6328125" defaultRowHeight="12.75"/>
  <cols>
    <col min="1" max="1" width="78.73046875" customWidth="1"/>
  </cols>
  <sheetData>
    <row r="1" spans="1:7" ht="26.1" customHeight="1">
      <c r="A1" s="623" t="s">
        <v>631</v>
      </c>
      <c r="B1" s="622"/>
      <c r="C1" s="622"/>
      <c r="D1" s="622"/>
      <c r="E1" s="622"/>
      <c r="F1" s="622"/>
      <c r="G1" s="622"/>
    </row>
    <row r="2" spans="1:7" ht="25.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66675</xdr:colOff>
                <xdr:row>51</xdr:row>
                <xdr:rowOff>66675</xdr:rowOff>
              </to>
            </anchor>
          </objectPr>
        </oleObject>
      </mc:Choice>
      <mc:Fallback>
        <oleObject progId="Acrobat.Document.DC" shapeId="38916"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zoomScale="50" zoomScaleNormal="50" zoomScaleSheetLayoutView="50" zoomScalePageLayoutView="60" workbookViewId="0"/>
  </sheetViews>
  <sheetFormatPr defaultColWidth="12.3984375" defaultRowHeight="15.75"/>
  <cols>
    <col min="1" max="1" width="26.3984375" style="281" customWidth="1"/>
    <col min="2" max="2" width="94.265625" style="281" customWidth="1"/>
    <col min="3" max="3" width="66.86328125" style="281" customWidth="1"/>
    <col min="4" max="5" width="25.86328125" style="329" customWidth="1"/>
    <col min="6" max="6" width="33.73046875" style="329" customWidth="1"/>
    <col min="7" max="7" width="3.1328125" style="281" customWidth="1"/>
    <col min="8" max="16384" width="12.3984375" style="281"/>
  </cols>
  <sheetData>
    <row r="1" spans="1:224" ht="30" customHeight="1" thickBot="1">
      <c r="A1" s="1130" t="s">
        <v>183</v>
      </c>
      <c r="B1" s="1154" t="str">
        <f>'CHECK SHEET'!D7</f>
        <v>Santa Fe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754</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736</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772837</v>
      </c>
      <c r="E15" s="925">
        <v>0</v>
      </c>
      <c r="F15" s="926">
        <f t="shared" si="0"/>
        <v>772837</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229688</v>
      </c>
      <c r="E16" s="925">
        <v>0</v>
      </c>
      <c r="F16" s="926">
        <f t="shared" si="0"/>
        <v>229688</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803</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88169</v>
      </c>
      <c r="E25" s="925">
        <v>0</v>
      </c>
      <c r="F25" s="926">
        <f t="shared" si="0"/>
        <v>88169</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241496</v>
      </c>
      <c r="E34" s="925">
        <v>0</v>
      </c>
      <c r="F34" s="926">
        <f t="shared" si="0"/>
        <v>241496</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21764</v>
      </c>
      <c r="E42" s="925">
        <v>0</v>
      </c>
      <c r="F42" s="926">
        <f t="shared" si="0"/>
        <v>21764</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86939</v>
      </c>
      <c r="E48" s="925">
        <v>0</v>
      </c>
      <c r="F48" s="926">
        <f t="shared" si="0"/>
        <v>86939</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121902</v>
      </c>
      <c r="E49" s="925">
        <v>0</v>
      </c>
      <c r="F49" s="926">
        <f t="shared" si="0"/>
        <v>121902</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95979</v>
      </c>
      <c r="E54" s="925">
        <v>0</v>
      </c>
      <c r="F54" s="926">
        <f t="shared" si="0"/>
        <v>95979</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1658774</v>
      </c>
      <c r="E57" s="346">
        <f>SUM(E10:E56)</f>
        <v>0</v>
      </c>
      <c r="F57" s="346">
        <f t="shared" si="0"/>
        <v>1658774</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thickBot="1">
      <c r="A64" s="303" t="s">
        <v>506</v>
      </c>
      <c r="B64" s="316"/>
      <c r="C64" s="317" t="s">
        <v>507</v>
      </c>
      <c r="D64" s="580">
        <v>4375</v>
      </c>
      <c r="E64" s="580">
        <v>0</v>
      </c>
      <c r="F64" s="304">
        <f t="shared" si="0"/>
        <v>4375</v>
      </c>
      <c r="G64" s="305"/>
      <c r="H64" s="306"/>
      <c r="I64" s="306"/>
      <c r="J64" s="306"/>
      <c r="K64" s="306"/>
      <c r="L64" s="306"/>
      <c r="M64" s="306"/>
      <c r="N64" s="306"/>
      <c r="O64" s="306"/>
      <c r="P64" s="306"/>
      <c r="Q64" s="306"/>
      <c r="R64" s="307"/>
      <c r="S64" s="307"/>
      <c r="T64" s="307"/>
      <c r="U64" s="307"/>
    </row>
    <row r="65" spans="1:21" s="308" customFormat="1" ht="30" customHeight="1" thickBot="1">
      <c r="A65" s="922" t="s">
        <v>508</v>
      </c>
      <c r="B65" s="923"/>
      <c r="C65" s="932" t="s">
        <v>509</v>
      </c>
      <c r="D65" s="580">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thickBot="1">
      <c r="A66" s="922" t="s">
        <v>510</v>
      </c>
      <c r="B66" s="923"/>
      <c r="C66" s="932" t="s">
        <v>511</v>
      </c>
      <c r="D66" s="580">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thickBot="1">
      <c r="A67" s="922" t="s">
        <v>512</v>
      </c>
      <c r="B67" s="923"/>
      <c r="C67" s="932" t="s">
        <v>513</v>
      </c>
      <c r="D67" s="580">
        <v>0</v>
      </c>
      <c r="E67" s="925">
        <v>0</v>
      </c>
      <c r="F67" s="926">
        <f t="shared" si="0"/>
        <v>0</v>
      </c>
      <c r="G67" s="305"/>
      <c r="H67" s="306"/>
      <c r="I67" s="306"/>
      <c r="J67" s="306"/>
      <c r="K67" s="306"/>
      <c r="L67" s="306"/>
      <c r="M67" s="306"/>
      <c r="N67" s="306"/>
      <c r="O67" s="306"/>
      <c r="P67" s="306"/>
      <c r="Q67" s="306"/>
      <c r="R67" s="307"/>
      <c r="S67" s="307"/>
      <c r="T67" s="307"/>
      <c r="U67" s="307"/>
    </row>
    <row r="68" spans="1:21" s="308" customFormat="1" ht="30" customHeight="1" thickBot="1">
      <c r="A68" s="922" t="s">
        <v>642</v>
      </c>
      <c r="B68" s="923"/>
      <c r="C68" s="932" t="s">
        <v>515</v>
      </c>
      <c r="D68" s="580">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thickBot="1">
      <c r="A69" s="922" t="s">
        <v>516</v>
      </c>
      <c r="B69" s="923"/>
      <c r="C69" s="932" t="s">
        <v>517</v>
      </c>
      <c r="D69" s="580">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thickBot="1">
      <c r="A70" s="1251" t="s">
        <v>731</v>
      </c>
      <c r="B70" s="923"/>
      <c r="C70" s="1246">
        <v>63100</v>
      </c>
      <c r="D70" s="580">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thickBot="1">
      <c r="A71" s="922" t="s">
        <v>518</v>
      </c>
      <c r="B71" s="923"/>
      <c r="C71" s="932" t="s">
        <v>519</v>
      </c>
      <c r="D71" s="580">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thickBot="1">
      <c r="A72" s="922" t="s">
        <v>520</v>
      </c>
      <c r="B72" s="923"/>
      <c r="C72" s="932" t="s">
        <v>521</v>
      </c>
      <c r="D72" s="580">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thickBot="1">
      <c r="A73" s="922" t="s">
        <v>522</v>
      </c>
      <c r="B73" s="923"/>
      <c r="C73" s="932" t="s">
        <v>523</v>
      </c>
      <c r="D73" s="580">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thickBot="1">
      <c r="A74" s="922" t="s">
        <v>524</v>
      </c>
      <c r="B74" s="923"/>
      <c r="C74" s="932" t="s">
        <v>525</v>
      </c>
      <c r="D74" s="580">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thickBot="1">
      <c r="A75" s="922" t="s">
        <v>526</v>
      </c>
      <c r="B75" s="923"/>
      <c r="C75" s="932" t="s">
        <v>527</v>
      </c>
      <c r="D75" s="580">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thickBot="1">
      <c r="A76" s="922" t="s">
        <v>528</v>
      </c>
      <c r="B76" s="923"/>
      <c r="C76" s="932" t="s">
        <v>529</v>
      </c>
      <c r="D76" s="580">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thickBot="1">
      <c r="A77" s="922" t="s">
        <v>530</v>
      </c>
      <c r="B77" s="923"/>
      <c r="C77" s="932" t="s">
        <v>531</v>
      </c>
      <c r="D77" s="580">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thickBot="1">
      <c r="A78" s="922" t="s">
        <v>532</v>
      </c>
      <c r="B78" s="923"/>
      <c r="C78" s="932" t="s">
        <v>533</v>
      </c>
      <c r="D78" s="580">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thickBot="1">
      <c r="A79" s="922" t="s">
        <v>534</v>
      </c>
      <c r="B79" s="923"/>
      <c r="C79" s="932">
        <v>64007</v>
      </c>
      <c r="D79" s="580">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thickBot="1">
      <c r="A80" s="922" t="s">
        <v>535</v>
      </c>
      <c r="B80" s="923"/>
      <c r="C80" s="932" t="s">
        <v>536</v>
      </c>
      <c r="D80" s="580">
        <v>2840</v>
      </c>
      <c r="E80" s="925">
        <v>0</v>
      </c>
      <c r="F80" s="926">
        <f t="shared" si="0"/>
        <v>2840</v>
      </c>
      <c r="G80" s="305"/>
      <c r="H80" s="306"/>
      <c r="I80" s="306"/>
      <c r="J80" s="306"/>
      <c r="K80" s="306"/>
      <c r="L80" s="306"/>
      <c r="M80" s="306"/>
      <c r="N80" s="306"/>
      <c r="O80" s="306"/>
      <c r="P80" s="306"/>
      <c r="Q80" s="306"/>
      <c r="R80" s="307"/>
      <c r="S80" s="307"/>
      <c r="T80" s="307"/>
      <c r="U80" s="307"/>
    </row>
    <row r="81" spans="1:21" s="308" customFormat="1" ht="30" customHeight="1" thickBot="1">
      <c r="A81" s="922" t="s">
        <v>724</v>
      </c>
      <c r="B81" s="923"/>
      <c r="C81" s="932" t="s">
        <v>537</v>
      </c>
      <c r="D81" s="580">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thickBot="1">
      <c r="A82" s="922" t="s">
        <v>538</v>
      </c>
      <c r="B82" s="923"/>
      <c r="C82" s="932" t="s">
        <v>539</v>
      </c>
      <c r="D82" s="580">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thickBot="1">
      <c r="A83" s="922" t="s">
        <v>540</v>
      </c>
      <c r="B83" s="923"/>
      <c r="C83" s="932" t="s">
        <v>541</v>
      </c>
      <c r="D83" s="580">
        <v>0</v>
      </c>
      <c r="E83" s="925">
        <v>0</v>
      </c>
      <c r="F83" s="926">
        <f t="shared" si="1"/>
        <v>0</v>
      </c>
      <c r="G83" s="305"/>
      <c r="H83" s="306"/>
      <c r="I83" s="306"/>
      <c r="J83" s="306"/>
      <c r="K83" s="306"/>
      <c r="L83" s="306"/>
      <c r="M83" s="306"/>
      <c r="N83" s="306"/>
      <c r="O83" s="306"/>
      <c r="P83" s="306"/>
      <c r="Q83" s="306"/>
      <c r="R83" s="307"/>
      <c r="S83" s="307"/>
      <c r="T83" s="307"/>
      <c r="U83" s="307"/>
    </row>
    <row r="84" spans="1:21" s="308" customFormat="1" ht="30" customHeight="1" thickBot="1">
      <c r="A84" s="922" t="s">
        <v>542</v>
      </c>
      <c r="B84" s="923"/>
      <c r="C84" s="932" t="s">
        <v>543</v>
      </c>
      <c r="D84" s="580">
        <v>85802</v>
      </c>
      <c r="E84" s="925">
        <v>0</v>
      </c>
      <c r="F84" s="926">
        <f t="shared" si="1"/>
        <v>85802</v>
      </c>
      <c r="G84" s="305"/>
      <c r="H84" s="306"/>
      <c r="I84" s="306"/>
      <c r="J84" s="306"/>
      <c r="K84" s="306"/>
      <c r="L84" s="306"/>
      <c r="M84" s="306"/>
      <c r="N84" s="306"/>
      <c r="O84" s="306"/>
      <c r="P84" s="306"/>
      <c r="Q84" s="306"/>
      <c r="R84" s="307"/>
      <c r="S84" s="307"/>
      <c r="T84" s="307"/>
      <c r="U84" s="307"/>
    </row>
    <row r="85" spans="1:21" s="308" customFormat="1" ht="30" customHeight="1" thickBot="1">
      <c r="A85" s="922" t="s">
        <v>544</v>
      </c>
      <c r="B85" s="923"/>
      <c r="C85" s="932" t="s">
        <v>545</v>
      </c>
      <c r="D85" s="580">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thickBot="1">
      <c r="A86" s="922" t="s">
        <v>546</v>
      </c>
      <c r="B86" s="923"/>
      <c r="C86" s="932" t="s">
        <v>547</v>
      </c>
      <c r="D86" s="580">
        <v>0</v>
      </c>
      <c r="E86" s="925">
        <v>0</v>
      </c>
      <c r="F86" s="926">
        <f t="shared" si="1"/>
        <v>0</v>
      </c>
      <c r="G86" s="305"/>
      <c r="H86" s="305"/>
      <c r="I86" s="305"/>
      <c r="J86" s="305"/>
      <c r="K86" s="305"/>
      <c r="L86" s="305"/>
      <c r="M86" s="305"/>
      <c r="N86" s="305"/>
      <c r="O86" s="305"/>
      <c r="P86" s="305"/>
      <c r="Q86" s="305"/>
    </row>
    <row r="87" spans="1:21" s="308" customFormat="1" ht="30" customHeight="1" thickBot="1">
      <c r="A87" s="922" t="s">
        <v>548</v>
      </c>
      <c r="B87" s="923"/>
      <c r="C87" s="932" t="s">
        <v>549</v>
      </c>
      <c r="D87" s="580">
        <v>0</v>
      </c>
      <c r="E87" s="925">
        <v>0</v>
      </c>
      <c r="F87" s="926">
        <f t="shared" si="1"/>
        <v>0</v>
      </c>
      <c r="G87" s="305"/>
      <c r="H87" s="305"/>
      <c r="I87" s="305"/>
      <c r="J87" s="305"/>
      <c r="K87" s="305"/>
      <c r="L87" s="305"/>
      <c r="M87" s="305"/>
      <c r="N87" s="305"/>
      <c r="O87" s="305"/>
      <c r="P87" s="305"/>
      <c r="Q87" s="305"/>
    </row>
    <row r="88" spans="1:21" s="308" customFormat="1" ht="30" customHeight="1" thickBot="1">
      <c r="A88" s="922" t="s">
        <v>550</v>
      </c>
      <c r="B88" s="923"/>
      <c r="C88" s="932" t="s">
        <v>551</v>
      </c>
      <c r="D88" s="580">
        <v>1024</v>
      </c>
      <c r="E88" s="925">
        <v>0</v>
      </c>
      <c r="F88" s="926">
        <f t="shared" ref="F88:F93" si="2">+D88+E88</f>
        <v>1024</v>
      </c>
      <c r="G88" s="305"/>
      <c r="H88" s="305"/>
      <c r="I88" s="305"/>
      <c r="J88" s="305"/>
      <c r="K88" s="305"/>
      <c r="L88" s="305"/>
      <c r="M88" s="305"/>
      <c r="N88" s="305"/>
      <c r="O88" s="305"/>
      <c r="P88" s="305"/>
      <c r="Q88" s="305"/>
    </row>
    <row r="89" spans="1:21" s="308" customFormat="1" ht="30" customHeight="1" thickBot="1">
      <c r="A89" s="922" t="s">
        <v>552</v>
      </c>
      <c r="B89" s="923"/>
      <c r="C89" s="932" t="s">
        <v>553</v>
      </c>
      <c r="D89" s="580">
        <v>0</v>
      </c>
      <c r="E89" s="925">
        <v>0</v>
      </c>
      <c r="F89" s="926">
        <f t="shared" si="2"/>
        <v>0</v>
      </c>
      <c r="G89" s="305"/>
      <c r="H89" s="305"/>
      <c r="I89" s="305"/>
      <c r="J89" s="305"/>
      <c r="K89" s="305"/>
      <c r="L89" s="305"/>
      <c r="M89" s="305"/>
      <c r="N89" s="305"/>
      <c r="O89" s="305"/>
      <c r="P89" s="305"/>
      <c r="Q89" s="305"/>
    </row>
    <row r="90" spans="1:21" s="308" customFormat="1" ht="30" customHeight="1" thickBot="1">
      <c r="A90" s="922" t="s">
        <v>554</v>
      </c>
      <c r="B90" s="923"/>
      <c r="C90" s="932" t="s">
        <v>555</v>
      </c>
      <c r="D90" s="580">
        <v>0</v>
      </c>
      <c r="E90" s="925">
        <v>0</v>
      </c>
      <c r="F90" s="926">
        <f t="shared" si="2"/>
        <v>0</v>
      </c>
      <c r="G90" s="305"/>
      <c r="H90" s="305"/>
      <c r="I90" s="305"/>
      <c r="J90" s="305"/>
      <c r="K90" s="305"/>
      <c r="L90" s="305"/>
      <c r="M90" s="305"/>
      <c r="N90" s="305"/>
      <c r="O90" s="305"/>
      <c r="P90" s="305"/>
      <c r="Q90" s="305"/>
    </row>
    <row r="91" spans="1:21" s="308" customFormat="1" ht="30" customHeight="1" thickBot="1">
      <c r="A91" s="922" t="s">
        <v>556</v>
      </c>
      <c r="B91" s="923"/>
      <c r="C91" s="932" t="s">
        <v>557</v>
      </c>
      <c r="D91" s="580">
        <v>0</v>
      </c>
      <c r="E91" s="925">
        <v>0</v>
      </c>
      <c r="F91" s="926">
        <f t="shared" si="2"/>
        <v>0</v>
      </c>
      <c r="G91" s="305"/>
      <c r="H91" s="305"/>
      <c r="I91" s="305"/>
      <c r="J91" s="305"/>
      <c r="K91" s="305"/>
      <c r="L91" s="305"/>
      <c r="M91" s="305"/>
      <c r="N91" s="305"/>
      <c r="O91" s="305"/>
      <c r="P91" s="305"/>
      <c r="Q91" s="305"/>
    </row>
    <row r="92" spans="1:21" s="308" customFormat="1" ht="30" customHeight="1" thickBot="1">
      <c r="A92" s="922" t="s">
        <v>558</v>
      </c>
      <c r="B92" s="923"/>
      <c r="C92" s="932" t="s">
        <v>559</v>
      </c>
      <c r="D92" s="580">
        <v>0</v>
      </c>
      <c r="E92" s="925">
        <v>0</v>
      </c>
      <c r="F92" s="926">
        <f t="shared" si="2"/>
        <v>0</v>
      </c>
      <c r="G92" s="305"/>
      <c r="H92" s="305"/>
      <c r="I92" s="305"/>
      <c r="J92" s="305"/>
      <c r="K92" s="305"/>
      <c r="L92" s="305"/>
      <c r="M92" s="305"/>
      <c r="N92" s="305"/>
      <c r="O92" s="305"/>
      <c r="P92" s="305"/>
      <c r="Q92" s="305"/>
    </row>
    <row r="93" spans="1:21" s="308" customFormat="1" ht="30" customHeight="1" thickBot="1">
      <c r="A93" s="922" t="s">
        <v>560</v>
      </c>
      <c r="B93" s="923"/>
      <c r="C93" s="932" t="s">
        <v>561</v>
      </c>
      <c r="D93" s="580">
        <v>0</v>
      </c>
      <c r="E93" s="925">
        <v>0</v>
      </c>
      <c r="F93" s="926">
        <f t="shared" si="2"/>
        <v>0</v>
      </c>
      <c r="G93" s="305"/>
      <c r="H93" s="305"/>
      <c r="I93" s="305"/>
      <c r="J93" s="305"/>
      <c r="K93" s="305"/>
      <c r="L93" s="305"/>
      <c r="M93" s="305"/>
      <c r="N93" s="305"/>
      <c r="O93" s="305"/>
      <c r="P93" s="305"/>
      <c r="Q93" s="305"/>
    </row>
    <row r="94" spans="1:21" s="308" customFormat="1" ht="30" customHeight="1" thickBot="1">
      <c r="A94" s="922" t="s">
        <v>562</v>
      </c>
      <c r="B94" s="923"/>
      <c r="C94" s="932" t="s">
        <v>563</v>
      </c>
      <c r="D94" s="580">
        <v>0</v>
      </c>
      <c r="E94" s="925">
        <v>0</v>
      </c>
      <c r="F94" s="926">
        <f t="shared" si="1"/>
        <v>0</v>
      </c>
      <c r="G94" s="305"/>
      <c r="H94" s="305"/>
      <c r="I94" s="305"/>
      <c r="J94" s="305"/>
      <c r="K94" s="305"/>
      <c r="L94" s="305"/>
      <c r="M94" s="305"/>
      <c r="N94" s="305"/>
      <c r="O94" s="305"/>
      <c r="P94" s="305"/>
      <c r="Q94" s="305"/>
    </row>
    <row r="95" spans="1:21" s="308" customFormat="1" ht="30" customHeight="1" thickBot="1">
      <c r="A95" s="922" t="s">
        <v>643</v>
      </c>
      <c r="B95" s="923"/>
      <c r="C95" s="932" t="s">
        <v>565</v>
      </c>
      <c r="D95" s="580">
        <v>0</v>
      </c>
      <c r="E95" s="925">
        <v>0</v>
      </c>
      <c r="F95" s="926">
        <f t="shared" si="1"/>
        <v>0</v>
      </c>
      <c r="G95" s="305"/>
      <c r="H95" s="305"/>
      <c r="I95" s="305"/>
      <c r="J95" s="305"/>
      <c r="K95" s="305"/>
      <c r="L95" s="305"/>
      <c r="M95" s="305"/>
      <c r="N95" s="305"/>
      <c r="O95" s="305"/>
      <c r="P95" s="305"/>
      <c r="Q95" s="305"/>
    </row>
    <row r="96" spans="1:21" s="308" customFormat="1" ht="30" customHeight="1" thickBot="1">
      <c r="A96" s="922" t="s">
        <v>643</v>
      </c>
      <c r="B96" s="923"/>
      <c r="C96" s="932" t="s">
        <v>567</v>
      </c>
      <c r="D96" s="580">
        <v>0</v>
      </c>
      <c r="E96" s="925">
        <v>0</v>
      </c>
      <c r="F96" s="926">
        <f t="shared" si="1"/>
        <v>0</v>
      </c>
      <c r="G96" s="305"/>
      <c r="H96" s="305"/>
      <c r="I96" s="305"/>
      <c r="J96" s="305"/>
      <c r="K96" s="305"/>
      <c r="L96" s="305"/>
      <c r="M96" s="305"/>
      <c r="N96" s="305"/>
      <c r="O96" s="305"/>
      <c r="P96" s="305"/>
      <c r="Q96" s="305"/>
    </row>
    <row r="97" spans="1:17" s="308" customFormat="1" ht="30" customHeight="1" thickBot="1">
      <c r="A97" s="922" t="s">
        <v>643</v>
      </c>
      <c r="B97" s="923"/>
      <c r="C97" s="932" t="s">
        <v>569</v>
      </c>
      <c r="D97" s="580">
        <v>0</v>
      </c>
      <c r="E97" s="925">
        <v>0</v>
      </c>
      <c r="F97" s="926">
        <f t="shared" si="1"/>
        <v>0</v>
      </c>
      <c r="G97" s="305"/>
      <c r="H97" s="305"/>
      <c r="I97" s="305"/>
      <c r="J97" s="305"/>
      <c r="K97" s="305"/>
      <c r="L97" s="305"/>
      <c r="M97" s="305"/>
      <c r="N97" s="305"/>
      <c r="O97" s="305"/>
      <c r="P97" s="305"/>
      <c r="Q97" s="305"/>
    </row>
    <row r="98" spans="1:17" s="308" customFormat="1" ht="30" customHeight="1" thickBot="1">
      <c r="A98" s="922" t="s">
        <v>644</v>
      </c>
      <c r="B98" s="923"/>
      <c r="C98" s="932" t="s">
        <v>571</v>
      </c>
      <c r="D98" s="580">
        <v>0</v>
      </c>
      <c r="E98" s="925">
        <v>0</v>
      </c>
      <c r="F98" s="926">
        <f t="shared" si="1"/>
        <v>0</v>
      </c>
      <c r="G98" s="305"/>
      <c r="H98" s="305"/>
      <c r="I98" s="305"/>
      <c r="J98" s="305"/>
      <c r="K98" s="305"/>
      <c r="L98" s="305"/>
      <c r="M98" s="305"/>
      <c r="N98" s="305"/>
      <c r="O98" s="305"/>
      <c r="P98" s="305"/>
      <c r="Q98" s="305"/>
    </row>
    <row r="99" spans="1:17" s="308" customFormat="1" ht="30" customHeight="1" thickBot="1">
      <c r="A99" s="922" t="s">
        <v>644</v>
      </c>
      <c r="B99" s="923"/>
      <c r="C99" s="932">
        <v>69270</v>
      </c>
      <c r="D99" s="580">
        <v>0</v>
      </c>
      <c r="E99" s="925">
        <v>0</v>
      </c>
      <c r="F99" s="926">
        <f t="shared" si="1"/>
        <v>0</v>
      </c>
      <c r="G99" s="305"/>
      <c r="H99" s="305"/>
      <c r="I99" s="305"/>
      <c r="J99" s="305"/>
      <c r="K99" s="305"/>
      <c r="L99" s="305"/>
      <c r="M99" s="305"/>
      <c r="N99" s="305"/>
      <c r="O99" s="305"/>
      <c r="P99" s="305"/>
      <c r="Q99" s="305"/>
    </row>
    <row r="100" spans="1:17" s="308" customFormat="1" ht="30" customHeight="1" thickBot="1">
      <c r="A100" s="922" t="s">
        <v>573</v>
      </c>
      <c r="B100" s="923"/>
      <c r="C100" s="932" t="s">
        <v>574</v>
      </c>
      <c r="D100" s="580">
        <v>0</v>
      </c>
      <c r="E100" s="925">
        <v>0</v>
      </c>
      <c r="F100" s="926">
        <f t="shared" si="1"/>
        <v>0</v>
      </c>
      <c r="G100" s="305"/>
      <c r="H100" s="305"/>
      <c r="I100" s="305"/>
      <c r="J100" s="305"/>
      <c r="K100" s="305"/>
      <c r="L100" s="305"/>
      <c r="M100" s="305"/>
      <c r="N100" s="305"/>
      <c r="O100" s="305"/>
      <c r="P100" s="305"/>
      <c r="Q100" s="305"/>
    </row>
    <row r="101" spans="1:17" s="308" customFormat="1" ht="30" customHeight="1" thickBot="1">
      <c r="A101" s="922" t="s">
        <v>408</v>
      </c>
      <c r="B101" s="923"/>
      <c r="C101" s="932" t="s">
        <v>576</v>
      </c>
      <c r="D101" s="580">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580">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94041</v>
      </c>
      <c r="E103" s="342">
        <f>SUM(E64:E102)</f>
        <v>0</v>
      </c>
      <c r="F103" s="342">
        <f t="shared" si="1"/>
        <v>94041</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7000</v>
      </c>
      <c r="E108" s="580">
        <v>0</v>
      </c>
      <c r="F108" s="304">
        <f t="shared" si="1"/>
        <v>7000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762</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763</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730</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7000</v>
      </c>
      <c r="E121" s="346">
        <f>SUM(E108:E120)</f>
        <v>0</v>
      </c>
      <c r="F121" s="346">
        <f>SUM(D121:E121)</f>
        <v>7000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1759815</v>
      </c>
      <c r="E123" s="342">
        <f>+E57+E103+E121</f>
        <v>0</v>
      </c>
      <c r="F123" s="342">
        <f>SUM(D123:E123)</f>
        <v>1759815</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1269456</v>
      </c>
      <c r="E128" s="925">
        <v>0</v>
      </c>
      <c r="F128" s="926">
        <f t="shared" ref="F128:F138" si="3">+D128+E128</f>
        <v>1269456</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0</v>
      </c>
      <c r="E129" s="925">
        <v>0</v>
      </c>
      <c r="F129" s="926">
        <f t="shared" si="3"/>
        <v>0</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728</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f>D123-1269456</f>
        <v>490359</v>
      </c>
      <c r="E133" s="925">
        <v>0</v>
      </c>
      <c r="F133" s="926">
        <f t="shared" si="3"/>
        <v>490359</v>
      </c>
      <c r="G133" s="338"/>
      <c r="H133" s="338"/>
      <c r="I133" s="338"/>
      <c r="J133" s="338"/>
      <c r="K133" s="338"/>
      <c r="L133" s="338"/>
      <c r="M133" s="338"/>
      <c r="N133" s="338"/>
      <c r="O133" s="338"/>
      <c r="P133" s="338"/>
      <c r="Q133" s="338"/>
    </row>
    <row r="134" spans="1:17" s="339" customFormat="1" ht="30" customHeight="1">
      <c r="A134" s="922" t="s">
        <v>655</v>
      </c>
      <c r="B134" s="754"/>
      <c r="C134" s="934"/>
      <c r="D134" s="925">
        <v>0</v>
      </c>
      <c r="E134" s="925">
        <v>0</v>
      </c>
      <c r="F134" s="926">
        <f t="shared" si="3"/>
        <v>0</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1759815</v>
      </c>
      <c r="E139" s="334">
        <f>SUM(E127:E138)</f>
        <v>0</v>
      </c>
      <c r="F139" s="335">
        <f>SUM(F127:F138)</f>
        <v>1759815</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798</v>
      </c>
      <c r="B141" s="1157"/>
      <c r="C141" s="1158"/>
      <c r="D141" s="326">
        <f>D139-D123</f>
        <v>0</v>
      </c>
      <c r="E141" s="326">
        <f>E139-E123</f>
        <v>0</v>
      </c>
      <c r="F141" s="326">
        <f>F139-F123</f>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799</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328125" defaultRowHeight="15.75"/>
  <cols>
    <col min="1" max="1" width="5.265625" style="353" customWidth="1"/>
    <col min="2" max="2" width="84.3984375" style="353" customWidth="1"/>
    <col min="3" max="3" width="14.86328125" style="353" customWidth="1"/>
    <col min="4" max="4" width="14" style="353" customWidth="1"/>
    <col min="5" max="5" width="15.3984375" style="353" customWidth="1"/>
    <col min="6" max="6" width="9.1328125" style="353"/>
    <col min="7" max="7" width="10.86328125" style="353" customWidth="1"/>
    <col min="8" max="16384" width="9.1328125" style="353"/>
  </cols>
  <sheetData>
    <row r="1" spans="2:7" ht="25.5">
      <c r="B1" s="1130" t="s">
        <v>11</v>
      </c>
      <c r="C1" s="1130"/>
      <c r="D1" s="1130"/>
      <c r="E1" s="1130"/>
      <c r="F1" s="352"/>
      <c r="G1" s="352"/>
    </row>
    <row r="2" spans="2:7" ht="25.5">
      <c r="B2" s="1130" t="s">
        <v>755</v>
      </c>
      <c r="C2" s="1130"/>
      <c r="D2" s="1130"/>
      <c r="E2" s="1130"/>
      <c r="F2" s="352"/>
      <c r="G2" s="352"/>
    </row>
    <row r="3" spans="2:7" ht="21">
      <c r="B3" s="1116"/>
      <c r="C3" s="1116"/>
      <c r="D3" s="1116"/>
      <c r="E3" s="1116"/>
      <c r="F3" s="352"/>
      <c r="G3" s="352"/>
    </row>
    <row r="4" spans="2:7" ht="21.4"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149999999999999"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149999999999999"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149999999999999"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65"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3984375" defaultRowHeight="14.25"/>
  <cols>
    <col min="1" max="1" width="58.73046875" style="97" customWidth="1"/>
    <col min="2" max="2" width="8.3984375" style="97" customWidth="1"/>
    <col min="3" max="3" width="57.1328125" style="97" customWidth="1"/>
    <col min="4" max="4" width="5" style="97" customWidth="1"/>
    <col min="5" max="16384" width="12.3984375" style="97"/>
  </cols>
  <sheetData>
    <row r="1" spans="1:21" s="101" customFormat="1" ht="25.5">
      <c r="A1" s="1130" t="s">
        <v>11</v>
      </c>
      <c r="B1" s="1130"/>
      <c r="C1" s="1130"/>
    </row>
    <row r="2" spans="1:21" s="101" customFormat="1" ht="21" customHeight="1" thickBot="1">
      <c r="A2" s="1130" t="s">
        <v>756</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6328125" defaultRowHeight="12.75"/>
  <sheetData>
    <row r="1" spans="1:1">
      <c r="A1" s="758" t="s">
        <v>720</v>
      </c>
    </row>
    <row r="2" spans="1:1">
      <c r="A2" s="758" t="s">
        <v>721</v>
      </c>
    </row>
    <row r="3" spans="1:1">
      <c r="A3" s="758" t="s">
        <v>722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632812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761</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6057900</xdr:colOff>
                <xdr:row>50</xdr:row>
                <xdr:rowOff>114300</xdr:rowOff>
              </to>
            </anchor>
          </objectPr>
        </oleObject>
      </mc:Choice>
      <mc:Fallback>
        <oleObject progId="Acrobat.Document.DC" shapeId="103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election activeCell="G25" sqref="G25:G26"/>
    </sheetView>
  </sheetViews>
  <sheetFormatPr defaultColWidth="8.86328125" defaultRowHeight="21"/>
  <cols>
    <col min="1" max="1" width="56" style="20" customWidth="1"/>
    <col min="2" max="2" width="32.1328125" style="20" customWidth="1"/>
    <col min="3" max="3" width="24.73046875" style="20" customWidth="1"/>
    <col min="4" max="4" width="26" style="20" bestFit="1" customWidth="1"/>
    <col min="5" max="5" width="23.3984375" style="20" customWidth="1"/>
    <col min="6" max="6" width="21.86328125" style="20" customWidth="1"/>
    <col min="7" max="7" width="16.265625" style="20" customWidth="1"/>
    <col min="8" max="8" width="17.3984375" style="20" customWidth="1"/>
    <col min="9" max="9" width="14.265625" style="20" customWidth="1"/>
    <col min="10" max="10" width="16.265625" style="20" customWidth="1"/>
    <col min="11" max="11" width="17.86328125" style="20" bestFit="1" customWidth="1"/>
    <col min="12" max="12" width="13.73046875" style="20" customWidth="1"/>
    <col min="13" max="13" width="13.3984375" style="20" bestFit="1" customWidth="1"/>
    <col min="14" max="14" width="12.1328125" style="20" bestFit="1" customWidth="1"/>
    <col min="15" max="15" width="13.265625" style="20" customWidth="1"/>
    <col min="16" max="16" width="13" style="20" customWidth="1"/>
    <col min="17" max="17" width="15" style="20" customWidth="1"/>
    <col min="18" max="18" width="13.3984375" style="20" customWidth="1"/>
    <col min="19" max="19" width="13.73046875" style="20" customWidth="1"/>
    <col min="20" max="20" width="21.3984375" style="20" customWidth="1"/>
    <col min="21" max="21" width="8.86328125" style="20"/>
    <col min="22" max="22" width="12.1328125" style="20" bestFit="1" customWidth="1"/>
    <col min="23" max="23" width="13.86328125" style="20" customWidth="1"/>
    <col min="24" max="24" width="9.265625" style="20" bestFit="1" customWidth="1"/>
    <col min="25" max="25" width="2.3984375" style="20" customWidth="1"/>
    <col min="26" max="26" width="14.86328125" style="20" customWidth="1"/>
    <col min="27" max="27" width="15.265625" style="20" customWidth="1"/>
    <col min="28" max="28" width="15.1328125" style="20" customWidth="1"/>
    <col min="29" max="29" width="6.265625" style="20" customWidth="1"/>
    <col min="30" max="30" width="64.86328125" style="20" customWidth="1"/>
    <col min="31" max="31" width="13.3984375" style="20" customWidth="1"/>
    <col min="32" max="32" width="14.73046875" style="20" customWidth="1"/>
    <col min="33" max="33" width="18" style="20" customWidth="1"/>
    <col min="34" max="34" width="4.73046875" style="20" customWidth="1"/>
    <col min="35" max="35" width="21.3984375" style="20" customWidth="1"/>
    <col min="36" max="39" width="8.86328125" style="20"/>
    <col min="40" max="40" width="41.3984375" style="20" customWidth="1"/>
    <col min="41" max="41" width="19.1328125" style="20" customWidth="1"/>
    <col min="42" max="42" width="2.73046875" style="20" customWidth="1"/>
    <col min="43" max="44" width="20.1328125" style="20" customWidth="1"/>
    <col min="45" max="16384" width="8.8632812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793</v>
      </c>
      <c r="C3" s="77"/>
      <c r="D3" s="86"/>
      <c r="E3" s="85"/>
      <c r="F3" s="25"/>
    </row>
    <row r="4" spans="1:10" ht="25.35" customHeight="1" thickBot="1">
      <c r="A4" s="75">
        <v>1</v>
      </c>
      <c r="B4" s="64">
        <v>2</v>
      </c>
      <c r="C4" s="64">
        <v>3</v>
      </c>
      <c r="D4" s="64">
        <v>4</v>
      </c>
      <c r="E4" s="68"/>
      <c r="F4" s="25"/>
    </row>
    <row r="5" spans="1:10" ht="44.1" customHeight="1" thickBot="1">
      <c r="A5" s="1273" t="s">
        <v>16</v>
      </c>
      <c r="B5" s="1322" t="s">
        <v>774</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v>33122473.964400001</v>
      </c>
      <c r="C9" s="1169">
        <v>5159428</v>
      </c>
      <c r="D9" s="87">
        <f t="shared" si="0"/>
        <v>38281901.964400001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v>43596058.663999997</v>
      </c>
      <c r="C11" s="1169">
        <v>10843888</v>
      </c>
      <c r="D11" s="87">
        <f t="shared" si="0"/>
        <v>54439946.663999997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v>29636356.845799997</v>
      </c>
      <c r="C33" s="1169">
        <v>6733218</v>
      </c>
      <c r="D33" s="87">
        <f t="shared" si="0"/>
        <v>36369574.845799997</v>
      </c>
      <c r="E33" s="529"/>
      <c r="F33" s="59"/>
      <c r="G33" s="59"/>
      <c r="I33" s="529"/>
      <c r="J33" s="59"/>
      <c r="K33" s="529"/>
    </row>
    <row r="34" spans="1:21" ht="25.35" customHeight="1" thickBot="1">
      <c r="A34" s="502" t="s">
        <v>49</v>
      </c>
      <c r="B34" s="1168">
        <v>88194296.761600003</v>
      </c>
      <c r="C34" s="1169">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794</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757</v>
      </c>
      <c r="B40" s="1162" t="s">
        <v>792</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776</v>
      </c>
      <c r="C44" s="1253"/>
      <c r="D44" s="1253">
        <v>375000</v>
      </c>
      <c r="E44" s="782">
        <f t="shared" si="1"/>
        <v>375000</v>
      </c>
    </row>
    <row r="45" spans="1:21" ht="42">
      <c r="A45" s="1172" t="str">
        <f>A11</f>
        <v>Daytona State College</v>
      </c>
      <c r="B45" s="783" t="s">
        <v>57</v>
      </c>
      <c r="C45" s="781">
        <v>500000</v>
      </c>
      <c r="D45" s="781"/>
      <c r="E45" s="782">
        <f t="shared" si="1"/>
        <v>500000</v>
      </c>
      <c r="H45" s="24"/>
    </row>
    <row r="46" spans="1:21" ht="84.75" customHeight="1">
      <c r="A46" s="1170" t="s">
        <v>25</v>
      </c>
      <c r="B46" s="783" t="s">
        <v>775</v>
      </c>
      <c r="C46" s="781"/>
      <c r="D46" s="781">
        <v>315500</v>
      </c>
      <c r="E46" s="782">
        <f t="shared" si="1"/>
        <v>315500</v>
      </c>
      <c r="H46" s="24"/>
    </row>
    <row r="47" spans="1:21" ht="84.75" customHeight="1">
      <c r="A47" s="1170" t="s">
        <v>25</v>
      </c>
      <c r="B47" s="1252" t="s">
        <v>778</v>
      </c>
      <c r="C47" s="1253"/>
      <c r="D47" s="1253">
        <v>447123</v>
      </c>
      <c r="E47" s="782">
        <f t="shared" si="1"/>
        <v>447123</v>
      </c>
      <c r="H47" s="24"/>
    </row>
    <row r="48" spans="1:21" ht="84.75" customHeight="1">
      <c r="A48" s="1170" t="s">
        <v>21</v>
      </c>
      <c r="B48" s="1252" t="s">
        <v>777</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780</v>
      </c>
      <c r="C50" s="1253"/>
      <c r="D50" s="1253">
        <v>1000000</v>
      </c>
      <c r="E50" s="782">
        <f t="shared" si="1"/>
        <v>1000000</v>
      </c>
      <c r="H50" s="24"/>
    </row>
    <row r="51" spans="1:8" ht="62.45" customHeight="1">
      <c r="A51" s="1170" t="s">
        <v>35</v>
      </c>
      <c r="B51" s="1252" t="s">
        <v>779</v>
      </c>
      <c r="C51" s="1253"/>
      <c r="D51" s="1253">
        <v>600050</v>
      </c>
      <c r="E51" s="782">
        <f t="shared" si="1"/>
        <v>600050</v>
      </c>
      <c r="H51" s="24"/>
    </row>
    <row r="52" spans="1:8" ht="62.45" customHeight="1">
      <c r="A52" s="1170" t="s">
        <v>36</v>
      </c>
      <c r="B52" s="1252" t="s">
        <v>781</v>
      </c>
      <c r="C52" s="1253"/>
      <c r="D52" s="1253">
        <v>400000</v>
      </c>
      <c r="E52" s="782">
        <f t="shared" si="1"/>
        <v>400000</v>
      </c>
      <c r="H52" s="24"/>
    </row>
    <row r="53" spans="1:8" ht="62.45" customHeight="1">
      <c r="A53" s="1170" t="s">
        <v>37</v>
      </c>
      <c r="B53" s="1252" t="s">
        <v>782</v>
      </c>
      <c r="C53" s="1253"/>
      <c r="D53" s="1253">
        <v>500000</v>
      </c>
      <c r="E53" s="782">
        <f t="shared" si="1"/>
        <v>500000</v>
      </c>
      <c r="H53" s="24"/>
    </row>
    <row r="54" spans="1:8" ht="62.45" customHeight="1">
      <c r="A54" s="1170" t="s">
        <v>39</v>
      </c>
      <c r="B54" s="1252" t="s">
        <v>783</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784</v>
      </c>
      <c r="B56" s="1252" t="s">
        <v>785</v>
      </c>
      <c r="C56" s="1253"/>
      <c r="D56" s="1253">
        <v>765645</v>
      </c>
      <c r="E56" s="782">
        <f t="shared" si="1"/>
        <v>765645</v>
      </c>
      <c r="H56" s="24"/>
    </row>
    <row r="57" spans="1:8" ht="42">
      <c r="A57" s="1329" t="s">
        <v>786</v>
      </c>
      <c r="B57" s="1252" t="s">
        <v>787</v>
      </c>
      <c r="C57" s="1253"/>
      <c r="D57" s="1253">
        <v>5000000</v>
      </c>
      <c r="E57" s="782">
        <f t="shared" si="1"/>
        <v>5000000</v>
      </c>
      <c r="H57" s="24"/>
    </row>
    <row r="58" spans="1:8" ht="42">
      <c r="A58" s="1328" t="s">
        <v>725</v>
      </c>
      <c r="B58" s="1252" t="s">
        <v>788</v>
      </c>
      <c r="C58" s="1253"/>
      <c r="D58" s="1253">
        <v>756722</v>
      </c>
      <c r="E58" s="782">
        <f t="shared" si="1"/>
        <v>756722</v>
      </c>
      <c r="H58" s="24"/>
    </row>
    <row r="59" spans="1:8" ht="63">
      <c r="A59" s="1173" t="s">
        <v>43</v>
      </c>
      <c r="B59" s="783" t="s">
        <v>789</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790</v>
      </c>
      <c r="C61" s="1253"/>
      <c r="D61" s="1253">
        <v>50000</v>
      </c>
      <c r="E61" s="782">
        <f t="shared" si="1"/>
        <v>50000</v>
      </c>
      <c r="H61" s="24"/>
    </row>
    <row r="62" spans="1:8" ht="86.25" customHeight="1" thickBot="1">
      <c r="A62" s="1328" t="s">
        <v>49</v>
      </c>
      <c r="B62" s="730" t="s">
        <v>791</v>
      </c>
      <c r="C62" s="731"/>
      <c r="D62" s="731">
        <v>1000000</v>
      </c>
      <c r="E62" s="1330">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736</v>
      </c>
      <c r="B67" s="505" t="str">
        <f>B3</f>
        <v>Date Updated:   05.03.22    BY:  EN</v>
      </c>
      <c r="C67" s="53" t="s">
        <v>10</v>
      </c>
      <c r="D67" s="53"/>
      <c r="F67" s="24"/>
      <c r="G67" s="24"/>
      <c r="H67" s="24"/>
    </row>
    <row r="68" spans="1:13" ht="45" customHeight="1" thickBot="1">
      <c r="A68" s="1277" t="s">
        <v>726</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758</v>
      </c>
      <c r="B75" s="1281" t="s">
        <v>765</v>
      </c>
      <c r="C75" s="1282"/>
      <c r="D75" s="1282"/>
      <c r="E75" s="1283"/>
      <c r="F75" s="21"/>
      <c r="G75" s="53"/>
      <c r="H75" s="24"/>
    </row>
    <row r="76" spans="1:13" ht="87.6" customHeight="1" thickBot="1">
      <c r="A76" s="50" t="s">
        <v>17</v>
      </c>
      <c r="B76" s="30" t="s">
        <v>795</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766</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759</v>
      </c>
      <c r="B114" s="1257" t="s">
        <v>772</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767</v>
      </c>
      <c r="U116" s="41"/>
      <c r="V116" s="42"/>
      <c r="W116" s="43"/>
      <c r="X116" s="44"/>
      <c r="Y116" s="72"/>
      <c r="Z116" s="1290"/>
      <c r="AA116" s="1291"/>
      <c r="AB116" s="1292"/>
      <c r="AC116" s="22"/>
      <c r="AD116" s="729" t="s">
        <v>768</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769</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770</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771</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SUM(B119:B146)</f>
        <v>18615</v>
      </c>
      <c r="C147" s="80"/>
      <c r="D147" s="510">
        <f t="shared" ref="D147:T147" si="20">SUM(D119:D146)</f>
        <v>18615</v>
      </c>
      <c r="E147" s="1177">
        <f t="shared" si="20"/>
        <v>148527.48597990075</v>
      </c>
      <c r="F147" s="494">
        <f t="shared" si="20"/>
        <v>6208.5928215637341</v>
      </c>
      <c r="G147" s="510">
        <f t="shared" si="20"/>
        <v>154736.07880146446</v>
      </c>
      <c r="H147" s="521">
        <f t="shared" si="20"/>
        <v>50587.979683434496</v>
      </c>
      <c r="I147" s="494">
        <f t="shared" si="20"/>
        <v>2016.7795188294649</v>
      </c>
      <c r="J147" s="510">
        <f t="shared" si="20"/>
        <v>52604.759202263944</v>
      </c>
      <c r="K147" s="521">
        <f t="shared" si="20"/>
        <v>5914.4501536268854</v>
      </c>
      <c r="L147" s="523">
        <f t="shared" si="20"/>
        <v>479.54984637311503</v>
      </c>
      <c r="M147" s="511">
        <f t="shared" si="20"/>
        <v>6394</v>
      </c>
      <c r="N147" s="521">
        <f t="shared" si="20"/>
        <v>413.39751087749067</v>
      </c>
      <c r="O147" s="523">
        <f t="shared" si="20"/>
        <v>5.6024891225093389</v>
      </c>
      <c r="P147" s="511">
        <f t="shared" si="20"/>
        <v>419</v>
      </c>
      <c r="Q147" s="520">
        <f t="shared" si="20"/>
        <v>7165.0795103283872</v>
      </c>
      <c r="R147" s="522">
        <f t="shared" si="20"/>
        <v>271.29474957793718</v>
      </c>
      <c r="S147" s="512">
        <f t="shared" si="20"/>
        <v>7436.3742599063235</v>
      </c>
      <c r="T147" s="81">
        <f t="shared" si="20"/>
        <v>240205.21226363469</v>
      </c>
      <c r="U147" s="82"/>
      <c r="V147" s="513">
        <f t="shared" ref="V147:AB147" si="21">SUM(V119:V146)</f>
        <v>2</v>
      </c>
      <c r="W147" s="521">
        <f t="shared" si="21"/>
        <v>0</v>
      </c>
      <c r="X147" s="519">
        <f t="shared" si="21"/>
        <v>2</v>
      </c>
      <c r="Y147" s="83"/>
      <c r="Z147" s="513">
        <f t="shared" si="21"/>
        <v>932.7592222355571</v>
      </c>
      <c r="AA147" s="520">
        <f t="shared" si="21"/>
        <v>1401.240777764443</v>
      </c>
      <c r="AB147" s="515">
        <f t="shared" si="21"/>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729</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773</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colorId="22" zoomScale="70" zoomScaleNormal="70" zoomScaleSheetLayoutView="51" zoomScalePageLayoutView="60" workbookViewId="0"/>
  </sheetViews>
  <sheetFormatPr defaultColWidth="9.73046875" defaultRowHeight="21"/>
  <cols>
    <col min="1" max="1" width="5.1328125" style="37" customWidth="1"/>
    <col min="2" max="2" width="1.73046875" style="37" customWidth="1"/>
    <col min="3" max="3" width="92.3984375" style="37" customWidth="1"/>
    <col min="4" max="4" width="59.86328125" style="37" customWidth="1"/>
    <col min="5" max="5" width="34.265625" style="37" customWidth="1"/>
    <col min="6" max="6" width="22.3984375" style="37" customWidth="1"/>
    <col min="7" max="7" width="18.73046875" style="37" customWidth="1"/>
    <col min="8" max="8" width="1.73046875" style="37" customWidth="1"/>
    <col min="9" max="9" width="63.3984375" style="37" customWidth="1"/>
    <col min="10" max="11" width="18.1328125" style="37" customWidth="1"/>
    <col min="12" max="12" width="22.73046875" style="37" customWidth="1"/>
    <col min="13" max="13" width="3.265625" style="37" customWidth="1"/>
    <col min="14" max="14" width="32" style="37" customWidth="1"/>
    <col min="15" max="15" width="47" style="37" customWidth="1"/>
    <col min="16" max="16" width="31.3984375" style="37" customWidth="1"/>
    <col min="17" max="17" width="2.86328125" style="37" customWidth="1"/>
    <col min="18" max="18" width="48.1328125" style="37" customWidth="1"/>
    <col min="19" max="19" width="28.73046875" style="37" customWidth="1"/>
    <col min="20" max="20" width="5.1328125" style="37" customWidth="1"/>
    <col min="21" max="21" width="70" style="37" customWidth="1"/>
    <col min="22" max="22" width="26.1328125" style="37" customWidth="1"/>
    <col min="23" max="23" width="22.265625" style="37" customWidth="1"/>
    <col min="24" max="24" width="24.3984375" style="37" customWidth="1"/>
    <col min="25" max="25" width="21.1328125" style="37" customWidth="1"/>
    <col min="26" max="26" width="17.3984375" style="37" customWidth="1"/>
    <col min="27" max="16384" width="9.73046875" style="37"/>
  </cols>
  <sheetData>
    <row r="1" spans="1:53">
      <c r="A1" s="1116" t="s">
        <v>11</v>
      </c>
      <c r="B1" s="1116"/>
      <c r="C1" s="1116"/>
      <c r="D1" s="1116"/>
      <c r="E1" s="1116"/>
      <c r="F1" s="1116"/>
      <c r="G1" s="1116"/>
      <c r="H1" s="994"/>
      <c r="I1" s="994"/>
    </row>
    <row r="2" spans="1:53" ht="20.100000000000001" customHeight="1">
      <c r="A2" s="1116" t="s">
        <v>735</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44</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805</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0.11754461322821935</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736</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13830</v>
      </c>
      <c r="E44" s="138">
        <f>+'EXHIBIT C'!F10</f>
        <v>13830</v>
      </c>
      <c r="F44" s="139">
        <f t="shared" ref="F44:F50" si="0">IF(D44=0,"0",(E44/D44-1))</f>
        <v>0</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167178.03531832754</v>
      </c>
      <c r="E45" s="142">
        <f>+'EXHIBIT C'!F11</f>
        <v>167178.03531832754</v>
      </c>
      <c r="F45" s="810">
        <f t="shared" si="0"/>
        <v>0</v>
      </c>
      <c r="G45" s="811"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57561.699512994397</v>
      </c>
      <c r="E46" s="814">
        <f>+'EXHIBIT C'!F12</f>
        <v>57561.699512994397</v>
      </c>
      <c r="F46" s="810">
        <f t="shared" si="0"/>
        <v>0</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6751.534391534391</v>
      </c>
      <c r="E47" s="814">
        <f>+'EXHIBIT C'!F13</f>
        <v>6751.534391534391</v>
      </c>
      <c r="F47" s="810">
        <f t="shared" si="0"/>
        <v>0</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5711.5862068965516</v>
      </c>
      <c r="E48" s="814">
        <f>+'EXHIBIT C'!F14</f>
        <v>5711.5862068965516</v>
      </c>
      <c r="F48" s="810">
        <f t="shared" si="0"/>
        <v>0</v>
      </c>
      <c r="G48" s="811"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30</v>
      </c>
      <c r="E49" s="817">
        <f>+'EXHIBIT C'!F15</f>
        <v>30</v>
      </c>
      <c r="F49" s="818">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251062.85542975288</v>
      </c>
      <c r="E50" s="145">
        <f>+'EXHIBIT C'!F17</f>
        <v>251062.85542975288</v>
      </c>
      <c r="F50" s="146">
        <f t="shared" si="0"/>
        <v>0</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13871.702904908512</v>
      </c>
      <c r="E69" s="159">
        <f>+'EXHIBIT C'!D20</f>
        <v>13871.702904908512</v>
      </c>
      <c r="F69" s="821">
        <f t="shared" si="2"/>
        <v>0</v>
      </c>
      <c r="G69" s="822"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3268.9568066997408</v>
      </c>
      <c r="E70" s="824">
        <f>+'EXHIBIT C'!D21</f>
        <v>3268.9568066997408</v>
      </c>
      <c r="F70" s="821">
        <f t="shared" si="2"/>
        <v>0</v>
      </c>
      <c r="G70" s="822" t="str">
        <f t="shared" si="3"/>
        <v>NO</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40.211640211640216</v>
      </c>
      <c r="E71" s="824">
        <f>+'EXHIBIT C'!D22</f>
        <v>40.211640211640216</v>
      </c>
      <c r="F71" s="821">
        <f t="shared" si="2"/>
        <v>0</v>
      </c>
      <c r="G71" s="822"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738.41379310344814</v>
      </c>
      <c r="E72" s="824">
        <f>+'EXHIBIT C'!D23</f>
        <v>738.41379310344814</v>
      </c>
      <c r="F72" s="821">
        <f t="shared" si="2"/>
        <v>0</v>
      </c>
      <c r="G72" s="822" t="str">
        <f t="shared" si="3"/>
        <v>NO</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17919.285144923342</v>
      </c>
      <c r="E74" s="161">
        <f>SUM(E68:E73)</f>
        <v>17919.285144923342</v>
      </c>
      <c r="F74" s="162">
        <f t="shared" si="2"/>
        <v>0</v>
      </c>
      <c r="G74" s="163" t="str">
        <f t="shared" si="3"/>
        <v>NO</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20"/>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20"/>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38953794.723999999</v>
      </c>
      <c r="E102" s="833">
        <f>+'EXHIBIT D'!G75</f>
        <v>38953794.723999999</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1106354</v>
      </c>
      <c r="E103" s="833">
        <f>'EXHIBIT D'!G77</f>
        <v>1106354</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7484787</v>
      </c>
      <c r="E104" s="833">
        <f>'EXHIBIT D'!G81</f>
        <v>7484787</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796</v>
      </c>
      <c r="D105" s="173">
        <f>E105</f>
        <v>1545943</v>
      </c>
      <c r="E105" s="174">
        <f>'EXHIBIT D'!G76</f>
        <v>1545943</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49090878.723999999</v>
      </c>
      <c r="E106" s="176">
        <f>SUM(E102:E105)</f>
        <v>49090878.723999999</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737</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12704134.124000013</v>
      </c>
      <c r="D119" s="988" t="s">
        <v>738</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12704134.124000013</v>
      </c>
      <c r="D120" s="991" t="s">
        <v>739</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800</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43965690</v>
      </c>
      <c r="D126" s="37" t="s">
        <v>760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43965690</v>
      </c>
      <c r="D127" s="37" t="s">
        <v>740</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91.790021691973976</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t="str">
        <f>IF('EXHIBIT G'!D129=0,"No Credit Hours or Not Applicable",('EXHIBIT G'!D129/'EXHIBIT C'!D19))</f>
        <v>No Credit Hours or Not Applicable</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801</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802</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804</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80" zoomScaleNormal="80" zoomScaleSheetLayoutView="90" zoomScalePageLayoutView="70" workbookViewId="0"/>
  </sheetViews>
  <sheetFormatPr defaultColWidth="9.1328125" defaultRowHeight="21"/>
  <cols>
    <col min="1" max="1" width="9.1328125" style="37"/>
    <col min="2" max="2" width="21.265625" style="37" customWidth="1"/>
    <col min="3" max="3" width="75.1328125" style="37" customWidth="1"/>
    <col min="4" max="4" width="40.265625" style="37" customWidth="1"/>
    <col min="5" max="5" width="24" style="37" customWidth="1"/>
    <col min="6" max="6" width="3" style="37" customWidth="1"/>
    <col min="7" max="9" width="9.1328125" style="37"/>
    <col min="10" max="10" width="16.73046875" style="37" customWidth="1"/>
    <col min="11" max="16384" width="9.1328125" style="37"/>
  </cols>
  <sheetData>
    <row r="1" spans="2:7" ht="25.5">
      <c r="B1" s="1129" t="s">
        <v>180</v>
      </c>
      <c r="C1" s="1129"/>
      <c r="D1" s="1129"/>
      <c r="E1" s="1129"/>
      <c r="F1" s="368"/>
      <c r="G1" s="368"/>
    </row>
    <row r="2" spans="2:7" ht="25.5">
      <c r="B2" s="1130" t="s">
        <v>11</v>
      </c>
      <c r="C2" s="1130"/>
      <c r="D2" s="1130"/>
      <c r="E2" s="1130"/>
      <c r="F2" s="1040"/>
      <c r="G2" s="1040"/>
    </row>
    <row r="3" spans="2:7" ht="25.5">
      <c r="B3" s="1130" t="s">
        <v>181</v>
      </c>
      <c r="C3" s="1130"/>
      <c r="D3" s="1130"/>
      <c r="E3" s="1130"/>
      <c r="F3" s="1040"/>
      <c r="G3" s="1040"/>
    </row>
    <row r="4" spans="2:7" ht="25.5">
      <c r="B4" s="1130" t="s">
        <v>182</v>
      </c>
      <c r="C4" s="1130"/>
      <c r="D4" s="1130"/>
      <c r="E4" s="1130"/>
      <c r="F4" s="1040"/>
      <c r="G4" s="1040"/>
    </row>
    <row r="5" spans="2:7" ht="25.5">
      <c r="B5" s="1129" t="s">
        <v>734</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Santa Fe College</v>
      </c>
      <c r="D8" s="1039"/>
      <c r="E8" s="1039"/>
      <c r="F8" s="431"/>
      <c r="G8" s="431"/>
    </row>
    <row r="9" spans="2:7" ht="25.35" customHeight="1">
      <c r="D9" s="149"/>
      <c r="E9" s="149"/>
      <c r="F9" s="149"/>
      <c r="G9" s="149"/>
    </row>
    <row r="10" spans="2:7" ht="41.45" customHeight="1">
      <c r="E10" s="718" t="s">
        <v>184</v>
      </c>
    </row>
    <row r="11" spans="2:7" ht="25.35" customHeight="1">
      <c r="B11" s="112" t="s">
        <v>741</v>
      </c>
      <c r="D11" s="112"/>
      <c r="E11" s="199"/>
    </row>
    <row r="12" spans="2:7" ht="25.35" customHeight="1">
      <c r="B12" s="112"/>
      <c r="C12" s="112"/>
      <c r="D12" s="112"/>
    </row>
    <row r="13" spans="2:7" ht="25.35" customHeight="1">
      <c r="B13" s="37" t="s">
        <v>749</v>
      </c>
      <c r="C13" s="112"/>
      <c r="D13" s="112"/>
      <c r="E13" s="581">
        <f>-23329409-250000</f>
        <v>-23579409</v>
      </c>
    </row>
    <row r="14" spans="2:7" ht="25.35" customHeight="1">
      <c r="B14" s="37" t="s">
        <v>185</v>
      </c>
      <c r="D14" s="112"/>
      <c r="E14" s="719">
        <f>43465690+500000</f>
        <v>43965690</v>
      </c>
    </row>
    <row r="15" spans="2:7" ht="25.35" customHeight="1">
      <c r="B15" s="112"/>
      <c r="C15" s="24"/>
      <c r="D15" s="112"/>
      <c r="E15" s="200"/>
    </row>
    <row r="16" spans="2:7" ht="25.35" customHeight="1">
      <c r="B16" s="24" t="s">
        <v>742</v>
      </c>
      <c r="C16" s="112"/>
      <c r="D16" s="35"/>
      <c r="E16" s="720">
        <f>+E14+E13</f>
        <v>20386281</v>
      </c>
    </row>
    <row r="17" spans="2:7" ht="25.35" customHeight="1">
      <c r="B17" s="112"/>
      <c r="C17" s="35"/>
      <c r="D17" s="112"/>
      <c r="E17" s="201"/>
    </row>
    <row r="18" spans="2:7" ht="25.35" customHeight="1">
      <c r="B18" s="37" t="s">
        <v>186</v>
      </c>
      <c r="C18" s="112"/>
      <c r="D18" s="112"/>
      <c r="E18" s="213">
        <f>+'EXHIBIT D'!G144-SUM(+'EXHIBIT D'!G132+'EXHIBIT D'!G133+'EXHIBIT D'!G134+'EXHIBIT D'!G135)</f>
        <v>87234343.124000013</v>
      </c>
      <c r="G18" s="202"/>
    </row>
    <row r="19" spans="2:7" ht="25.35" customHeight="1">
      <c r="B19" s="37" t="s">
        <v>187</v>
      </c>
      <c r="D19" s="112"/>
      <c r="E19" s="720">
        <f>+'EXHIBIT D'!G132+'EXHIBIT D'!G133+'EXHIBIT D'!G134+'EXHIBIT D'!G135</f>
        <v>458630</v>
      </c>
    </row>
    <row r="20" spans="2:7" ht="25.35" customHeight="1">
      <c r="B20" s="112"/>
      <c r="D20" s="112"/>
      <c r="E20" s="208"/>
    </row>
    <row r="21" spans="2:7" ht="25.35" customHeight="1">
      <c r="B21" s="37" t="s">
        <v>188</v>
      </c>
      <c r="C21" s="112"/>
      <c r="D21" s="112"/>
      <c r="E21" s="721">
        <f>+E19+E18</f>
        <v>87692973.124000013</v>
      </c>
    </row>
    <row r="22" spans="2:7" ht="25.35" customHeight="1">
      <c r="B22" s="112"/>
      <c r="C22" s="112"/>
      <c r="D22" s="112"/>
      <c r="E22" s="208"/>
    </row>
    <row r="23" spans="2:7" ht="25.35" customHeight="1">
      <c r="B23" s="112" t="s">
        <v>189</v>
      </c>
      <c r="C23" s="112"/>
      <c r="D23" s="112"/>
      <c r="E23" s="721">
        <f>+E21+E16</f>
        <v>108079254.12400001</v>
      </c>
    </row>
    <row r="24" spans="2:7" ht="25.35" customHeight="1">
      <c r="B24" s="112"/>
      <c r="C24" s="112"/>
      <c r="D24" s="112"/>
      <c r="E24" s="208"/>
    </row>
    <row r="25" spans="2:7" ht="25.35" customHeight="1">
      <c r="B25" s="37" t="s">
        <v>190</v>
      </c>
      <c r="C25" s="112"/>
      <c r="D25" s="112"/>
      <c r="E25" s="214">
        <f>'EXHIBIT D'!G260-SUM(+'EXHIBIT D'!G231+'EXHIBIT D'!G232+'EXHIBIT D'!G233+'EXHIBIT D'!G234+'EXHIBIT D'!G235)</f>
        <v>95375120</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95375120</v>
      </c>
    </row>
    <row r="29" spans="2:7" ht="25.35" customHeight="1">
      <c r="B29" s="112"/>
      <c r="C29" s="112"/>
      <c r="D29" s="112"/>
      <c r="E29" s="203"/>
    </row>
    <row r="30" spans="2:7" ht="25.35" customHeight="1">
      <c r="B30" s="112" t="s">
        <v>743</v>
      </c>
      <c r="C30" s="112"/>
      <c r="D30" s="112"/>
      <c r="E30" s="203"/>
    </row>
    <row r="31" spans="2:7" ht="25.35" customHeight="1">
      <c r="B31" s="112"/>
      <c r="C31" s="112"/>
      <c r="D31" s="112"/>
      <c r="E31" s="203"/>
    </row>
    <row r="32" spans="2:7" ht="25.35" customHeight="1">
      <c r="B32" s="37" t="s">
        <v>193</v>
      </c>
      <c r="C32" s="112"/>
      <c r="D32" s="204">
        <f>+E23-E28</f>
        <v>12704134.124000013</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744</v>
      </c>
      <c r="C35" s="112"/>
      <c r="D35" s="112"/>
      <c r="E35" s="206">
        <f>+D32+D33</f>
        <v>12704134.124000013</v>
      </c>
      <c r="J35" s="149"/>
    </row>
    <row r="36" spans="2:10" ht="25.35" customHeight="1">
      <c r="B36" s="37" t="s">
        <v>745</v>
      </c>
      <c r="C36" s="112"/>
      <c r="D36" s="112"/>
      <c r="E36" s="721">
        <f>-'EXHIBIT D'!G276</f>
        <v>43965690</v>
      </c>
      <c r="J36" s="207"/>
    </row>
    <row r="37" spans="2:10" ht="25.35" customHeight="1">
      <c r="D37" s="112"/>
      <c r="E37" s="206"/>
      <c r="J37" s="149"/>
    </row>
    <row r="38" spans="2:10" ht="25.35" customHeight="1">
      <c r="B38" s="112" t="s">
        <v>746</v>
      </c>
      <c r="D38" s="112"/>
      <c r="E38" s="720">
        <f>+E35-E36</f>
        <v>-31261555.875999987</v>
      </c>
      <c r="J38" s="149"/>
    </row>
    <row r="39" spans="2:10" ht="25.35" customHeight="1">
      <c r="B39" s="112"/>
      <c r="C39" s="112"/>
      <c r="D39" s="112"/>
      <c r="E39" s="208"/>
    </row>
    <row r="40" spans="2:10" ht="25.35" customHeight="1">
      <c r="B40" s="24" t="s">
        <v>747</v>
      </c>
      <c r="C40" s="112"/>
      <c r="D40" s="35"/>
      <c r="E40" s="722">
        <f>'EXHIBIT D'!G265+'EXHIBIT D'!G266+'EXHIBIT D'!G267+'EXHIBIT D'!G268+'EXHIBIT D'!G269+'EXHIBIT D'!G270+'EXHIBIT D'!G271+'EXHIBIT D'!G272</f>
        <v>12704134.124000013</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748</v>
      </c>
      <c r="C44" s="112"/>
      <c r="D44" s="112"/>
      <c r="E44" s="724">
        <f>+E40/E23</f>
        <v>0.11754461322821935</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328125" defaultRowHeight="13.15"/>
  <cols>
    <col min="1" max="1" width="98.265625" style="218" customWidth="1"/>
    <col min="2" max="2" width="18" style="218" customWidth="1"/>
    <col min="3" max="3" width="16.3984375" style="218" customWidth="1"/>
    <col min="4" max="4" width="15.265625" style="218" customWidth="1"/>
    <col min="5" max="5" width="22.3984375" style="218" customWidth="1"/>
    <col min="6" max="6" width="20.73046875" style="218" customWidth="1"/>
    <col min="7" max="7" width="18.73046875" style="218" customWidth="1"/>
    <col min="8" max="8" width="20.265625" style="218" bestFit="1" customWidth="1"/>
    <col min="9" max="9" width="20.265625" style="218" customWidth="1"/>
    <col min="10" max="10" width="2" style="218" customWidth="1"/>
    <col min="11" max="11" width="21" style="218" bestFit="1" customWidth="1"/>
    <col min="12" max="12" width="19.1328125" style="218" customWidth="1"/>
    <col min="13" max="13" width="5.73046875" style="218" customWidth="1"/>
    <col min="14" max="16384" width="9.13281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750</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Santa Fe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191">
        <v>4.59</v>
      </c>
      <c r="D14" s="1191">
        <v>9.18</v>
      </c>
      <c r="E14" s="1191">
        <v>11.18</v>
      </c>
      <c r="F14" s="1191">
        <v>4.59</v>
      </c>
      <c r="G14" s="844">
        <f>SUM(B14:F14)</f>
        <v>121.33000000000001</v>
      </c>
      <c r="H14" s="474">
        <f>G14*30</f>
        <v>3639.9000000000005</v>
      </c>
      <c r="I14" s="24"/>
    </row>
    <row r="15" spans="1:18" s="37" customFormat="1" ht="20.100000000000001" customHeight="1">
      <c r="A15" s="112" t="s">
        <v>212</v>
      </c>
      <c r="B15" s="1192">
        <v>77.98</v>
      </c>
      <c r="C15" s="1192">
        <v>3.83</v>
      </c>
      <c r="D15" s="1192">
        <v>7.8</v>
      </c>
      <c r="E15" s="1192">
        <v>8.66</v>
      </c>
      <c r="F15" s="1192">
        <v>3.5</v>
      </c>
      <c r="G15" s="844">
        <f>SUM(B15:F15)</f>
        <v>101.77</v>
      </c>
      <c r="H15" s="437">
        <f>G15*30</f>
        <v>3053.1</v>
      </c>
      <c r="I15" s="24"/>
    </row>
    <row r="16" spans="1:18" s="37" customFormat="1" ht="20.100000000000001" customHeight="1" thickBot="1">
      <c r="A16" s="35" t="s">
        <v>82</v>
      </c>
      <c r="B16" s="1193">
        <v>68.400000000000006</v>
      </c>
      <c r="C16" s="1193">
        <v>0</v>
      </c>
      <c r="D16" s="1194"/>
      <c r="E16" s="1193">
        <v>0</v>
      </c>
      <c r="F16" s="1193">
        <v>3</v>
      </c>
      <c r="G16" s="438">
        <f>SUM(B16:F16)</f>
        <v>71.400000000000006</v>
      </c>
      <c r="H16" s="845">
        <f>G16*30</f>
        <v>2142</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30</v>
      </c>
      <c r="C19" s="475"/>
      <c r="D19" s="475"/>
      <c r="E19" s="475"/>
      <c r="F19" s="475"/>
      <c r="G19" s="844">
        <f>B19</f>
        <v>30</v>
      </c>
      <c r="H19" s="759">
        <f>G19*3</f>
        <v>90</v>
      </c>
    </row>
    <row r="20" spans="1:11" s="37" customFormat="1" ht="20.100000000000001" customHeight="1" thickBot="1">
      <c r="A20" s="112" t="s">
        <v>216</v>
      </c>
      <c r="B20" s="744">
        <v>30</v>
      </c>
      <c r="C20" s="476"/>
      <c r="D20" s="476"/>
      <c r="E20" s="476"/>
      <c r="F20" s="476"/>
      <c r="G20" s="441">
        <f>B20</f>
        <v>30</v>
      </c>
      <c r="H20" s="707">
        <f>G20*3</f>
        <v>90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v>275</v>
      </c>
      <c r="D29" s="1191">
        <v>18.34</v>
      </c>
      <c r="E29" s="676">
        <f>D14</f>
        <v>9.18</v>
      </c>
      <c r="F29" s="1191">
        <v>11.18</v>
      </c>
      <c r="G29" s="1191">
        <v>18.34</v>
      </c>
      <c r="H29" s="448">
        <f>SUM(B29:G29)</f>
        <v>423.83</v>
      </c>
      <c r="I29" s="468">
        <f>H29*30</f>
        <v>12714.9</v>
      </c>
      <c r="J29" s="24"/>
    </row>
    <row r="30" spans="1:11" s="37" customFormat="1" ht="20.100000000000001" customHeight="1">
      <c r="A30" s="112" t="str">
        <f t="shared" si="0"/>
        <v>LOWER LEVEL - CREDIT (A &amp; P, PSV, DEVELOPMENTAL EDUCATION AND EPI)</v>
      </c>
      <c r="B30" s="848">
        <f t="shared" si="0"/>
        <v>77.98</v>
      </c>
      <c r="C30" s="1195">
        <v>231.12</v>
      </c>
      <c r="D30" s="1195">
        <v>15.33</v>
      </c>
      <c r="E30" s="849">
        <f>D15</f>
        <v>7.8</v>
      </c>
      <c r="F30" s="1195">
        <v>31.67</v>
      </c>
      <c r="G30" s="1195">
        <v>14</v>
      </c>
      <c r="H30" s="844">
        <f>SUM(B30:G30)</f>
        <v>377.90000000000003</v>
      </c>
      <c r="I30" s="437">
        <f>H30*30</f>
        <v>11337.000000000002</v>
      </c>
    </row>
    <row r="31" spans="1:11" s="37" customFormat="1" ht="20.100000000000001" customHeight="1" thickBot="1">
      <c r="A31" s="112" t="str">
        <f t="shared" si="0"/>
        <v>CAREER CERTIFICATE AND APPLIED TECHNOLOGY DIPLOMA</v>
      </c>
      <c r="B31" s="527">
        <f t="shared" si="0"/>
        <v>68.400000000000006</v>
      </c>
      <c r="C31" s="1192">
        <v>204.6</v>
      </c>
      <c r="D31" s="1192">
        <v>0</v>
      </c>
      <c r="E31" s="405"/>
      <c r="F31" s="1192">
        <v>0</v>
      </c>
      <c r="G31" s="1192">
        <v>12.9</v>
      </c>
      <c r="H31" s="438">
        <f>SUM(B31:G31)</f>
        <v>285.89999999999998</v>
      </c>
      <c r="I31" s="845">
        <f>H31*30</f>
        <v>8577</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30</v>
      </c>
      <c r="C34" s="475"/>
      <c r="D34" s="475"/>
      <c r="E34" s="475"/>
      <c r="F34" s="475"/>
      <c r="G34" s="475"/>
      <c r="H34" s="850">
        <f>B34</f>
        <v>30</v>
      </c>
      <c r="I34" s="469">
        <f>H34*3</f>
        <v>90</v>
      </c>
      <c r="J34" s="453"/>
      <c r="K34" s="453"/>
    </row>
    <row r="35" spans="1:11" s="37" customFormat="1" ht="20.100000000000001" customHeight="1" thickBot="1">
      <c r="A35" s="35" t="str">
        <f>A20</f>
        <v>ADULT GENERAL EDUCATION AND SECONDARY (PER TERM)</v>
      </c>
      <c r="B35" s="851">
        <f>B20</f>
        <v>30</v>
      </c>
      <c r="C35" s="476"/>
      <c r="D35" s="476"/>
      <c r="E35" s="476"/>
      <c r="F35" s="476"/>
      <c r="G35" s="476"/>
      <c r="H35" s="454">
        <f>B35</f>
        <v>30</v>
      </c>
      <c r="I35" s="852">
        <f>H35*3</f>
        <v>90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751</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tabSelected="1" zoomScale="60" zoomScaleNormal="60" zoomScaleSheetLayoutView="50" zoomScalePageLayoutView="50" workbookViewId="0"/>
  </sheetViews>
  <sheetFormatPr defaultColWidth="9.1328125" defaultRowHeight="21"/>
  <cols>
    <col min="1" max="1" width="43.73046875" style="37" customWidth="1"/>
    <col min="2" max="2" width="77.265625" style="37" customWidth="1"/>
    <col min="3" max="3" width="18.73046875" style="37" customWidth="1"/>
    <col min="4" max="4" width="23.265625" style="37" customWidth="1"/>
    <col min="5" max="5" width="29" style="37" customWidth="1"/>
    <col min="6" max="6" width="19.73046875" style="37" customWidth="1"/>
    <col min="7" max="8" width="20.3984375" style="37" customWidth="1"/>
    <col min="9" max="9" width="5.1328125" style="37" customWidth="1"/>
    <col min="10" max="16384" width="9.13281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752</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Santa Fe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13830</v>
      </c>
      <c r="E10" s="680">
        <v>0</v>
      </c>
      <c r="F10" s="681">
        <f t="shared" ref="F10:F15" si="0">+D10-E10</f>
        <v>13830</v>
      </c>
      <c r="G10" s="681">
        <f>'EXHIBIT B'!B14</f>
        <v>91.79</v>
      </c>
      <c r="H10" s="682">
        <f t="shared" ref="H10:H15" si="1">ROUND(+F10*G10,0)</f>
        <v>1269456</v>
      </c>
      <c r="I10" s="149"/>
      <c r="J10" s="149"/>
    </row>
    <row r="11" spans="1:10" ht="20.100000000000001" customHeight="1">
      <c r="A11" s="855" t="s">
        <v>205</v>
      </c>
      <c r="B11" s="855" t="s">
        <v>133</v>
      </c>
      <c r="C11" s="856" t="s">
        <v>233</v>
      </c>
      <c r="D11" s="854">
        <v>167178.03531832754</v>
      </c>
      <c r="E11" s="854">
        <v>0</v>
      </c>
      <c r="F11" s="857">
        <f t="shared" si="0"/>
        <v>167178.03531832754</v>
      </c>
      <c r="G11" s="857">
        <f>+'EXHIBIT B'!B15</f>
        <v>77.98</v>
      </c>
      <c r="H11" s="858">
        <f t="shared" si="1"/>
        <v>13036543</v>
      </c>
      <c r="I11" s="149"/>
      <c r="J11" s="149"/>
    </row>
    <row r="12" spans="1:10" ht="20.100000000000001" customHeight="1">
      <c r="A12" s="855" t="s">
        <v>205</v>
      </c>
      <c r="B12" s="855" t="s">
        <v>134</v>
      </c>
      <c r="C12" s="856" t="s">
        <v>234</v>
      </c>
      <c r="D12" s="854">
        <v>57561.699512994397</v>
      </c>
      <c r="E12" s="854">
        <v>0</v>
      </c>
      <c r="F12" s="857">
        <f t="shared" si="0"/>
        <v>57561.699512994397</v>
      </c>
      <c r="G12" s="857">
        <f>+'EXHIBIT B'!B15</f>
        <v>77.98</v>
      </c>
      <c r="H12" s="858">
        <f t="shared" si="1"/>
        <v>4488661</v>
      </c>
      <c r="I12" s="149"/>
      <c r="J12" s="149"/>
    </row>
    <row r="13" spans="1:10" ht="20.100000000000001" customHeight="1">
      <c r="A13" s="855" t="s">
        <v>205</v>
      </c>
      <c r="B13" s="855" t="s">
        <v>82</v>
      </c>
      <c r="C13" s="856" t="s">
        <v>235</v>
      </c>
      <c r="D13" s="859">
        <v>6751.534391534391</v>
      </c>
      <c r="E13" s="859">
        <v>0</v>
      </c>
      <c r="F13" s="857">
        <f t="shared" si="0"/>
        <v>6751.534391534391</v>
      </c>
      <c r="G13" s="857">
        <f>+'EXHIBIT B'!B16</f>
        <v>68.400000000000006</v>
      </c>
      <c r="H13" s="858">
        <f t="shared" si="1"/>
        <v>461805</v>
      </c>
      <c r="I13" s="149"/>
      <c r="J13" s="149"/>
    </row>
    <row r="14" spans="1:10" ht="20.100000000000001" customHeight="1">
      <c r="A14" s="855" t="s">
        <v>205</v>
      </c>
      <c r="B14" s="855" t="s">
        <v>135</v>
      </c>
      <c r="C14" s="856" t="s">
        <v>236</v>
      </c>
      <c r="D14" s="854">
        <v>5711.5862068965516</v>
      </c>
      <c r="E14" s="854">
        <v>0</v>
      </c>
      <c r="F14" s="857">
        <f t="shared" si="0"/>
        <v>5711.5862068965516</v>
      </c>
      <c r="G14" s="857">
        <f>+'EXHIBIT B'!B15</f>
        <v>77.98</v>
      </c>
      <c r="H14" s="858">
        <f t="shared" si="1"/>
        <v>445389</v>
      </c>
      <c r="I14" s="149"/>
      <c r="J14" s="149"/>
    </row>
    <row r="15" spans="1:10" ht="20.100000000000001" customHeight="1" thickBot="1">
      <c r="A15" s="860" t="s">
        <v>205</v>
      </c>
      <c r="B15" s="860" t="s">
        <v>136</v>
      </c>
      <c r="C15" s="861">
        <v>40160</v>
      </c>
      <c r="D15" s="862">
        <v>30</v>
      </c>
      <c r="E15" s="862">
        <v>0</v>
      </c>
      <c r="F15" s="863">
        <f t="shared" si="0"/>
        <v>30</v>
      </c>
      <c r="G15" s="863">
        <f>+'EXHIBIT B'!B15</f>
        <v>77.98</v>
      </c>
      <c r="H15" s="864">
        <f t="shared" si="1"/>
        <v>2339</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251062.85542975288</v>
      </c>
      <c r="E17" s="386">
        <f>SUM(E10:E15)</f>
        <v>0</v>
      </c>
      <c r="F17" s="387">
        <f>SUM(F10:F15)</f>
        <v>251062.85542975288</v>
      </c>
      <c r="G17" s="387"/>
      <c r="H17" s="388">
        <f>SUM(H10:H15)</f>
        <v>19704193</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0</v>
      </c>
      <c r="E19" s="867">
        <f>'EXHIBIT B'!C29</f>
        <v>275</v>
      </c>
      <c r="F19" s="868">
        <f t="shared" ref="F19:F24" si="2">ROUND(+D19*E19,0)</f>
        <v>0</v>
      </c>
      <c r="G19" s="390"/>
      <c r="H19" s="390"/>
    </row>
    <row r="20" spans="1:10" ht="20.100000000000001" customHeight="1">
      <c r="A20" s="869" t="s">
        <v>220</v>
      </c>
      <c r="B20" s="869" t="s">
        <v>133</v>
      </c>
      <c r="C20" s="870" t="s">
        <v>240</v>
      </c>
      <c r="D20" s="877">
        <v>13871.702904908512</v>
      </c>
      <c r="E20" s="871">
        <f>+'EXHIBIT B'!C30</f>
        <v>231.12</v>
      </c>
      <c r="F20" s="872">
        <f t="shared" si="2"/>
        <v>3206028</v>
      </c>
      <c r="G20" s="391"/>
      <c r="H20" s="391"/>
    </row>
    <row r="21" spans="1:10" ht="20.100000000000001" customHeight="1">
      <c r="A21" s="869" t="s">
        <v>220</v>
      </c>
      <c r="B21" s="869" t="s">
        <v>134</v>
      </c>
      <c r="C21" s="870" t="s">
        <v>241</v>
      </c>
      <c r="D21" s="877">
        <v>3268.9568066997408</v>
      </c>
      <c r="E21" s="871">
        <f>+'EXHIBIT B'!C30</f>
        <v>231.12</v>
      </c>
      <c r="F21" s="872">
        <f t="shared" si="2"/>
        <v>755521</v>
      </c>
      <c r="G21" s="391"/>
      <c r="H21" s="391"/>
    </row>
    <row r="22" spans="1:10" ht="20.100000000000001" customHeight="1">
      <c r="A22" s="869" t="s">
        <v>220</v>
      </c>
      <c r="B22" s="869" t="s">
        <v>82</v>
      </c>
      <c r="C22" s="870" t="s">
        <v>242</v>
      </c>
      <c r="D22" s="877">
        <v>40.211640211640216</v>
      </c>
      <c r="E22" s="871">
        <f>+'EXHIBIT B'!C31</f>
        <v>204.6</v>
      </c>
      <c r="F22" s="872">
        <f t="shared" si="2"/>
        <v>8227</v>
      </c>
      <c r="G22" s="391"/>
      <c r="H22" s="391"/>
    </row>
    <row r="23" spans="1:10" ht="20.100000000000001" customHeight="1">
      <c r="A23" s="869" t="s">
        <v>220</v>
      </c>
      <c r="B23" s="869" t="s">
        <v>135</v>
      </c>
      <c r="C23" s="870" t="s">
        <v>243</v>
      </c>
      <c r="D23" s="877">
        <v>738.41379310344814</v>
      </c>
      <c r="E23" s="871">
        <f>+'EXHIBIT B'!C30</f>
        <v>231.12</v>
      </c>
      <c r="F23" s="872">
        <f t="shared" si="2"/>
        <v>170662</v>
      </c>
      <c r="G23" s="391"/>
      <c r="H23" s="391"/>
    </row>
    <row r="24" spans="1:10" ht="20.100000000000001" customHeight="1" thickBot="1">
      <c r="A24" s="745" t="s">
        <v>220</v>
      </c>
      <c r="B24" s="745" t="s">
        <v>136</v>
      </c>
      <c r="C24" s="746">
        <v>40360</v>
      </c>
      <c r="D24" s="1197">
        <v>0</v>
      </c>
      <c r="E24" s="747">
        <f>+'EXHIBIT B'!C30</f>
        <v>231.12</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17919.285144923342</v>
      </c>
      <c r="E26" s="875"/>
      <c r="F26" s="876">
        <f>SUM(F19:F24)</f>
        <v>4140438</v>
      </c>
      <c r="G26" s="395"/>
      <c r="H26" s="395"/>
    </row>
    <row r="27" spans="1:10" ht="20.100000000000001" customHeight="1" thickBot="1">
      <c r="A27" s="396" t="s">
        <v>244</v>
      </c>
      <c r="B27" s="396"/>
      <c r="C27" s="396"/>
      <c r="D27" s="396"/>
      <c r="E27" s="396"/>
      <c r="F27" s="397"/>
      <c r="G27" s="683"/>
      <c r="H27" s="398">
        <f>H17+F26</f>
        <v>23844631</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0</v>
      </c>
      <c r="E32" s="686">
        <v>0</v>
      </c>
      <c r="F32" s="687">
        <f>D32-E32</f>
        <v>0</v>
      </c>
      <c r="G32" s="687">
        <f>'EXHIBIT B'!B19</f>
        <v>30</v>
      </c>
      <c r="H32" s="688">
        <f>ROUND(+F32*G32,0)</f>
        <v>0</v>
      </c>
    </row>
    <row r="33" spans="1:12" ht="20.100000000000001" customHeight="1">
      <c r="A33" s="869" t="s">
        <v>250</v>
      </c>
      <c r="B33" s="869" t="s">
        <v>253</v>
      </c>
      <c r="C33" s="870" t="s">
        <v>254</v>
      </c>
      <c r="D33" s="877">
        <v>1464</v>
      </c>
      <c r="E33" s="877">
        <v>0</v>
      </c>
      <c r="F33" s="871">
        <f>D33-E33</f>
        <v>1464</v>
      </c>
      <c r="G33" s="871">
        <f>'EXHIBIT B'!B20</f>
        <v>30</v>
      </c>
      <c r="H33" s="872">
        <f>ROUND(+F33*G33,0)</f>
        <v>43920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1464</v>
      </c>
      <c r="E36" s="401">
        <f>SUM(E32:E35)</f>
        <v>0</v>
      </c>
      <c r="F36" s="402">
        <f>D36-E36</f>
        <v>1464</v>
      </c>
      <c r="G36" s="402"/>
      <c r="H36" s="403">
        <f>SUM(H32:H35)</f>
        <v>43920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30</v>
      </c>
      <c r="F39" s="688">
        <f>D39*E39</f>
        <v>0</v>
      </c>
      <c r="G39" s="149"/>
      <c r="H39" s="149"/>
    </row>
    <row r="40" spans="1:12" ht="20.100000000000001" customHeight="1">
      <c r="A40" s="869" t="s">
        <v>250</v>
      </c>
      <c r="B40" s="869" t="s">
        <v>253</v>
      </c>
      <c r="C40" s="870">
        <v>40390</v>
      </c>
      <c r="D40" s="877">
        <v>0</v>
      </c>
      <c r="E40" s="871">
        <f>'EXHIBIT B'!B35</f>
        <v>30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43920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23888551</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c r="B54" s="1198"/>
      <c r="C54" s="1200"/>
      <c r="D54" s="1201"/>
      <c r="E54" s="1200"/>
      <c r="F54" s="1201"/>
    </row>
    <row r="55" spans="1:10" ht="24.95" customHeight="1">
      <c r="A55" s="884"/>
      <c r="B55" s="877">
        <v>0</v>
      </c>
      <c r="C55" s="1202"/>
      <c r="D55" s="1203"/>
      <c r="E55" s="1202"/>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0</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thickBot="1">
      <c r="A63" s="883" t="s">
        <v>807</v>
      </c>
      <c r="B63" s="1199">
        <v>260000</v>
      </c>
      <c r="C63" s="1200" t="s">
        <v>806</v>
      </c>
      <c r="D63" s="1201"/>
      <c r="E63" s="1200" t="s">
        <v>809</v>
      </c>
      <c r="F63" s="1201"/>
      <c r="I63" s="149"/>
    </row>
    <row r="64" spans="1:10" ht="24.95" customHeight="1">
      <c r="A64" s="884" t="s">
        <v>808</v>
      </c>
      <c r="B64" s="877">
        <v>198630</v>
      </c>
      <c r="C64" s="1200" t="s">
        <v>806</v>
      </c>
      <c r="D64" s="1203"/>
      <c r="E64" s="1200" t="s">
        <v>809</v>
      </c>
      <c r="F64" s="1203"/>
      <c r="I64" s="149"/>
    </row>
    <row r="65" spans="1:9" ht="24.95" customHeight="1">
      <c r="A65" s="884"/>
      <c r="B65" s="877">
        <v>0</v>
      </c>
      <c r="C65" s="1202"/>
      <c r="D65" s="1203"/>
      <c r="E65" s="1202"/>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458630</v>
      </c>
      <c r="C69" s="1210"/>
      <c r="D69" s="1211"/>
      <c r="E69" s="1210"/>
      <c r="F69" s="1211"/>
    </row>
    <row r="70" spans="1:9" ht="24.95" customHeight="1" thickBot="1">
      <c r="A70" s="374" t="s">
        <v>270</v>
      </c>
      <c r="B70" s="375">
        <f>+B69+B60</f>
        <v>458630</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328125" defaultRowHeight="13.15"/>
  <cols>
    <col min="1" max="1" width="31.265625" style="218" customWidth="1"/>
    <col min="2" max="2" width="100.3984375" style="218" customWidth="1"/>
    <col min="3" max="3" width="18.73046875" style="218" customWidth="1"/>
    <col min="4" max="4" width="25.73046875" style="218" customWidth="1"/>
    <col min="5" max="5" width="21.3984375" style="218" customWidth="1"/>
    <col min="6" max="6" width="6.86328125" style="218" customWidth="1"/>
    <col min="7" max="7" width="9.1328125" style="218"/>
    <col min="8" max="8" width="59" style="218" customWidth="1"/>
    <col min="9" max="9" width="13.73046875" style="218" customWidth="1"/>
    <col min="10" max="10" width="12.73046875" style="218" bestFit="1" customWidth="1"/>
    <col min="11" max="11" width="14" style="218" customWidth="1"/>
    <col min="12" max="28" width="12.73046875" style="218" customWidth="1"/>
    <col min="29" max="29" width="11" style="218" customWidth="1"/>
    <col min="30" max="30" width="12.73046875" style="218" customWidth="1"/>
    <col min="31" max="31" width="12.3984375" style="218" customWidth="1"/>
    <col min="32" max="32" width="11.3984375" style="218" customWidth="1"/>
    <col min="33" max="33" width="2.265625" style="218" customWidth="1"/>
    <col min="34" max="34" width="20.1328125" style="218" customWidth="1"/>
    <col min="35" max="35" width="6" style="549" customWidth="1"/>
    <col min="36" max="36" width="14.3984375" style="218" customWidth="1"/>
    <col min="37" max="37" width="13.73046875" style="218" customWidth="1"/>
    <col min="38" max="38" width="2.1328125" style="218" customWidth="1"/>
    <col min="39" max="40" width="9.1328125" style="218"/>
    <col min="41" max="41" width="11.265625" style="218" customWidth="1"/>
    <col min="42" max="42" width="11.3984375" style="218" customWidth="1"/>
    <col min="43" max="43" width="11" style="218" customWidth="1"/>
    <col min="44" max="44" width="11.1328125" style="218" customWidth="1"/>
    <col min="45" max="16384" width="9.13281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Santa Fe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1"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2"/>
  <sheetViews>
    <sheetView showGridLines="0" zoomScale="60" zoomScaleNormal="60" zoomScaleSheetLayoutView="70" zoomScalePageLayoutView="70" workbookViewId="0"/>
  </sheetViews>
  <sheetFormatPr defaultColWidth="9.1328125" defaultRowHeight="18"/>
  <cols>
    <col min="1" max="1" width="57" style="215" customWidth="1"/>
    <col min="2" max="2" width="1.3984375" style="215" customWidth="1"/>
    <col min="3" max="3" width="21.265625" style="215" customWidth="1"/>
    <col min="4" max="4" width="9.1328125" style="215"/>
    <col min="5" max="5" width="49.3984375" style="215" customWidth="1"/>
    <col min="6" max="6" width="17" style="215" customWidth="1"/>
    <col min="7" max="7" width="25.3984375" style="215" customWidth="1"/>
    <col min="8" max="8" width="1.86328125" style="215" customWidth="1"/>
    <col min="9" max="9" width="11.73046875" style="215" bestFit="1" customWidth="1"/>
    <col min="10" max="10" width="15.3984375" style="215" bestFit="1" customWidth="1"/>
    <col min="11" max="16384" width="9.1328125" style="215"/>
  </cols>
  <sheetData>
    <row r="1" spans="1:8" ht="25.5">
      <c r="A1" s="1146"/>
      <c r="B1" s="1146"/>
      <c r="C1" s="1146"/>
      <c r="D1" s="1146"/>
      <c r="E1" s="1146"/>
      <c r="F1" s="1146"/>
      <c r="G1" s="1147"/>
    </row>
    <row r="2" spans="1:8" ht="30" customHeight="1" thickBot="1">
      <c r="A2" s="1147" t="s">
        <v>183</v>
      </c>
      <c r="B2" s="1134" t="str">
        <f>'CHECK SHEET'!D7</f>
        <v>Santa Fe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753</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1269456</v>
      </c>
      <c r="H12" s="219"/>
    </row>
    <row r="13" spans="1:8" ht="20.100000000000001" customHeight="1">
      <c r="A13" s="625" t="s">
        <v>205</v>
      </c>
      <c r="B13" s="226"/>
      <c r="C13" s="219" t="s">
        <v>133</v>
      </c>
      <c r="D13" s="226"/>
      <c r="E13" s="226"/>
      <c r="F13" s="232" t="s">
        <v>233</v>
      </c>
      <c r="G13" s="231">
        <f>+'EXHIBIT C'!H11+'EXHIBIT C(2)'!E14</f>
        <v>13036543</v>
      </c>
      <c r="H13" s="219"/>
    </row>
    <row r="14" spans="1:8" ht="20.100000000000001" customHeight="1">
      <c r="A14" s="625" t="s">
        <v>205</v>
      </c>
      <c r="B14" s="226"/>
      <c r="C14" s="226" t="s">
        <v>134</v>
      </c>
      <c r="D14" s="226"/>
      <c r="E14" s="226"/>
      <c r="F14" s="232" t="s">
        <v>234</v>
      </c>
      <c r="G14" s="649">
        <f>+'EXHIBIT C'!H12+'EXHIBIT C(2)'!E15</f>
        <v>4488661</v>
      </c>
      <c r="H14" s="219"/>
    </row>
    <row r="15" spans="1:8" ht="20.100000000000001" customHeight="1">
      <c r="A15" s="625" t="s">
        <v>205</v>
      </c>
      <c r="B15" s="226"/>
      <c r="C15" s="233" t="s">
        <v>287</v>
      </c>
      <c r="D15" s="226"/>
      <c r="E15" s="226"/>
      <c r="F15" s="232" t="s">
        <v>235</v>
      </c>
      <c r="G15" s="649">
        <f>+'EXHIBIT C'!H13+'EXHIBIT C(2)'!E16</f>
        <v>461805</v>
      </c>
      <c r="H15" s="219"/>
    </row>
    <row r="16" spans="1:8" ht="20.100000000000001" customHeight="1">
      <c r="A16" s="625" t="s">
        <v>205</v>
      </c>
      <c r="B16" s="226"/>
      <c r="C16" s="233" t="s">
        <v>288</v>
      </c>
      <c r="D16" s="226"/>
      <c r="E16" s="226"/>
      <c r="F16" s="232" t="s">
        <v>236</v>
      </c>
      <c r="G16" s="650">
        <f>+'EXHIBIT C'!H14+'EXHIBIT C(2)'!E17</f>
        <v>445389</v>
      </c>
      <c r="H16" s="219"/>
    </row>
    <row r="17" spans="1:8" ht="20.100000000000001" customHeight="1">
      <c r="A17" s="625" t="s">
        <v>205</v>
      </c>
      <c r="B17" s="226"/>
      <c r="C17" s="219" t="s">
        <v>136</v>
      </c>
      <c r="D17" s="226"/>
      <c r="E17" s="226"/>
      <c r="F17" s="235">
        <v>40160</v>
      </c>
      <c r="G17" s="650">
        <f>+'EXHIBIT C'!H15+'EXHIBIT C(2)'!E18</f>
        <v>2339</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19704193</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0</v>
      </c>
      <c r="H21" s="662"/>
    </row>
    <row r="22" spans="1:8" ht="20.100000000000001" customHeight="1">
      <c r="A22" s="626" t="s">
        <v>220</v>
      </c>
      <c r="B22" s="226"/>
      <c r="C22" s="219" t="s">
        <v>133</v>
      </c>
      <c r="D22" s="226"/>
      <c r="E22" s="226"/>
      <c r="F22" s="232" t="s">
        <v>240</v>
      </c>
      <c r="G22" s="237">
        <f>+'EXHIBIT C'!F20+'EXHIBIT C(2)'!E23</f>
        <v>3206028</v>
      </c>
      <c r="H22" s="219"/>
    </row>
    <row r="23" spans="1:8" ht="20.100000000000001" customHeight="1">
      <c r="A23" s="626" t="s">
        <v>220</v>
      </c>
      <c r="B23" s="226"/>
      <c r="C23" s="226" t="s">
        <v>134</v>
      </c>
      <c r="D23" s="226"/>
      <c r="E23" s="226"/>
      <c r="F23" s="232" t="s">
        <v>241</v>
      </c>
      <c r="G23" s="242">
        <f>+'EXHIBIT C'!F21+'EXHIBIT C(2)'!E24</f>
        <v>755521</v>
      </c>
      <c r="H23" s="219"/>
    </row>
    <row r="24" spans="1:8" ht="20.100000000000001" customHeight="1">
      <c r="A24" s="626" t="s">
        <v>220</v>
      </c>
      <c r="B24" s="226"/>
      <c r="C24" s="233" t="s">
        <v>287</v>
      </c>
      <c r="D24" s="226"/>
      <c r="E24" s="226"/>
      <c r="F24" s="232" t="s">
        <v>242</v>
      </c>
      <c r="G24" s="242">
        <f>+'EXHIBIT C'!F22+'EXHIBIT C(2)'!E25</f>
        <v>8227</v>
      </c>
      <c r="H24" s="219"/>
    </row>
    <row r="25" spans="1:8" ht="20.100000000000001" customHeight="1">
      <c r="A25" s="626" t="s">
        <v>220</v>
      </c>
      <c r="B25" s="226"/>
      <c r="C25" s="233" t="s">
        <v>288</v>
      </c>
      <c r="D25" s="226"/>
      <c r="E25" s="226"/>
      <c r="F25" s="232" t="s">
        <v>243</v>
      </c>
      <c r="G25" s="242">
        <f>+'EXHIBIT C'!F23+'EXHIBIT C(2)'!E26</f>
        <v>170662</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4140438</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0</v>
      </c>
      <c r="H30" s="219"/>
    </row>
    <row r="31" spans="1:8" ht="20.100000000000001" customHeight="1">
      <c r="A31" s="625" t="s">
        <v>291</v>
      </c>
      <c r="B31" s="226"/>
      <c r="C31" s="219" t="s">
        <v>253</v>
      </c>
      <c r="D31" s="226"/>
      <c r="E31" s="226"/>
      <c r="F31" s="232" t="s">
        <v>254</v>
      </c>
      <c r="G31" s="240">
        <f>'EXHIBIT C'!H33</f>
        <v>43920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43920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60" t="s">
        <v>253</v>
      </c>
      <c r="D38" s="1060"/>
      <c r="E38" s="1060"/>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23888551</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274000</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293000</v>
      </c>
      <c r="H49" s="219"/>
    </row>
    <row r="50" spans="1:8" ht="20.100000000000001" customHeight="1">
      <c r="A50" s="625" t="s">
        <v>306</v>
      </c>
      <c r="B50" s="226"/>
      <c r="C50" s="226"/>
      <c r="D50" s="226"/>
      <c r="E50" s="226"/>
      <c r="F50" s="245" t="s">
        <v>307</v>
      </c>
      <c r="G50" s="569">
        <f>1437350+200000</f>
        <v>1637350</v>
      </c>
      <c r="H50" s="219"/>
    </row>
    <row r="51" spans="1:8" ht="20.100000000000001" customHeight="1">
      <c r="A51" s="625" t="s">
        <v>308</v>
      </c>
      <c r="B51" s="226"/>
      <c r="C51" s="226"/>
      <c r="D51" s="226"/>
      <c r="E51" s="226"/>
      <c r="F51" s="230">
        <v>40450</v>
      </c>
      <c r="G51" s="569">
        <v>782000</v>
      </c>
      <c r="H51" s="219"/>
    </row>
    <row r="52" spans="1:8" ht="20.100000000000001" customHeight="1">
      <c r="A52" s="625" t="s">
        <v>309</v>
      </c>
      <c r="B52" s="226"/>
      <c r="C52" s="226"/>
      <c r="D52" s="226"/>
      <c r="E52" s="226"/>
      <c r="F52" s="245" t="s">
        <v>310</v>
      </c>
      <c r="G52" s="569">
        <v>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1173345</v>
      </c>
      <c r="H58" s="219"/>
    </row>
    <row r="59" spans="1:8" ht="20.100000000000001" customHeight="1">
      <c r="A59" s="626" t="s">
        <v>323</v>
      </c>
      <c r="B59" s="229"/>
      <c r="C59" s="229"/>
      <c r="D59" s="229"/>
      <c r="E59" s="229"/>
      <c r="F59" s="245" t="s">
        <v>324</v>
      </c>
      <c r="G59" s="569">
        <v>534470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28582716</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1890062</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1890062</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38953794.723999999</v>
      </c>
      <c r="H75" s="219"/>
    </row>
    <row r="76" spans="1:8" ht="20.100000000000001" customHeight="1">
      <c r="A76" s="625" t="s">
        <v>797</v>
      </c>
      <c r="B76" s="226"/>
      <c r="C76" s="226"/>
      <c r="D76" s="226"/>
      <c r="E76" s="226"/>
      <c r="F76" s="235">
        <v>42130</v>
      </c>
      <c r="G76" s="652">
        <v>1545943</v>
      </c>
      <c r="H76" s="219"/>
    </row>
    <row r="77" spans="1:8" ht="20.100000000000001" customHeight="1">
      <c r="A77" s="628" t="s">
        <v>341</v>
      </c>
      <c r="B77" s="629"/>
      <c r="C77" s="629"/>
      <c r="D77" s="629"/>
      <c r="E77" s="629"/>
      <c r="F77" s="248" t="s">
        <v>342</v>
      </c>
      <c r="G77" s="653">
        <v>1106354</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450000</v>
      </c>
      <c r="H80" s="219"/>
    </row>
    <row r="81" spans="1:10" ht="20.100000000000001" customHeight="1">
      <c r="A81" s="625" t="s">
        <v>349</v>
      </c>
      <c r="B81" s="226"/>
      <c r="C81" s="226"/>
      <c r="D81" s="226"/>
      <c r="E81" s="226"/>
      <c r="F81" s="232" t="s">
        <v>350</v>
      </c>
      <c r="G81" s="651">
        <f>'CHECK SHEET'!D104</f>
        <v>7484787</v>
      </c>
      <c r="H81" s="219"/>
    </row>
    <row r="82" spans="1:10" ht="20.100000000000001" customHeight="1">
      <c r="A82" s="630" t="s">
        <v>351</v>
      </c>
      <c r="B82" s="631"/>
      <c r="C82" s="631"/>
      <c r="D82" s="631"/>
      <c r="E82" s="631"/>
      <c r="F82" s="247" t="s">
        <v>352</v>
      </c>
      <c r="G82" s="652">
        <v>74194</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49615072.723999999</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3864435.4</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1250000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5114435.4000000004</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0</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119000</v>
      </c>
      <c r="H110" s="219"/>
    </row>
    <row r="111" spans="1:8" ht="20.100000000000001" customHeight="1">
      <c r="A111" s="625" t="s">
        <v>378</v>
      </c>
      <c r="B111" s="226"/>
      <c r="C111" s="226"/>
      <c r="D111" s="226"/>
      <c r="E111" s="226"/>
      <c r="F111" s="232" t="s">
        <v>379</v>
      </c>
      <c r="G111" s="570">
        <v>940700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7">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1059700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837500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1700</v>
      </c>
      <c r="H125" s="219"/>
    </row>
    <row r="126" spans="1:8" ht="20.100000000000001" customHeight="1">
      <c r="A126" s="625" t="s">
        <v>395</v>
      </c>
      <c r="B126" s="226"/>
      <c r="C126" s="226"/>
      <c r="D126" s="226"/>
      <c r="E126" s="226"/>
      <c r="F126" s="232" t="s">
        <v>396</v>
      </c>
      <c r="G126" s="570">
        <v>118157</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957357</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458630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15000</v>
      </c>
      <c r="H136" s="219"/>
    </row>
    <row r="137" spans="1:8" ht="20.100000000000001" customHeight="1">
      <c r="A137" s="625" t="s">
        <v>407</v>
      </c>
      <c r="B137" s="226"/>
      <c r="C137" s="226"/>
      <c r="D137" s="226"/>
      <c r="E137" s="226"/>
      <c r="F137" s="235">
        <v>49520</v>
      </c>
      <c r="G137" s="570">
        <v>0</v>
      </c>
      <c r="H137" s="219"/>
    </row>
    <row r="138" spans="1:8" ht="20.100000000000001" customHeight="1">
      <c r="A138" s="1254" t="s">
        <v>733</v>
      </c>
      <c r="B138" s="226"/>
      <c r="C138" s="226"/>
      <c r="D138" s="226"/>
      <c r="E138" s="226"/>
      <c r="F138" s="1255" t="s">
        <v>732</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473630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87692973.124000013</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4">
        <v>1688369</v>
      </c>
      <c r="H148" s="219"/>
    </row>
    <row r="149" spans="1:8" ht="20.100000000000001" customHeight="1">
      <c r="A149" s="625" t="s">
        <v>417</v>
      </c>
      <c r="B149" s="219"/>
      <c r="C149" s="219"/>
      <c r="D149" s="219"/>
      <c r="E149" s="219"/>
      <c r="F149" s="232" t="s">
        <v>418</v>
      </c>
      <c r="G149" s="574">
        <v>1305720</v>
      </c>
      <c r="H149" s="219"/>
    </row>
    <row r="150" spans="1:8" ht="20.100000000000001" customHeight="1">
      <c r="A150" s="625" t="s">
        <v>419</v>
      </c>
      <c r="B150" s="219"/>
      <c r="C150" s="219"/>
      <c r="D150" s="219"/>
      <c r="E150" s="219"/>
      <c r="F150" s="232" t="s">
        <v>420</v>
      </c>
      <c r="G150" s="574">
        <v>3868877</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17252949</v>
      </c>
      <c r="H153" s="219"/>
    </row>
    <row r="154" spans="1:8" ht="20.100000000000001" customHeight="1">
      <c r="A154" s="625" t="s">
        <v>427</v>
      </c>
      <c r="B154" s="226"/>
      <c r="C154" s="226"/>
      <c r="D154" s="226"/>
      <c r="E154" s="226"/>
      <c r="F154" s="232" t="s">
        <v>428</v>
      </c>
      <c r="G154" s="574">
        <v>1144206</v>
      </c>
      <c r="H154" s="219"/>
    </row>
    <row r="155" spans="1:8" ht="20.100000000000001" customHeight="1">
      <c r="A155" s="625" t="s">
        <v>429</v>
      </c>
      <c r="B155" s="226"/>
      <c r="C155" s="226"/>
      <c r="D155" s="226"/>
      <c r="E155" s="226"/>
      <c r="F155" s="232" t="s">
        <v>430</v>
      </c>
      <c r="G155" s="574">
        <v>43381</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9700622</v>
      </c>
      <c r="H163" s="219"/>
    </row>
    <row r="164" spans="1:8" ht="20.100000000000001" customHeight="1">
      <c r="A164" s="625" t="s">
        <v>446</v>
      </c>
      <c r="B164" s="226"/>
      <c r="C164" s="226"/>
      <c r="D164" s="226"/>
      <c r="E164" s="226"/>
      <c r="F164" s="232" t="s">
        <v>447</v>
      </c>
      <c r="G164" s="574">
        <v>143260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0</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v>10168403</v>
      </c>
      <c r="H168" s="219"/>
    </row>
    <row r="169" spans="1:8" ht="20.100000000000001" customHeight="1">
      <c r="A169" s="625" t="s">
        <v>456</v>
      </c>
      <c r="B169" s="226"/>
      <c r="C169" s="226"/>
      <c r="D169" s="226"/>
      <c r="E169" s="226"/>
      <c r="F169" s="232" t="s">
        <v>457</v>
      </c>
      <c r="G169" s="574">
        <v>148086</v>
      </c>
      <c r="H169" s="219"/>
    </row>
    <row r="170" spans="1:8" ht="20.100000000000001" customHeight="1">
      <c r="A170" s="625" t="s">
        <v>458</v>
      </c>
      <c r="B170" s="226"/>
      <c r="C170" s="226"/>
      <c r="D170" s="226"/>
      <c r="E170" s="226"/>
      <c r="F170" s="232" t="s">
        <v>459</v>
      </c>
      <c r="G170" s="574">
        <v>0</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5719810</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100304</v>
      </c>
      <c r="H177" s="219"/>
    </row>
    <row r="178" spans="1:8" ht="20.100000000000001" customHeight="1">
      <c r="A178" s="634" t="s">
        <v>471</v>
      </c>
      <c r="B178" s="219"/>
      <c r="C178" s="219"/>
      <c r="D178" s="219"/>
      <c r="E178" s="219"/>
      <c r="F178" s="253" t="s">
        <v>472</v>
      </c>
      <c r="G178" s="574">
        <v>730600</v>
      </c>
      <c r="H178" s="219"/>
    </row>
    <row r="179" spans="1:8" ht="20.100000000000001" customHeight="1">
      <c r="A179" s="625" t="s">
        <v>473</v>
      </c>
      <c r="B179" s="226"/>
      <c r="C179" s="226"/>
      <c r="D179" s="226"/>
      <c r="E179" s="226"/>
      <c r="F179" s="232" t="s">
        <v>474</v>
      </c>
      <c r="G179" s="574">
        <v>16758</v>
      </c>
      <c r="H179" s="219"/>
    </row>
    <row r="180" spans="1:8" ht="20.100000000000001" customHeight="1">
      <c r="A180" s="625" t="s">
        <v>475</v>
      </c>
      <c r="B180" s="226"/>
      <c r="C180" s="226"/>
      <c r="D180" s="226"/>
      <c r="E180" s="226"/>
      <c r="F180" s="232" t="s">
        <v>476</v>
      </c>
      <c r="G180" s="574">
        <v>1297906</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1344">
        <v>3358173</v>
      </c>
      <c r="H186" s="219"/>
    </row>
    <row r="187" spans="1:8" ht="20.100000000000001" customHeight="1">
      <c r="A187" s="625" t="s">
        <v>489</v>
      </c>
      <c r="B187" s="226"/>
      <c r="C187" s="226"/>
      <c r="D187" s="226"/>
      <c r="E187" s="226"/>
      <c r="F187" s="232" t="s">
        <v>490</v>
      </c>
      <c r="G187" s="1344">
        <v>5515693</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7822854</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500000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70525971</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698549</v>
      </c>
      <c r="H200" s="219"/>
    </row>
    <row r="201" spans="1:8" ht="20.100000000000001" customHeight="1">
      <c r="A201" s="625" t="s">
        <v>508</v>
      </c>
      <c r="B201" s="226"/>
      <c r="C201" s="226"/>
      <c r="D201" s="226"/>
      <c r="E201" s="226"/>
      <c r="F201" s="232" t="s">
        <v>509</v>
      </c>
      <c r="G201" s="574">
        <v>91506</v>
      </c>
      <c r="H201" s="219"/>
    </row>
    <row r="202" spans="1:8" ht="20.100000000000001" customHeight="1">
      <c r="A202" s="625" t="s">
        <v>510</v>
      </c>
      <c r="B202" s="226"/>
      <c r="C202" s="226"/>
      <c r="D202" s="226"/>
      <c r="E202" s="226"/>
      <c r="F202" s="232" t="s">
        <v>511</v>
      </c>
      <c r="G202" s="574">
        <v>559990</v>
      </c>
      <c r="H202" s="219"/>
    </row>
    <row r="203" spans="1:8" ht="20.100000000000001" customHeight="1">
      <c r="A203" s="625" t="s">
        <v>512</v>
      </c>
      <c r="B203" s="226"/>
      <c r="C203" s="226"/>
      <c r="D203" s="226"/>
      <c r="E203" s="226"/>
      <c r="F203" s="232" t="s">
        <v>513</v>
      </c>
      <c r="G203" s="574">
        <v>298433</v>
      </c>
      <c r="H203" s="219"/>
    </row>
    <row r="204" spans="1:8" ht="20.100000000000001" customHeight="1">
      <c r="A204" s="625" t="s">
        <v>514</v>
      </c>
      <c r="B204" s="226"/>
      <c r="C204" s="226"/>
      <c r="D204" s="226"/>
      <c r="E204" s="226"/>
      <c r="F204" s="232" t="s">
        <v>515</v>
      </c>
      <c r="G204" s="574">
        <v>2270886</v>
      </c>
      <c r="H204" s="219"/>
    </row>
    <row r="205" spans="1:8" ht="20.100000000000001" customHeight="1">
      <c r="A205" s="625" t="s">
        <v>516</v>
      </c>
      <c r="B205" s="226"/>
      <c r="C205" s="226"/>
      <c r="D205" s="226"/>
      <c r="E205" s="226"/>
      <c r="F205" s="232" t="s">
        <v>517</v>
      </c>
      <c r="G205" s="574">
        <v>113197</v>
      </c>
      <c r="H205" s="219"/>
    </row>
    <row r="206" spans="1:8" ht="20.100000000000001" customHeight="1">
      <c r="A206" s="625" t="s">
        <v>731</v>
      </c>
      <c r="B206" s="226"/>
      <c r="C206" s="226"/>
      <c r="D206" s="226"/>
      <c r="E206" s="226"/>
      <c r="F206" s="1250">
        <v>63100</v>
      </c>
      <c r="G206" s="574">
        <v>0</v>
      </c>
      <c r="H206" s="219"/>
    </row>
    <row r="207" spans="1:8" ht="20.100000000000001" customHeight="1">
      <c r="A207" s="625" t="s">
        <v>518</v>
      </c>
      <c r="B207" s="226"/>
      <c r="C207" s="226"/>
      <c r="D207" s="226"/>
      <c r="E207" s="226"/>
      <c r="F207" s="232" t="s">
        <v>519</v>
      </c>
      <c r="G207" s="574">
        <v>2073843</v>
      </c>
      <c r="H207" s="219"/>
    </row>
    <row r="208" spans="1:8" ht="20.100000000000001" customHeight="1">
      <c r="A208" s="625" t="s">
        <v>520</v>
      </c>
      <c r="B208" s="226"/>
      <c r="C208" s="226"/>
      <c r="D208" s="226"/>
      <c r="E208" s="226"/>
      <c r="F208" s="232" t="s">
        <v>521</v>
      </c>
      <c r="G208" s="574">
        <v>2378157</v>
      </c>
      <c r="H208" s="219"/>
    </row>
    <row r="209" spans="1:8" ht="20.100000000000001" customHeight="1">
      <c r="A209" s="625" t="s">
        <v>522</v>
      </c>
      <c r="B209" s="226"/>
      <c r="C209" s="226"/>
      <c r="D209" s="226"/>
      <c r="E209" s="226"/>
      <c r="F209" s="232" t="s">
        <v>523</v>
      </c>
      <c r="G209" s="574">
        <v>0</v>
      </c>
      <c r="H209" s="219"/>
    </row>
    <row r="210" spans="1:8" ht="20.100000000000001" customHeight="1">
      <c r="A210" s="625" t="s">
        <v>524</v>
      </c>
      <c r="B210" s="226"/>
      <c r="C210" s="226"/>
      <c r="D210" s="226"/>
      <c r="E210" s="226"/>
      <c r="F210" s="232" t="s">
        <v>525</v>
      </c>
      <c r="G210" s="574">
        <v>0</v>
      </c>
      <c r="H210" s="219"/>
    </row>
    <row r="211" spans="1:8" ht="20.100000000000001" customHeight="1">
      <c r="A211" s="625" t="s">
        <v>526</v>
      </c>
      <c r="B211" s="226"/>
      <c r="C211" s="226"/>
      <c r="D211" s="226"/>
      <c r="E211" s="226"/>
      <c r="F211" s="232" t="s">
        <v>527</v>
      </c>
      <c r="G211" s="574">
        <v>0</v>
      </c>
      <c r="H211" s="219"/>
    </row>
    <row r="212" spans="1:8" ht="20.100000000000001" customHeight="1">
      <c r="A212" s="625" t="s">
        <v>528</v>
      </c>
      <c r="B212" s="226"/>
      <c r="C212" s="226"/>
      <c r="D212" s="226"/>
      <c r="E212" s="226"/>
      <c r="F212" s="232" t="s">
        <v>529</v>
      </c>
      <c r="G212" s="574">
        <v>0</v>
      </c>
      <c r="H212" s="219"/>
    </row>
    <row r="213" spans="1:8" ht="20.100000000000001" customHeight="1">
      <c r="A213" s="625" t="s">
        <v>530</v>
      </c>
      <c r="B213" s="226"/>
      <c r="C213" s="226"/>
      <c r="D213" s="226"/>
      <c r="E213" s="226"/>
      <c r="F213" s="232" t="s">
        <v>531</v>
      </c>
      <c r="G213" s="574">
        <v>0</v>
      </c>
      <c r="H213" s="219"/>
    </row>
    <row r="214" spans="1:8" ht="20.100000000000001" customHeight="1">
      <c r="A214" s="625" t="s">
        <v>532</v>
      </c>
      <c r="B214" s="219"/>
      <c r="C214" s="219"/>
      <c r="D214" s="219"/>
      <c r="E214" s="219"/>
      <c r="F214" s="232" t="s">
        <v>533</v>
      </c>
      <c r="G214" s="574">
        <v>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4782592</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1489825</v>
      </c>
      <c r="H219" s="219"/>
    </row>
    <row r="220" spans="1:8" ht="20.100000000000001" customHeight="1">
      <c r="A220" s="625" t="s">
        <v>542</v>
      </c>
      <c r="B220" s="226"/>
      <c r="C220" s="226"/>
      <c r="D220" s="226"/>
      <c r="E220" s="226"/>
      <c r="F220" s="232" t="s">
        <v>543</v>
      </c>
      <c r="G220" s="574">
        <v>3204571</v>
      </c>
      <c r="H220" s="219"/>
    </row>
    <row r="221" spans="1:8" ht="20.100000000000001" customHeight="1">
      <c r="A221" s="625" t="s">
        <v>544</v>
      </c>
      <c r="B221" s="219"/>
      <c r="C221" s="219"/>
      <c r="D221" s="219"/>
      <c r="E221" s="219"/>
      <c r="F221" s="253" t="s">
        <v>545</v>
      </c>
      <c r="G221" s="574">
        <v>1792972</v>
      </c>
      <c r="H221" s="219"/>
    </row>
    <row r="222" spans="1:8" ht="20.100000000000001" customHeight="1">
      <c r="A222" s="625" t="s">
        <v>546</v>
      </c>
      <c r="B222" s="226"/>
      <c r="C222" s="226"/>
      <c r="D222" s="226"/>
      <c r="E222" s="226"/>
      <c r="F222" s="232" t="s">
        <v>547</v>
      </c>
      <c r="G222" s="574">
        <v>465515</v>
      </c>
      <c r="H222" s="219"/>
    </row>
    <row r="223" spans="1:8" ht="20.100000000000001" customHeight="1">
      <c r="A223" s="625" t="s">
        <v>548</v>
      </c>
      <c r="B223" s="226"/>
      <c r="C223" s="226"/>
      <c r="D223" s="226"/>
      <c r="E223" s="226"/>
      <c r="F223" s="232" t="s">
        <v>549</v>
      </c>
      <c r="G223" s="574">
        <v>273513</v>
      </c>
      <c r="H223" s="219"/>
    </row>
    <row r="224" spans="1:8" ht="20.100000000000001" customHeight="1">
      <c r="A224" s="626" t="s">
        <v>550</v>
      </c>
      <c r="B224" s="229"/>
      <c r="C224" s="229"/>
      <c r="D224" s="229"/>
      <c r="E224" s="229"/>
      <c r="F224" s="245" t="s">
        <v>551</v>
      </c>
      <c r="G224" s="574">
        <v>77783</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1258061</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0</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8">
        <v>300000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22129393</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2036093</v>
      </c>
      <c r="H244" s="219"/>
    </row>
    <row r="245" spans="1:10" ht="20.100000000000001" customHeight="1">
      <c r="A245" s="626" t="s">
        <v>582</v>
      </c>
      <c r="B245" s="229"/>
      <c r="C245" s="229"/>
      <c r="D245" s="229"/>
      <c r="E245" s="229"/>
      <c r="F245" s="245" t="s">
        <v>583</v>
      </c>
      <c r="G245" s="574">
        <v>0</v>
      </c>
      <c r="H245" s="219"/>
    </row>
    <row r="246" spans="1:10" ht="20.100000000000001" customHeight="1">
      <c r="A246" s="625" t="s">
        <v>584</v>
      </c>
      <c r="B246" s="226"/>
      <c r="C246" s="226"/>
      <c r="D246" s="226"/>
      <c r="E246" s="226"/>
      <c r="F246" s="232" t="s">
        <v>585</v>
      </c>
      <c r="G246" s="574">
        <v>483663</v>
      </c>
      <c r="H246" s="219"/>
    </row>
    <row r="247" spans="1:10" ht="20.100000000000001" customHeight="1">
      <c r="A247" s="626" t="s">
        <v>586</v>
      </c>
      <c r="B247" s="229"/>
      <c r="C247" s="229"/>
      <c r="D247" s="229"/>
      <c r="E247" s="229"/>
      <c r="F247" s="1296" t="s">
        <v>587</v>
      </c>
      <c r="G247" s="574">
        <v>0</v>
      </c>
      <c r="H247" s="662"/>
      <c r="I247" s="222"/>
    </row>
    <row r="248" spans="1:10" ht="20.100000000000001" customHeight="1">
      <c r="A248" s="1310" t="s">
        <v>762</v>
      </c>
      <c r="B248" s="1311"/>
      <c r="C248" s="1311"/>
      <c r="D248" s="1311"/>
      <c r="E248" s="1311"/>
      <c r="F248" s="1339">
        <v>73001</v>
      </c>
      <c r="G248" s="574">
        <v>0</v>
      </c>
      <c r="H248" s="662"/>
      <c r="I248" s="222"/>
    </row>
    <row r="249" spans="1:10" ht="20.100000000000001" customHeight="1">
      <c r="A249" s="1310" t="s">
        <v>763</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730</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200000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2719756</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95375120</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f>'EXHIBIT A'!E23-G260</f>
        <v>12704134.124000013</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12704134.124000013</v>
      </c>
      <c r="H274" s="219"/>
    </row>
    <row r="275" spans="1:12" ht="20.100000000000001" customHeight="1">
      <c r="A275" s="627"/>
      <c r="B275" s="226"/>
      <c r="C275" s="226"/>
      <c r="D275" s="226"/>
      <c r="E275" s="226"/>
      <c r="F275" s="270"/>
      <c r="G275" s="269"/>
      <c r="H275" s="219"/>
    </row>
    <row r="276" spans="1:12" ht="20.100000000000001" customHeight="1" thickBot="1">
      <c r="A276" s="640" t="s">
        <v>764</v>
      </c>
      <c r="B276" s="219"/>
      <c r="C276" s="219"/>
      <c r="D276" s="219"/>
      <c r="E276" s="219"/>
      <c r="F276" s="253">
        <v>30800</v>
      </c>
      <c r="G276" s="575">
        <f>-'EXHIBIT A'!E14</f>
        <v>-43965690</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-31261555.875999987</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7: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4:F256 H254:H256" numberStoredAsText="1"/>
    <ignoredError sqref="G85 G75 G81 G144" evalError="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ee822479-6e51-4d14-b6b0-2c589e913e66"/>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Andrew Barnes</cp:lastModifiedBy>
  <cp:revision/>
  <cp:lastPrinted>2022-06-19T20:36:05Z</cp:lastPrinted>
  <dcterms:created xsi:type="dcterms:W3CDTF">2005-03-22T15:46:43Z</dcterms:created>
  <dcterms:modified xsi:type="dcterms:W3CDTF">2022-08-29T20:59:58Z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