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autoCompressPictures="0"/>
  <mc:AlternateContent xmlns:mc="http://schemas.openxmlformats.org/markup-compatibility/2006">
    <mc:Choice Requires="x15">
      <x15ac:absPath xmlns:x15ac="http://schemas.microsoft.com/office/spreadsheetml/2010/11/ac" url="https://palmbeachstate-my.sharepoint.com/personal/fethker_palmbeachstate_edu/Documents/Documents/Custom Office Templates/Excel/State Budget Report FY 2023/"/>
    </mc:Choice>
  </mc:AlternateContent>
  <xr:revisionPtr revIDLastSave="0" documentId="8_{00EAB0B4-A688-48D7-B728-ECF7BDA86565}" xr6:coauthVersionLast="47" xr6:coauthVersionMax="47" xr10:uidLastSave="{00000000-0000-0000-0000-000000000000}"/>
  <bookViews>
    <workbookView xWindow="29970" yWindow="690" windowWidth="24330" windowHeight="14640" tabRatio="769" firstSheet="2" activeTab="6"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B'!$A$1:$J$43</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8" l="1"/>
  <c r="G223" i="7"/>
  <c r="G76" i="7"/>
  <c r="G77" i="7"/>
  <c r="D54" i="15" l="1"/>
  <c r="D49" i="15"/>
  <c r="D48" i="15"/>
  <c r="D34" i="15"/>
  <c r="D25" i="15"/>
  <c r="D15" i="15"/>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G14" i="6"/>
  <c r="G15" i="6"/>
  <c r="F32" i="6"/>
  <c r="H32" i="6" s="1"/>
  <c r="G32" i="6"/>
  <c r="F33" i="6"/>
  <c r="G33" i="6"/>
  <c r="F34" i="6"/>
  <c r="H34" i="6" s="1"/>
  <c r="G32" i="7" s="1"/>
  <c r="G34" i="6"/>
  <c r="F35" i="6"/>
  <c r="G35" i="6"/>
  <c r="E19" i="6"/>
  <c r="F19" i="6" s="1"/>
  <c r="G21" i="7" s="1"/>
  <c r="E20" i="6"/>
  <c r="F20" i="6" s="1"/>
  <c r="G22" i="7" s="1"/>
  <c r="E21" i="6"/>
  <c r="F21" i="6" s="1"/>
  <c r="G23" i="7" s="1"/>
  <c r="E22" i="6"/>
  <c r="F22" i="6" s="1"/>
  <c r="G24" i="7" s="1"/>
  <c r="E23" i="6"/>
  <c r="F23" i="6"/>
  <c r="G25" i="7" s="1"/>
  <c r="E24" i="6"/>
  <c r="F24" i="6" s="1"/>
  <c r="G26" i="7" s="1"/>
  <c r="B34" i="5"/>
  <c r="E39" i="6" s="1"/>
  <c r="F39" i="6" s="1"/>
  <c r="B35" i="5"/>
  <c r="E40" i="6"/>
  <c r="F40" i="6" s="1"/>
  <c r="G38" i="7" s="1"/>
  <c r="B37" i="5"/>
  <c r="E41" i="6" s="1"/>
  <c r="F41" i="6" s="1"/>
  <c r="G39" i="7" s="1"/>
  <c r="B38" i="5"/>
  <c r="H38" i="5" s="1"/>
  <c r="I38" i="5"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AD128" i="2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H35" i="5"/>
  <c r="I35"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s="1"/>
  <c r="D65" i="22"/>
  <c r="D67" i="22"/>
  <c r="D69" i="22" s="1"/>
  <c r="D59" i="22"/>
  <c r="D60" i="22"/>
  <c r="D62" i="22"/>
  <c r="B52" i="22"/>
  <c r="E33" i="22"/>
  <c r="E34" i="22" s="1"/>
  <c r="D33" i="22"/>
  <c r="D34" i="22"/>
  <c r="D26" i="22"/>
  <c r="D38" i="22"/>
  <c r="C38" i="22"/>
  <c r="E15" i="22"/>
  <c r="D15" i="22"/>
  <c r="B46" i="22"/>
  <c r="E26" i="22"/>
  <c r="E59" i="22"/>
  <c r="E61" i="22" s="1"/>
  <c r="E38" i="22"/>
  <c r="B29" i="5"/>
  <c r="G14" i="5"/>
  <c r="H14" i="5" s="1"/>
  <c r="G258" i="7"/>
  <c r="E15" i="8"/>
  <c r="E36" i="6"/>
  <c r="D36" i="6"/>
  <c r="F36" i="6" s="1"/>
  <c r="D43" i="6"/>
  <c r="D26" i="6"/>
  <c r="E17" i="6"/>
  <c r="G20" i="5"/>
  <c r="H20" i="5"/>
  <c r="G19" i="5"/>
  <c r="H19" i="5" s="1"/>
  <c r="G22" i="5"/>
  <c r="H22" i="5" s="1"/>
  <c r="G23" i="5"/>
  <c r="H23" i="5"/>
  <c r="E20" i="12"/>
  <c r="E29" i="12"/>
  <c r="E30" i="12"/>
  <c r="G196" i="7"/>
  <c r="D21" i="8"/>
  <c r="E68" i="3"/>
  <c r="C94" i="12"/>
  <c r="B31" i="5"/>
  <c r="H31" i="5" s="1"/>
  <c r="I31" i="5" s="1"/>
  <c r="B30" i="5"/>
  <c r="G16" i="5"/>
  <c r="H16" i="5" s="1"/>
  <c r="G15" i="5"/>
  <c r="H15" i="5"/>
  <c r="D96" i="8"/>
  <c r="C96" i="8"/>
  <c r="B69" i="6"/>
  <c r="C92" i="3" s="1"/>
  <c r="E69" i="3"/>
  <c r="E70" i="3"/>
  <c r="E71" i="3"/>
  <c r="E72" i="3"/>
  <c r="E73" i="3"/>
  <c r="B21" i="8"/>
  <c r="C21" i="8"/>
  <c r="E10" i="8"/>
  <c r="E12" i="8"/>
  <c r="E16" i="8"/>
  <c r="E17" i="8"/>
  <c r="E18" i="8"/>
  <c r="E19" i="8"/>
  <c r="E20" i="8"/>
  <c r="E36" i="4"/>
  <c r="C127" i="3" s="1"/>
  <c r="D33" i="4"/>
  <c r="B60" i="6"/>
  <c r="C96" i="3" s="1"/>
  <c r="E26" i="4"/>
  <c r="E16" i="4"/>
  <c r="G274" i="7"/>
  <c r="G278" i="7" s="1"/>
  <c r="C120" i="3" s="1"/>
  <c r="E67" i="22"/>
  <c r="D61" i="22"/>
  <c r="E14" i="8"/>
  <c r="G240" i="7"/>
  <c r="X147" i="23"/>
  <c r="D66" i="22"/>
  <c r="D68" i="22"/>
  <c r="H35" i="6"/>
  <c r="G33" i="7"/>
  <c r="H33" i="6"/>
  <c r="G31" i="7" s="1"/>
  <c r="H34" i="5"/>
  <c r="I34" i="5"/>
  <c r="H37" i="5"/>
  <c r="I37" i="5"/>
  <c r="D17" i="6"/>
  <c r="F12" i="6"/>
  <c r="H12" i="6" s="1"/>
  <c r="G14" i="7" s="1"/>
  <c r="F11" i="6"/>
  <c r="H11" i="6" s="1"/>
  <c r="G13" i="7" s="1"/>
  <c r="F14" i="6"/>
  <c r="E48" i="3" s="1"/>
  <c r="H13" i="6"/>
  <c r="G15" i="7" s="1"/>
  <c r="F15" i="6"/>
  <c r="E49" i="3" s="1"/>
  <c r="F10" i="6"/>
  <c r="E44" i="3" s="1"/>
  <c r="E47" i="3"/>
  <c r="C93" i="3" l="1"/>
  <c r="C111" i="3"/>
  <c r="H15" i="6"/>
  <c r="G17" i="7" s="1"/>
  <c r="H14" i="6"/>
  <c r="G16" i="7" s="1"/>
  <c r="E46" i="3"/>
  <c r="E45" i="3"/>
  <c r="H10" i="6"/>
  <c r="D128" i="15" s="1"/>
  <c r="C144" i="3" s="1"/>
  <c r="F17" i="6"/>
  <c r="E50" i="3" s="1"/>
  <c r="H30" i="5"/>
  <c r="I30" i="5" s="1"/>
  <c r="G37" i="7"/>
  <c r="G42" i="7" s="1"/>
  <c r="G30" i="7"/>
  <c r="H36" i="6"/>
  <c r="E69" i="22"/>
  <c r="E70" i="22"/>
  <c r="E68" i="22"/>
  <c r="C113" i="3"/>
  <c r="E42" i="6"/>
  <c r="F42" i="6" s="1"/>
  <c r="G40" i="7" s="1"/>
  <c r="E21" i="8"/>
  <c r="H29" i="5"/>
  <c r="I29" i="5" s="1"/>
  <c r="E60" i="22"/>
  <c r="C95" i="3"/>
  <c r="B70" i="6"/>
  <c r="E62" i="22"/>
  <c r="D70" i="22"/>
  <c r="E74" i="3"/>
  <c r="G75" i="7"/>
  <c r="G85" i="7" s="1"/>
  <c r="D106" i="3"/>
  <c r="F121" i="15"/>
  <c r="G260" i="7"/>
  <c r="E25" i="4" s="1"/>
  <c r="E28" i="4" s="1"/>
  <c r="G35" i="7"/>
  <c r="T119" i="23"/>
  <c r="C112" i="3"/>
  <c r="C121" i="3"/>
  <c r="G28" i="7"/>
  <c r="F26" i="6"/>
  <c r="D129" i="15"/>
  <c r="C128" i="3"/>
  <c r="C132" i="3" s="1"/>
  <c r="E123" i="15"/>
  <c r="E141" i="15" s="1"/>
  <c r="F103" i="15"/>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104" i="3"/>
  <c r="D35" i="23"/>
  <c r="F46" i="3" l="1"/>
  <c r="G46" i="3" s="1"/>
  <c r="F45" i="3"/>
  <c r="G45" i="3" s="1"/>
  <c r="E102" i="3"/>
  <c r="E106" i="3" s="1"/>
  <c r="F128" i="15"/>
  <c r="C137" i="3"/>
  <c r="D139" i="15"/>
  <c r="D141" i="15" s="1"/>
  <c r="H17" i="6"/>
  <c r="H27" i="6" s="1"/>
  <c r="H46" i="6" s="1"/>
  <c r="G12" i="7"/>
  <c r="G19" i="7" s="1"/>
  <c r="G44" i="7" s="1"/>
  <c r="G63" i="7" s="1"/>
  <c r="G144" i="7" s="1"/>
  <c r="E18" i="4" s="1"/>
  <c r="E21" i="4" s="1"/>
  <c r="E23" i="4" s="1"/>
  <c r="E44" i="4" s="1"/>
  <c r="C17" i="3" s="1"/>
  <c r="F43" i="6"/>
  <c r="H44" i="6" s="1"/>
  <c r="F123" i="15"/>
  <c r="C114" i="3"/>
  <c r="C139" i="3"/>
  <c r="F129" i="15"/>
  <c r="F139" i="15" s="1"/>
  <c r="C147" i="3"/>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F102" i="3"/>
  <c r="F106" i="3" s="1"/>
  <c r="C34" i="3" l="1"/>
  <c r="D32" i="4"/>
  <c r="E35" i="4" s="1"/>
  <c r="E38" i="4" s="1"/>
  <c r="C153" i="3"/>
  <c r="F14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text>
    </comment>
    <comment ref="A40" authorId="0"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text>
    </comment>
    <comment ref="A68" authorId="3" shapeId="0" xr:uid="{00000000-0006-0000-0200-000005000000}">
      <text>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text>
    </comment>
    <comment ref="B76" authorId="4" shapeId="0" xr:uid="{00000000-0006-0000-0200-000006000000}">
      <text>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E76" authorId="5" shapeId="0" xr:uid="{00000000-0006-0000-0200-000007000000}">
      <text>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text>
    </comment>
    <comment ref="A114" authorId="6" shapeId="0" xr:uid="{00000000-0006-0000-0200-000008000000}">
      <text>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text>
    </comment>
    <comment ref="T115" authorId="7" shapeId="0" xr:uid="{00000000-0006-0000-0200-000009000000}">
      <text>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text>
    </comment>
    <comment ref="B118" authorId="8" shapeId="0" xr:uid="{00000000-0006-0000-0200-00000A000000}">
      <text>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text>
    </comment>
    <comment ref="E118" authorId="9" shapeId="0" xr:uid="{00000000-0006-0000-0200-00000B000000}">
      <text>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text>
    </comment>
    <comment ref="F118" authorId="10" shapeId="0" xr:uid="{00000000-0006-0000-0200-00000C000000}">
      <text>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text>
    </comment>
    <comment ref="H118" authorId="11" shapeId="0" xr:uid="{00000000-0006-0000-0200-00000D000000}">
      <text>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text>
    </comment>
    <comment ref="I118" authorId="12" shapeId="0" xr:uid="{00000000-0006-0000-0200-00000E000000}">
      <text>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text>
    </comment>
    <comment ref="K118" authorId="13" shapeId="0" xr:uid="{00000000-0006-0000-0200-00000F000000}">
      <text>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text>
    </comment>
    <comment ref="L118" authorId="14" shapeId="0" xr:uid="{00000000-0006-0000-0200-000010000000}">
      <text>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text>
    </comment>
    <comment ref="N118" authorId="15" shapeId="0" xr:uid="{00000000-0006-0000-0200-000011000000}">
      <text>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text>
    </comment>
    <comment ref="O118" authorId="16" shapeId="0" xr:uid="{00000000-0006-0000-0200-000012000000}">
      <text>
        <t>[Threaded comment]
Your version of Excel allows you to read this threaded comment; however, any edits to it will get removed if the file is opened in a newer version of Excel. Learn more: https://go.microsoft.com/fwlink/?linkid=870924
Comment:
    EPI Estimated Non-Florida Resident FTE, Cell W54</t>
      </text>
    </comment>
    <comment ref="Q118" authorId="17" shapeId="0" xr:uid="{00000000-0006-0000-0200-000013000000}">
      <text>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text>
    </comment>
    <comment ref="R118" authorId="18" shapeId="0" xr:uid="{00000000-0006-0000-0200-000014000000}">
      <text>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text>
    </comment>
    <comment ref="W118" authorId="19" shapeId="0" xr:uid="{00000000-0006-0000-0200-000015000000}">
      <text>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text>
    </comment>
    <comment ref="X118" authorId="20" shapeId="0" xr:uid="{00000000-0006-0000-0200-000016000000}">
      <text>
        <t xml:space="preserve">[Threaded comment]
Your version of Excel allows you to read this threaded comment; however, any edits to it will get removed if the file is opened in a newer version of Excel. Learn more: https://go.microsoft.com/fwlink/?linkid=870924
Comment:
    Voc. Prep FTE Total, Cell G54
</t>
      </text>
    </comment>
    <comment ref="Z118" authorId="0" shapeId="0" xr:uid="{00000000-0006-0000-0200-000017000000}">
      <text>
        <r>
          <rPr>
            <b/>
            <sz val="9"/>
            <color indexed="81"/>
            <rFont val="Tahoma"/>
            <family val="2"/>
          </rPr>
          <t>Nieto, Eve:</t>
        </r>
        <r>
          <rPr>
            <sz val="9"/>
            <color indexed="81"/>
            <rFont val="Tahoma"/>
            <family val="2"/>
          </rPr>
          <t xml:space="preserve">
Formulas in place.
 Complete columns AE and AF first. </t>
        </r>
      </text>
    </comment>
    <comment ref="AA118" authorId="21" shapeId="0" xr:uid="{00000000-0006-0000-0200-000018000000}">
      <text>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text>
    </comment>
    <comment ref="AE118" authorId="22" shapeId="0" xr:uid="{00000000-0006-0000-0200-000019000000}">
      <text>
        <t xml:space="preserve">[Threaded comment]
Your version of Excel allows you to read this threaded comment; however, any edits to it will get removed if the file is opened in a newer version of Excel. Learn more: https://go.microsoft.com/fwlink/?linkid=870924
Comment:
    Adult Basic FTE, Cell H54
 </t>
      </text>
    </comment>
    <comment ref="AF118" authorId="23" shapeId="0" xr:uid="{00000000-0006-0000-0200-00001A000000}">
      <text>
        <t>[Threaded comment]
Your version of Excel allows you to read this threaded comment; however, any edits to it will get removed if the file is opened in a newer version of Excel. Learn more: https://go.microsoft.com/fwlink/?linkid=870924
Comment:
    Adult Second. &amp; GED  FTE, Cell I54</t>
      </text>
    </comment>
    <comment ref="AO120" authorId="24" shapeId="0" xr:uid="{00000000-0006-0000-0200-00001B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text>
    </comment>
    <comment ref="AO121" authorId="25" shapeId="0" xr:uid="{00000000-0006-0000-0200-00001C000000}">
      <text>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text>
    </comment>
    <comment ref="AO124" authorId="26" shapeId="0" xr:uid="{00000000-0006-0000-0200-00001D000000}">
      <text>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text>
    </comment>
    <comment ref="D43"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VLOOKUP Tab - Cells A108 to S141</t>
      </text>
    </comment>
    <comment ref="G43" authorId="2" shapeId="0" xr:uid="{00000000-0006-0000-0300-000003000000}">
      <text>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text>
    </comment>
    <comment ref="D67" authorId="3" shapeId="0" xr:uid="{00000000-0006-0000-0300-000004000000}">
      <text>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text>
    </comment>
    <comment ref="G67" authorId="4" shapeId="0" xr:uid="{00000000-0006-0000-0300-000005000000}">
      <text>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text>
    </comment>
    <comment ref="C121" authorId="5" shapeId="0" xr:uid="{00000000-0006-0000-0300-000006000000}">
      <text>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text>
    </comment>
    <comment ref="G80" authorId="1" shapeId="0" xr:uid="{00000000-0006-0000-0800-000002000000}">
      <text>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text>
    </comment>
    <comment ref="G276" authorId="2" shapeId="0" xr:uid="{00000000-0006-0000-0800-000003000000}">
      <text>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t xml:space="preserve">[Threaded comment]
Your version of Excel allows you to read this threaded comment; however, any edits to it will get removed if the file is opened in a newer version of Excel. Learn more: https://go.microsoft.com/fwlink/?linkid=870924
Comment:
    Pursuant to Rule 6A-14.029, FAC.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xr:uid="{00000000-0006-0000-0B00-000002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text>
    </comment>
    <comment ref="D129" authorId="2" shapeId="0" xr:uid="{00000000-0006-0000-0B00-000003000000}">
      <text>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text>
    </comment>
  </commentList>
</comments>
</file>

<file path=xl/sharedStrings.xml><?xml version="1.0" encoding="utf-8"?>
<sst xmlns="http://schemas.openxmlformats.org/spreadsheetml/2006/main" count="1351" uniqueCount="825">
  <si>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</si>
  <si>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</si>
  <si>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</si>
  <si>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</si>
  <si>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</si>
  <si>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</si>
  <si>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</si>
  <si>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</si>
  <si>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</si>
  <si>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</si>
  <si>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</si>
  <si>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</si>
  <si>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</si>
  <si>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</si>
  <si>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</si>
  <si>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</si>
  <si>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</si>
  <si>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</si>
  <si>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</si>
  <si>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</si>
  <si>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</si>
  <si>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</si>
  <si>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</si>
  <si>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</si>
  <si>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</si>
  <si>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</si>
  <si>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</si>
  <si>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</si>
  <si>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</si>
  <si>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</si>
  <si>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</si>
  <si>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</si>
  <si>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</si>
  <si>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</si>
  <si>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</si>
  <si>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</si>
  <si>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</si>
  <si>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</si>
  <si>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</si>
  <si>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</si>
  <si>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</si>
  <si>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</si>
  <si>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</si>
  <si>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</si>
  <si>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</si>
  <si>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</si>
  <si>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</si>
  <si>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</si>
  <si>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</si>
  <si>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</si>
  <si>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</si>
  <si>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</si>
  <si>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</si>
  <si>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</si>
  <si>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</si>
  <si>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</si>
  <si>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</si>
  <si>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</si>
  <si>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</si>
  <si>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</si>
  <si>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</si>
  <si>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</si>
  <si>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</si>
  <si>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</si>
  <si>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</si>
  <si>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</si>
  <si>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</si>
  <si>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</si>
  <si>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</si>
  <si>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</si>
  <si>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</si>
  <si>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</si>
  <si>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</si>
  <si>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</si>
  <si>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</si>
  <si>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</si>
  <si>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</si>
  <si>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</si>
  <si>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</si>
  <si>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</si>
  <si>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</si>
  <si>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</si>
  <si>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</si>
  <si>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</si>
  <si>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</si>
  <si>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</si>
  <si>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</si>
  <si>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</si>
  <si>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</si>
  <si>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</si>
  <si>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</si>
  <si>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</si>
  <si>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</si>
  <si>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</si>
  <si>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</si>
  <si>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</si>
  <si>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</si>
  <si>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</si>
  <si>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</si>
  <si>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</si>
  <si>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</si>
  <si>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</si>
  <si>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</si>
  <si>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</si>
  <si>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</si>
  <si>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</si>
  <si>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</si>
  <si>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</si>
  <si>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</si>
  <si>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</si>
  <si>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</si>
  <si>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</si>
  <si>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</si>
  <si>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</si>
  <si>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</si>
  <si>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</si>
  <si>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</si>
  <si>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</si>
  <si>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</si>
  <si>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</si>
  <si>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</si>
  <si>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</si>
  <si>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</si>
  <si>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</si>
  <si>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</si>
  <si>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</si>
  <si>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</si>
  <si>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</si>
  <si>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</si>
  <si>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</si>
  <si>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</si>
  <si>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</si>
  <si>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</si>
  <si>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</si>
  <si>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</si>
  <si>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</si>
  <si>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</si>
  <si>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</si>
  <si>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</si>
  <si>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</si>
  <si>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</si>
  <si>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</si>
  <si>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</si>
  <si>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</si>
  <si>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</si>
  <si>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</si>
  <si>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</si>
  <si>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</si>
  <si>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</si>
  <si>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</si>
  <si>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</si>
  <si>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</si>
  <si>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</si>
  <si>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</si>
  <si>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</si>
  <si>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</si>
  <si>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</si>
  <si>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</si>
  <si>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</si>
  <si>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</si>
  <si>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</si>
  <si>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</si>
  <si>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</si>
  <si>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</si>
  <si>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</si>
  <si>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</si>
  <si>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</si>
  <si>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</si>
  <si>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</si>
  <si>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</si>
  <si>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</si>
  <si>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</si>
  <si>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</si>
  <si>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</si>
  <si>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</si>
  <si>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</si>
  <si>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</si>
  <si>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</si>
  <si>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</si>
  <si>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</si>
  <si>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</si>
  <si>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</si>
  <si>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</si>
  <si>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</si>
  <si>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</si>
  <si>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</si>
  <si>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</si>
  <si>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</si>
  <si>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</si>
  <si>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</si>
  <si>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</si>
  <si>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</si>
  <si>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</si>
  <si>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</si>
  <si>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</si>
  <si>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</si>
  <si>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</si>
  <si>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</si>
  <si>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</si>
  <si>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</si>
  <si>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</si>
  <si>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</si>
  <si>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</si>
  <si>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</si>
  <si>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</si>
  <si>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</si>
  <si>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</si>
  <si>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</si>
  <si>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</si>
  <si>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</si>
  <si>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</si>
  <si>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</si>
  <si>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</si>
  <si>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</si>
  <si>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</si>
  <si>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</si>
  <si>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</si>
  <si>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</si>
  <si>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</si>
  <si>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</si>
  <si>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</si>
  <si>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</si>
  <si>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</si>
  <si>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</si>
  <si>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</si>
  <si>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</si>
  <si>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</si>
  <si>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</si>
  <si>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</si>
  <si>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</si>
  <si>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</si>
  <si>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</si>
  <si>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</si>
  <si>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</si>
  <si>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</si>
  <si>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</si>
  <si>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</si>
  <si>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</si>
  <si>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</si>
  <si>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</si>
  <si>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</si>
  <si>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</si>
  <si>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</si>
  <si>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</si>
  <si>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</si>
  <si>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</si>
  <si>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</si>
  <si>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</si>
  <si>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</si>
  <si>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</si>
  <si>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</si>
  <si>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</si>
  <si>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</si>
  <si>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</si>
  <si>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</si>
  <si>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</si>
  <si>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</si>
  <si>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</si>
  <si>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</si>
  <si>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</si>
  <si>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</si>
  <si>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</si>
  <si>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</si>
  <si>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</si>
  <si>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</si>
  <si>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</si>
  <si>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</si>
  <si>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</si>
  <si>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</si>
  <si>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</si>
  <si>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</si>
  <si>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</si>
  <si>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</si>
  <si>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</si>
  <si>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</si>
  <si>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</si>
  <si>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</si>
  <si>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</si>
  <si>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</si>
  <si>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</si>
  <si>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</si>
  <si>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</si>
  <si>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</si>
  <si>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</si>
  <si>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</si>
  <si>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</si>
  <si>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</si>
  <si>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</si>
  <si>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</si>
  <si>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</si>
  <si>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</si>
  <si>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</si>
  <si>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</si>
  <si>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</si>
  <si>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</si>
  <si>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</si>
  <si>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</si>
  <si>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</si>
  <si>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</si>
  <si>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</si>
  <si>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</si>
  <si>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</si>
  <si>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</si>
  <si>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</si>
  <si>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</si>
  <si>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</si>
  <si>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</si>
  <si>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</si>
  <si>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</si>
  <si>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</si>
  <si>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</si>
  <si>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</si>
  <si>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</si>
  <si>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</si>
  <si>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</si>
  <si>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</si>
  <si>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</si>
  <si>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</si>
  <si>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</si>
  <si>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</si>
  <si>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</si>
  <si>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</si>
  <si>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</si>
  <si>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</si>
  <si>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</si>
  <si>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</si>
  <si>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</si>
  <si>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</si>
  <si>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</si>
  <si>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</si>
  <si>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</si>
  <si>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</si>
  <si>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</si>
  <si>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</si>
  <si>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</si>
  <si>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</si>
  <si>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</si>
  <si>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</si>
  <si>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</si>
  <si>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</si>
  <si>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</si>
  <si>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</si>
  <si>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</si>
  <si>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</si>
  <si>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</si>
  <si>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</si>
  <si>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</si>
  <si>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</si>
  <si>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</si>
  <si>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</si>
  <si>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</si>
  <si>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</si>
  <si>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</si>
  <si>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</si>
  <si>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</si>
  <si>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</si>
  <si>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</si>
  <si>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</si>
  <si>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</si>
  <si>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</si>
  <si>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</si>
  <si>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</si>
  <si>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</si>
  <si>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</si>
  <si>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</si>
  <si>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</si>
  <si>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</si>
  <si>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</si>
  <si>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</si>
  <si>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</si>
  <si>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</si>
  <si>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</si>
  <si>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</si>
  <si>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</si>
  <si>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</si>
  <si>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</si>
  <si>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</si>
  <si>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</si>
  <si>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</si>
  <si>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</si>
  <si>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</si>
  <si>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</si>
  <si>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</si>
  <si>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</si>
  <si>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</si>
  <si>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</si>
  <si>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</si>
  <si>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</si>
  <si>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</si>
  <si>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</si>
  <si>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</si>
  <si>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</si>
  <si>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</si>
  <si>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</si>
  <si>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</si>
  <si>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</si>
  <si>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</si>
  <si>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</si>
  <si>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</si>
  <si>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</si>
  <si>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</si>
  <si>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</si>
  <si>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</si>
  <si>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</si>
  <si>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</si>
  <si>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</si>
  <si>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</si>
  <si>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</si>
  <si>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</si>
  <si>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</si>
  <si>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</si>
  <si>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</si>
  <si>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</si>
  <si>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</si>
  <si>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</si>
  <si>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</si>
  <si>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</si>
  <si>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</si>
  <si>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</si>
  <si>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</si>
  <si>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</si>
  <si>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</si>
  <si>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</si>
  <si>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</si>
  <si>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</si>
  <si>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</si>
  <si>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</si>
  <si>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</si>
  <si>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</si>
  <si>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</si>
  <si>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</si>
  <si>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</si>
  <si>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</si>
  <si>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</si>
  <si>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</si>
  <si>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</si>
  <si>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</si>
  <si>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</si>
  <si>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</si>
  <si>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</si>
  <si>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</si>
  <si>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</si>
  <si>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</si>
  <si>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</si>
  <si>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</si>
  <si>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</si>
  <si>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</si>
  <si>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</si>
  <si>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</si>
  <si>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</si>
  <si>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</si>
  <si>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</si>
  <si>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</si>
  <si>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</si>
  <si>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</si>
  <si>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</si>
  <si>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</si>
  <si>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</si>
  <si>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</si>
  <si>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</si>
  <si>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</si>
  <si>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</si>
  <si>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</si>
  <si>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</si>
  <si>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</si>
  <si>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</si>
  <si>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</si>
  <si>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</si>
  <si>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</si>
  <si>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</si>
  <si>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</si>
  <si>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</si>
  <si>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</si>
  <si>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</si>
  <si>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</si>
  <si>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</si>
  <si>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</si>
  <si>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</si>
  <si>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</si>
  <si>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</si>
  <si>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</si>
  <si>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</si>
  <si>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</si>
  <si>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</si>
  <si>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</si>
  <si>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</si>
  <si>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</si>
  <si>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</si>
  <si>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</si>
  <si>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</si>
  <si>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</si>
  <si>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</si>
  <si>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</si>
  <si>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</si>
  <si>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</si>
  <si>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</si>
  <si>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</si>
  <si>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</si>
  <si>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</si>
  <si>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</si>
  <si>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</si>
  <si>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</si>
  <si>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</si>
  <si>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</si>
  <si>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</si>
  <si>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</si>
  <si>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</si>
  <si>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</si>
  <si>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</si>
  <si>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</si>
  <si>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</si>
  <si>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</si>
  <si>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</si>
  <si>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</si>
  <si>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</si>
  <si>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</si>
  <si>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</si>
  <si>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</si>
  <si>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</si>
  <si>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</si>
  <si>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</si>
  <si>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</si>
  <si>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</si>
  <si>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</si>
  <si>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</si>
  <si>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</si>
  <si>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</si>
  <si>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</si>
  <si>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</si>
  <si>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</si>
  <si>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</si>
  <si>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</si>
  <si>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</si>
  <si>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</si>
  <si>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</si>
  <si>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</si>
  <si>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</si>
  <si>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</si>
  <si>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</si>
  <si>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</si>
  <si>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</si>
  <si>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</si>
  <si>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</si>
  <si>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</si>
  <si>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</si>
  <si>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</si>
  <si>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</si>
  <si>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</si>
  <si>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</si>
  <si>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</si>
  <si>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</si>
  <si>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</si>
  <si>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</si>
  <si>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</si>
  <si>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</si>
  <si>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</si>
  <si>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</si>
  <si>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</si>
  <si>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</si>
  <si>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</si>
  <si>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</si>
  <si>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</si>
  <si>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</si>
  <si>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</si>
  <si>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</si>
  <si>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</si>
  <si>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</si>
  <si>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</si>
  <si>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</si>
  <si>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</si>
  <si>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</si>
  <si>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</si>
  <si>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</si>
  <si>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</si>
  <si>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</si>
  <si>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</si>
  <si>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</si>
  <si>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</si>
  <si>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</si>
  <si>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</si>
  <si>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</si>
  <si>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</si>
  <si>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</si>
  <si>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</si>
  <si>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</si>
  <si>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</si>
  <si>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</si>
  <si>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</si>
  <si>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</si>
  <si>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</si>
  <si>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</si>
  <si>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</si>
  <si>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</si>
  <si>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</si>
  <si>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</si>
  <si>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</si>
  <si>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</si>
  <si>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</si>
  <si>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</si>
  <si>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</si>
  <si>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</si>
  <si>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</si>
  <si>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</si>
  <si>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</si>
  <si>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</si>
  <si>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</si>
  <si>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</si>
  <si>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</si>
  <si>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</si>
  <si>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</si>
  <si>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</si>
  <si>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</si>
  <si>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</si>
  <si>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</si>
  <si>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</si>
  <si>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</si>
  <si>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</si>
  <si>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</si>
  <si>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</si>
  <si>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</si>
  <si>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</si>
  <si>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</si>
  <si>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</si>
  <si>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</si>
  <si>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</si>
  <si>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</si>
  <si>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</si>
  <si>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</si>
  <si>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</si>
  <si>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</si>
  <si>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</si>
  <si>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</si>
  <si>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</si>
  <si>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</si>
  <si>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</si>
  <si>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</si>
  <si>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</si>
  <si>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</si>
  <si>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</si>
  <si>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</si>
  <si>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</si>
  <si>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</si>
  <si>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</si>
  <si>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</si>
  <si>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</si>
  <si>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</si>
  <si>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</si>
  <si>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</si>
  <si>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</si>
  <si>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</si>
  <si>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</si>
  <si>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</si>
  <si>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</si>
  <si>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</si>
  <si>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</si>
  <si>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</si>
  <si>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</si>
  <si>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</si>
  <si>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</si>
  <si>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</si>
  <si>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</si>
  <si>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</si>
  <si>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</si>
  <si>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</si>
  <si>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</si>
  <si>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</si>
  <si>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</si>
  <si>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</si>
  <si>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</si>
  <si>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</si>
  <si>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</si>
  <si>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</si>
  <si>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</si>
  <si>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</si>
  <si>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</si>
  <si>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</si>
  <si>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</si>
  <si>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</si>
  <si>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</si>
  <si>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</si>
  <si>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</si>
  <si>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</si>
  <si>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</si>
  <si>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</si>
  <si>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</si>
  <si>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</si>
  <si>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</si>
  <si>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</si>
  <si>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</si>
  <si>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</si>
  <si>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</si>
  <si>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</si>
  <si>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</si>
  <si>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</si>
  <si>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</si>
  <si>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</si>
  <si>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</si>
  <si>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</si>
  <si>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</si>
  <si>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</si>
  <si>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</si>
  <si>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</si>
  <si>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</si>
  <si>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</si>
  <si>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</si>
  <si>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</si>
  <si>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</si>
  <si>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</si>
  <si>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</si>
  <si>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</si>
  <si>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</si>
  <si>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</si>
  <si>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</si>
  <si>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</si>
  <si>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</si>
  <si>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</si>
  <si>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</si>
  <si>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</si>
  <si>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</si>
  <si>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</si>
  <si>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</si>
  <si>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</si>
  <si>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</si>
  <si>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</si>
  <si>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</si>
  <si>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Current</t>
  </si>
  <si>
    <t>Auxiliary</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</si>
  <si>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</si>
  <si>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</si>
  <si>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</si>
  <si>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</si>
  <si>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</si>
  <si>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</si>
  <si>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</si>
  <si>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</si>
  <si>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</si>
  <si>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</si>
  <si>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</si>
  <si>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</si>
  <si>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</si>
  <si>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</si>
  <si>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</si>
  <si>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</si>
  <si>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</si>
  <si>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</si>
  <si>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</si>
  <si>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</si>
  <si>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</si>
  <si>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</si>
  <si>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</si>
  <si>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</si>
  <si>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</si>
  <si>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</si>
  <si>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</si>
  <si>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</si>
  <si>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</si>
  <si>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</si>
  <si>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</si>
  <si>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</si>
  <si>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</si>
  <si>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</si>
  <si>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</si>
  <si>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</si>
  <si>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</si>
  <si>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</si>
  <si>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</si>
  <si>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</si>
  <si>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</si>
  <si>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</si>
  <si>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</si>
  <si>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</si>
  <si>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</si>
  <si>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</si>
  <si>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</si>
  <si>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</si>
  <si>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</si>
  <si>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</si>
  <si>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</si>
  <si>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</si>
  <si>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</si>
  <si>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</si>
  <si>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</si>
  <si>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</si>
  <si>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</si>
  <si>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</si>
  <si>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</si>
  <si>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</si>
  <si>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</si>
  <si>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</si>
  <si>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</si>
  <si>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</si>
  <si>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</si>
  <si>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</si>
  <si>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</si>
  <si>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Updated: 5.3.22 EN</t>
  </si>
  <si>
    <t>Date Updated:   05.03.22    BY:  EN</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</si>
  <si>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</si>
  <si>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</si>
  <si>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</si>
  <si>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</si>
  <si>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</si>
  <si>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</si>
  <si>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</si>
  <si>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</si>
  <si>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</si>
  <si>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</si>
  <si>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</si>
  <si>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</si>
  <si>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 xml:space="preserve">Increase in expected out of state credit hours for A&amp;P Baccalaureate. </t>
  </si>
  <si>
    <t>FY 2020-21 Non Resident (Out-of-State) A&amp;P (Lower Level) Tuition Revenue</t>
  </si>
  <si>
    <t>totaled $3,768,253. Credit Hours equal 16,626</t>
  </si>
  <si>
    <t>FY 2021-22 Non Resident (Out-of-State) A&amp;P (Lower Level) Tuition</t>
  </si>
  <si>
    <t>equal 15,890.</t>
  </si>
  <si>
    <t xml:space="preserve">Increase in expected resident credit hours for A&amp;P Baccalaureate. </t>
  </si>
  <si>
    <t>We expect a tuition recovery post pandemic.</t>
  </si>
  <si>
    <t>FY 2020-21 Resident  A&amp;P (Lower Level) Tuition Revenue totaled</t>
  </si>
  <si>
    <t>$28,846,132. Credit Hours equal 375,015</t>
  </si>
  <si>
    <t>FY 2021-22 Resident  A&amp;P (Lower Level) Tuition Revenue as of</t>
  </si>
  <si>
    <t>equal 380,547.</t>
  </si>
  <si>
    <t>Educator Prep as of 5/31/22 total $38,537 with 501 Credit Hours</t>
  </si>
  <si>
    <t>5/31/22 totaled $29,271,680 which excludes FY 2021-22</t>
  </si>
  <si>
    <t xml:space="preserve">Summer Tuition Revenue for June. Credit Hours through 5/31/22 </t>
  </si>
  <si>
    <t>Revenue as of 5/31/22 totaled $3,601,273 which excludes FY 2021-22</t>
  </si>
  <si>
    <t>Fund 1</t>
  </si>
  <si>
    <t>Fund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</si>
</sst>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8" formatCode="&quot;$&quot;#,##0.00_);[Red]\(&quot;$&quot;#,##0.0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style="thin">
        <color indexed="64"/>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4">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3" xfId="0" applyFont="1" applyFill="1" applyBorder="1" applyProtection="1">
      <protection locked="0"/>
    </xf>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0"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79" borderId="43" xfId="0" applyFont="1" applyFill="1" applyBorder="1"/>
    <xf numFmtId="0" fontId="72" fillId="79" borderId="222" xfId="0" applyFont="1" applyFill="1" applyBorder="1"/>
    <xf numFmtId="0" fontId="72" fillId="79" borderId="225"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168" fontId="156" fillId="32" borderId="224" xfId="0" applyNumberFormat="1" applyFont="1" applyFill="1" applyBorder="1" applyAlignment="1" applyProtection="1">
      <alignment horizontal="right"/>
      <protection locked="0"/>
    </xf>
    <xf numFmtId="168" fontId="156" fillId="32" borderId="2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200"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1" fontId="100" fillId="0" borderId="10" xfId="0" applyNumberFormat="1" applyFont="1" applyBorder="1" applyAlignment="1" applyProtection="1">
      <alignment horizontal="right"/>
    </xf>
    <xf numFmtId="37" fontId="106" fillId="0" borderId="172" xfId="0" applyNumberFormat="1" applyFont="1" applyBorder="1" applyProtection="1"/>
    <xf numFmtId="0" fontId="72" fillId="32" borderId="304" xfId="495" applyFont="1" applyFill="1" applyBorder="1" applyAlignment="1">
      <alignment horizontal="center" wrapText="1"/>
    </xf>
    <xf numFmtId="3" fontId="72" fillId="32" borderId="304"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3" xfId="0" applyNumberFormat="1" applyFont="1" applyFill="1" applyBorder="1"/>
    <xf numFmtId="169" fontId="72" fillId="32" borderId="268" xfId="0" applyNumberFormat="1" applyFont="1" applyFill="1" applyBorder="1"/>
    <xf numFmtId="169" fontId="72" fillId="32" borderId="293" xfId="0" applyNumberFormat="1" applyFont="1" applyFill="1" applyBorder="1"/>
    <xf numFmtId="172" fontId="100" fillId="0" borderId="10" xfId="0" applyNumberFormat="1" applyFont="1" applyFill="1" applyBorder="1" applyAlignment="1" applyProtection="1">
      <alignment horizontal="right"/>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0" fontId="72" fillId="0" borderId="303" xfId="0" applyNumberFormat="1" applyFont="1" applyBorder="1" applyAlignment="1" applyProtection="1"/>
    <xf numFmtId="0" fontId="72" fillId="0" borderId="304" xfId="0" applyNumberFormat="1" applyFont="1" applyBorder="1" applyAlignment="1" applyProtection="1"/>
    <xf numFmtId="37" fontId="179" fillId="32" borderId="303" xfId="0" applyNumberFormat="1" applyFont="1" applyFill="1" applyBorder="1" applyAlignment="1" applyProtection="1">
      <alignment horizontal="right"/>
    </xf>
    <xf numFmtId="37" fontId="179" fillId="32" borderId="304" xfId="0" applyNumberFormat="1" applyFont="1" applyFill="1" applyBorder="1" applyAlignment="1" applyProtection="1">
      <alignment horizontal="right"/>
    </xf>
    <xf numFmtId="37" fontId="180" fillId="0" borderId="307" xfId="0" applyNumberFormat="1" applyFont="1" applyFill="1" applyBorder="1" applyProtection="1"/>
    <xf numFmtId="37" fontId="180" fillId="0" borderId="308" xfId="0" applyNumberFormat="1" applyFont="1" applyFill="1" applyBorder="1" applyProtection="1"/>
    <xf numFmtId="172" fontId="180" fillId="0" borderId="303" xfId="0" applyNumberFormat="1" applyFont="1" applyFill="1" applyBorder="1" applyAlignment="1" applyProtection="1">
      <alignment horizontal="center"/>
    </xf>
    <xf numFmtId="37" fontId="180" fillId="0" borderId="309" xfId="0" applyNumberFormat="1" applyFont="1" applyFill="1" applyBorder="1" applyProtection="1"/>
    <xf numFmtId="37" fontId="180" fillId="0" borderId="310" xfId="0" applyNumberFormat="1" applyFont="1" applyFill="1" applyBorder="1" applyProtection="1"/>
    <xf numFmtId="172" fontId="180" fillId="0" borderId="304" xfId="0" applyNumberFormat="1" applyFont="1" applyFill="1" applyBorder="1" applyAlignment="1" applyProtection="1">
      <alignment horizontal="center"/>
    </xf>
    <xf numFmtId="37" fontId="181" fillId="0" borderId="172" xfId="0" applyNumberFormat="1" applyFont="1" applyFill="1" applyBorder="1" applyProtection="1"/>
    <xf numFmtId="37" fontId="181"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3" xfId="495" applyFont="1" applyFill="1" applyBorder="1" applyAlignment="1">
      <alignment horizontal="center" wrapText="1"/>
    </xf>
    <xf numFmtId="0" fontId="72" fillId="79" borderId="0" xfId="0" applyFont="1" applyFill="1" applyBorder="1"/>
    <xf numFmtId="0" fontId="72" fillId="79" borderId="200" xfId="0" applyFont="1" applyFill="1" applyBorder="1"/>
    <xf numFmtId="3" fontId="72" fillId="36" borderId="280" xfId="0" applyNumberFormat="1" applyFont="1" applyFill="1" applyBorder="1" applyAlignment="1" applyProtection="1">
      <alignment horizontal="right"/>
    </xf>
    <xf numFmtId="0" fontId="72" fillId="79" borderId="311"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2" xfId="0" applyNumberFormat="1" applyFont="1" applyFill="1" applyBorder="1" applyProtection="1">
      <protection locked="0"/>
    </xf>
    <xf numFmtId="37" fontId="157" fillId="33" borderId="313" xfId="0" applyNumberFormat="1" applyFont="1" applyFill="1" applyBorder="1" applyProtection="1">
      <protection locked="0"/>
    </xf>
    <xf numFmtId="172" fontId="181" fillId="0" borderId="10" xfId="0" applyNumberFormat="1" applyFont="1" applyFill="1" applyBorder="1" applyAlignment="1" applyProtection="1"/>
    <xf numFmtId="3" fontId="159" fillId="0" borderId="277" xfId="0" applyNumberFormat="1" applyFont="1" applyFill="1" applyBorder="1" applyProtection="1"/>
    <xf numFmtId="0" fontId="106" fillId="0" borderId="275" xfId="0" applyFont="1" applyBorder="1" applyAlignment="1">
      <alignment horizontal="centerContinuous" wrapText="1"/>
    </xf>
    <xf numFmtId="0" fontId="106" fillId="0" borderId="276" xfId="0" applyFont="1" applyBorder="1" applyAlignment="1">
      <alignment horizontal="centerContinuous"/>
    </xf>
    <xf numFmtId="168" fontId="106" fillId="0" borderId="34" xfId="0" applyNumberFormat="1" applyFont="1" applyFill="1" applyBorder="1" applyProtection="1"/>
    <xf numFmtId="8" fontId="72" fillId="32" borderId="40" xfId="0" applyNumberFormat="1" applyFont="1" applyFill="1" applyBorder="1" applyAlignment="1" applyProtection="1">
      <alignment horizontal="left" vertical="top" wrapText="1"/>
      <protection locked="0"/>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8" personId="{1F471670-B2F1-431A-BF2E-14A22D9B5720}" id="{55DCAC58-9647-4D0E-B033-FF408B92170A}">
    <text xml:space="preserve">Source: General Appropriations Act, Specific Appropriation 35.
</text>
  </threadedComment>
  <threadedComment ref="B76"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6"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4"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5" personId="{1F471670-B2F1-431A-BF2E-14A22D9B5720}" id="{97127F23-FD53-4C98-BD0E-AD4E1F96A69A}">
    <text>Note: Total Fee Paying should agree with the Fee Calculator Total Fee Paying - CellU121.</text>
  </threadedComment>
  <threadedComment ref="B118" personId="{1F471670-B2F1-431A-BF2E-14A22D9B5720}" id="{0E17BC91-BE20-4A25-A7D8-943BE122B06F}">
    <text xml:space="preserve">Upper Level FTE Resident, Cell Q93
</text>
  </threadedComment>
  <threadedComment ref="E118" personId="{1F471670-B2F1-431A-BF2E-14A22D9B5720}" id="{F21ABF8C-3F93-40C3-B556-B1AD2D545056}">
    <text>A &amp; P Resident, Cell B93
Resident A &amp; P Fee Paying FTE does not include non-Florida Resident FTE and Dual Enrolled FTE.</text>
  </threadedComment>
  <threadedComment ref="F118" personId="{CF12A810-03EA-4300-AFB9-893D1BC43909}" id="{E577ECD5-318A-43C6-B5C9-6703669EDBE1}">
    <text>A &amp; P FTE Estimated Non-Florida Resident, Cell P54</text>
  </threadedComment>
  <threadedComment ref="H118" personId="{1F471670-B2F1-431A-BF2E-14A22D9B5720}" id="{5D079386-487B-4A39-BBE3-35243C5504B3}">
    <text xml:space="preserve">PSV FTE Resident, Cell E93
Resident PSV Fee Paying FTE does not include non-Florida Resident FTE and Dual Enrolled FTE. 
</text>
  </threadedComment>
  <threadedComment ref="I118" personId="{CF12A810-03EA-4300-AFB9-893D1BC43909}" id="{8EBECDCE-BD35-4FE7-90A5-285907FB34E4}">
    <text xml:space="preserve">PSV Estimated Non-Florida Resident FTE, Cell Q54
</text>
  </threadedComment>
  <threadedComment ref="K118" personId="{1F471670-B2F1-431A-BF2E-14A22D9B5720}" id="{8EF7C769-F880-4C8A-80BE-59BF0D2E88E5}">
    <text xml:space="preserve">DEV ED FTE Resident, Cell H93
Resident DEV ED Fee Paying FTE does not include non-Florida Resident FTE.
</text>
  </threadedComment>
  <threadedComment ref="L118" personId="{CF12A810-03EA-4300-AFB9-893D1BC43909}" id="{6FDACA1F-54E8-45A8-8703-4774D8EFD9D2}">
    <text>DEV ED Estimated Non-Florida Resident FTE, Cell T54</text>
  </threadedComment>
  <threadedComment ref="N118" personId="{1F471670-B2F1-431A-BF2E-14A22D9B5720}" id="{A6AC8CD1-2B10-4147-9844-D324F71DBF2C}">
    <text>EPI FTE Resident, Cell K93. 
Resident EPI Fee Paying FTE does not include non-Florida Resident FTE.</text>
  </threadedComment>
  <threadedComment ref="O118" personId="{CF12A810-03EA-4300-AFB9-893D1BC43909}" id="{F7AFCA54-3658-4ED4-BF75-5B879FB58103}">
    <text>EPI Estimated Non-Florida Resident FTE, Cell W54</text>
  </threadedComment>
  <threadedComment ref="Q118" personId="{1F471670-B2F1-431A-BF2E-14A22D9B5720}" id="{9A19A128-2C5D-49FC-91FF-496FBD0040ED}">
    <text xml:space="preserve">CCATD FTE Resident, Cell N93. 
Resident CCATD Paying FTE does not include non-Florida Resident FTE and Dual Enrolled FTE. </text>
  </threadedComment>
  <threadedComment ref="R118" personId="{CF12A810-03EA-4300-AFB9-893D1BC43909}" id="{1A1D73E9-E4F1-4240-B864-6D373B51C436}">
    <text>CCATD FTE Estimated Non-Florida Resident FTE, Cell R54.</text>
  </threadedComment>
  <threadedComment ref="W118" personId="{CF12A810-03EA-4300-AFB9-893D1BC43909}" id="{EB6DA77F-6AE0-4ED0-BFC4-9E01A2EC7C48}">
    <text>Voc Prep FTE Estimated Non-Florida Resident, Cell U54</text>
  </threadedComment>
  <threadedComment ref="X118" personId="{CF12A810-03EA-4300-AFB9-893D1BC43909}" id="{9CCC2418-FC98-4D67-BE81-AC59529DA44C}">
    <text xml:space="preserve">Voc. Prep FTE Total, Cell G54
</text>
  </threadedComment>
  <threadedComment ref="AA118" personId="{CF12A810-03EA-4300-AFB9-893D1BC43909}" id="{C398493A-27F9-41CA-B815-9405846000B7}">
    <text>Adult FTE Estimated Non-Florida Resident, Cell V54</text>
  </threadedComment>
  <threadedComment ref="AE118" personId="{1F471670-B2F1-431A-BF2E-14A22D9B5720}" id="{815CD3A1-1A1F-4342-B015-5E0FBE34EDD1}">
    <text xml:space="preserve">Adult Basic FTE, Cell H54
 </text>
  </threadedComment>
  <threadedComment ref="AF118" personId="{1F471670-B2F1-431A-BF2E-14A22D9B5720}" id="{3A891C23-FB36-4B68-ADDC-98949430BBD4}">
    <text>Adult Second. &amp; GED  FTE, Cell I54</text>
  </threadedComment>
  <threadedComment ref="AO120" personId="{1F471670-B2F1-431A-BF2E-14A22D9B5720}" id="{0B3BE2BC-403A-4EEC-8852-A4CAB5B94B01}">
    <text>Fee Calculator File:   This amount is from the Estimated Duel Enrolled FTE Total Column, Cell AF82.</text>
  </threadedComment>
  <threadedComment ref="AO121" personId="{1F471670-B2F1-431A-BF2E-14A22D9B5720}" id="{17930007-AA0C-4C5B-897A-5AE306D64E8A}">
    <text xml:space="preserve">Fee Calculator File: Apprent FTE Total, Cell E82 minus the Estimated Dual Enrolled Apprent FTE, Cell AE82. 
</text>
  </threadedComment>
  <threadedComment ref="AO124"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6"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D128" personId="{1F471670-B2F1-431A-BF2E-14A22D9B5720}" id="{C439E12A-A2BD-4B44-9D99-3AC88DA9BEC8}">
    <text xml:space="preserve">This cell will automatically populate. Should agree with Exhibit C, Cell H10. Resident and nonresident students pay resident tuition.
</text>
  </threadedComment>
  <threadedComment ref="D129"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5" t="s">
        <v>0</v>
      </c>
      <c r="B1" s="755"/>
      <c r="C1" s="755"/>
      <c r="D1" s="755"/>
      <c r="E1" s="755"/>
    </row>
    <row r="2" spans="1:5" ht="23.25">
      <c r="A2" s="755" t="s">
        <v>729</v>
      </c>
      <c r="B2" s="755"/>
      <c r="C2" s="755"/>
      <c r="D2" s="755"/>
      <c r="E2" s="755"/>
    </row>
    <row r="3" spans="1:5" ht="21" customHeight="1">
      <c r="A3" s="755" t="s">
        <v>1</v>
      </c>
      <c r="B3" s="755"/>
      <c r="C3" s="755"/>
      <c r="D3" s="755"/>
      <c r="E3" s="75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7"/>
      <c r="E9" s="738"/>
    </row>
    <row r="10" spans="1:5" s="4" customFormat="1" ht="20.100000000000001" customHeight="1">
      <c r="A10" s="756" t="s">
        <v>9</v>
      </c>
      <c r="B10" s="13"/>
      <c r="C10" s="14" t="s">
        <v>10</v>
      </c>
      <c r="D10" s="15"/>
      <c r="E10" s="12" t="s">
        <v>10</v>
      </c>
    </row>
    <row r="11" spans="1:5" s="4" customFormat="1" ht="20.100000000000001" customHeight="1">
      <c r="A11" s="756"/>
      <c r="B11" s="13"/>
      <c r="C11" s="13"/>
      <c r="D11" s="15"/>
      <c r="E11" s="13"/>
    </row>
    <row r="12" spans="1:5" ht="20.100000000000001" customHeight="1">
      <c r="A12" s="16"/>
      <c r="B12" s="16"/>
      <c r="C12" s="16"/>
      <c r="D12" s="17"/>
      <c r="E12" s="16"/>
    </row>
    <row r="13" spans="1:5" ht="20.100000000000001" customHeight="1">
      <c r="A13" s="757" t="s">
        <v>10</v>
      </c>
      <c r="B13" s="16"/>
      <c r="C13" s="16"/>
      <c r="D13" s="17"/>
      <c r="E13" s="16"/>
    </row>
    <row r="14" spans="1:5" ht="20.100000000000001" customHeight="1">
      <c r="A14" s="757"/>
      <c r="B14" s="16"/>
      <c r="C14" s="16"/>
      <c r="D14" s="16"/>
      <c r="E14" s="16"/>
    </row>
    <row r="15" spans="1:5" ht="20.100000000000001" customHeight="1">
      <c r="A15" s="757"/>
      <c r="B15" s="16"/>
      <c r="C15" s="16"/>
      <c r="D15" s="16"/>
      <c r="E15" s="16"/>
    </row>
    <row r="16" spans="1:5" ht="20.100000000000001"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topLeftCell="A19" zoomScale="130" zoomScaleNormal="130" zoomScalePageLayoutView="70" workbookViewId="0">
      <selection activeCell="B12" sqref="B12"/>
    </sheetView>
  </sheetViews>
  <sheetFormatPr defaultColWidth="8.85546875" defaultRowHeight="12.75"/>
  <cols>
    <col min="1" max="1" width="109" customWidth="1"/>
  </cols>
  <sheetData>
    <row r="1" spans="1:10" ht="22.35" customHeight="1">
      <c r="A1" s="765" t="s">
        <v>11</v>
      </c>
      <c r="B1" s="760"/>
      <c r="C1" s="760"/>
      <c r="D1" s="760"/>
      <c r="E1" s="760"/>
      <c r="F1" s="760"/>
      <c r="G1" s="760"/>
      <c r="H1" s="760"/>
      <c r="I1" s="760"/>
      <c r="J1" s="760"/>
    </row>
    <row r="2" spans="1:10" s="223" customFormat="1" ht="22.35" customHeight="1">
      <c r="A2" s="765" t="s">
        <v>763</v>
      </c>
      <c r="B2" s="760"/>
      <c r="C2" s="760"/>
      <c r="D2" s="760"/>
      <c r="E2" s="760"/>
      <c r="F2" s="760"/>
      <c r="G2" s="760"/>
      <c r="H2" s="760"/>
      <c r="I2" s="760"/>
      <c r="J2" s="760"/>
    </row>
    <row r="3" spans="1:10" s="223" customFormat="1" ht="22.35" customHeight="1">
      <c r="A3" s="765" t="s">
        <v>12</v>
      </c>
      <c r="B3" s="760"/>
      <c r="C3" s="760"/>
      <c r="D3" s="760"/>
      <c r="E3" s="760"/>
      <c r="F3" s="760"/>
      <c r="G3" s="760"/>
      <c r="H3" s="760"/>
      <c r="I3" s="760"/>
      <c r="J3" s="760"/>
    </row>
    <row r="4" spans="1:10" ht="26.45"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5">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85"/>
  <sheetViews>
    <sheetView showGridLines="0" zoomScale="60" zoomScaleNormal="60" zoomScalePageLayoutView="80" workbookViewId="0">
      <selection activeCell="G25" sqref="G25:G26"/>
    </sheetView>
  </sheetViews>
  <sheetFormatPr defaultColWidth="8.85546875" defaultRowHeight="21"/>
  <cols>
    <col min="1" max="1" width="56" style="20" customWidth="1"/>
    <col min="2" max="2" width="32.1406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7.5703125" style="20" customWidth="1"/>
    <col min="9" max="9" width="14.28515625" style="20" customWidth="1"/>
    <col min="10" max="10" width="16.28515625" style="20"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13" style="20" customWidth="1"/>
    <col min="17" max="17" width="15" style="20" customWidth="1"/>
    <col min="18" max="18" width="13.42578125" style="20" customWidth="1"/>
    <col min="19" max="19" width="13.7109375" style="20"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4.85546875" style="20" customWidth="1"/>
    <col min="27" max="27" width="15.28515625" style="20" customWidth="1"/>
    <col min="28" max="28" width="15.140625" style="20"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5" t="s">
        <v>14</v>
      </c>
      <c r="B1" s="1255"/>
      <c r="C1" s="1255"/>
      <c r="D1" s="1255"/>
      <c r="E1" s="18"/>
      <c r="F1" s="19"/>
    </row>
    <row r="2" spans="1:10" ht="33.6" customHeight="1" thickBot="1">
      <c r="A2" s="1262" t="s">
        <v>15</v>
      </c>
      <c r="B2" s="1262"/>
      <c r="C2" s="1262"/>
      <c r="D2" s="1262"/>
      <c r="E2" s="19"/>
    </row>
    <row r="3" spans="1:10" ht="25.35" customHeight="1" thickBot="1">
      <c r="A3" s="75"/>
      <c r="B3" s="76" t="s">
        <v>795</v>
      </c>
      <c r="C3" s="77"/>
      <c r="D3" s="86"/>
      <c r="E3" s="85"/>
      <c r="F3" s="25"/>
    </row>
    <row r="4" spans="1:10" ht="25.35" customHeight="1" thickBot="1">
      <c r="A4" s="75">
        <v>1</v>
      </c>
      <c r="B4" s="64">
        <v>2</v>
      </c>
      <c r="C4" s="64">
        <v>3</v>
      </c>
      <c r="D4" s="64">
        <v>4</v>
      </c>
      <c r="E4" s="68"/>
      <c r="F4" s="25"/>
    </row>
    <row r="5" spans="1:10" ht="44.1" customHeight="1" thickBot="1">
      <c r="A5" s="1272" t="s">
        <v>16</v>
      </c>
      <c r="B5" s="1321" t="s">
        <v>776</v>
      </c>
      <c r="C5" s="1322"/>
      <c r="D5" s="1323"/>
      <c r="E5" s="728"/>
      <c r="F5" s="22"/>
    </row>
    <row r="6" spans="1:10" ht="89.1" customHeight="1" thickBot="1">
      <c r="A6" s="525" t="s">
        <v>17</v>
      </c>
      <c r="B6" s="74" t="s">
        <v>18</v>
      </c>
      <c r="C6" s="90" t="s">
        <v>19</v>
      </c>
      <c r="D6" s="89" t="s">
        <v>20</v>
      </c>
      <c r="E6" s="25"/>
      <c r="F6" s="22"/>
    </row>
    <row r="7" spans="1:10" ht="25.35" customHeight="1">
      <c r="A7" s="524" t="s">
        <v>21</v>
      </c>
      <c r="B7" s="1165">
        <v>39410676.032799996</v>
      </c>
      <c r="C7" s="1166">
        <v>9012111</v>
      </c>
      <c r="D7" s="96">
        <f t="shared" ref="D7:D34" si="0">SUM(B7:C7)</f>
        <v>48422787.032799996</v>
      </c>
      <c r="E7" s="558"/>
      <c r="F7" s="559"/>
      <c r="G7" s="59"/>
      <c r="I7" s="59"/>
      <c r="J7" s="59"/>
    </row>
    <row r="8" spans="1:10" ht="25.35" customHeight="1">
      <c r="A8" s="501" t="s">
        <v>22</v>
      </c>
      <c r="B8" s="1167">
        <v>78888612.198300004</v>
      </c>
      <c r="C8" s="1168">
        <v>18061799</v>
      </c>
      <c r="D8" s="87">
        <f t="shared" si="0"/>
        <v>96950411.198300004</v>
      </c>
      <c r="E8" s="529"/>
      <c r="F8" s="59"/>
      <c r="G8" s="59"/>
      <c r="I8" s="59"/>
      <c r="J8" s="59"/>
    </row>
    <row r="9" spans="1:10" ht="25.35" customHeight="1">
      <c r="A9" s="501" t="s">
        <v>23</v>
      </c>
      <c r="B9" s="1167">
        <v>33122473.964400001</v>
      </c>
      <c r="C9" s="1168">
        <v>5159428</v>
      </c>
      <c r="D9" s="87">
        <f t="shared" si="0"/>
        <v>38281901.964400001</v>
      </c>
      <c r="E9" s="529"/>
      <c r="F9" s="59"/>
      <c r="G9" s="59"/>
      <c r="I9" s="59"/>
      <c r="J9" s="59"/>
    </row>
    <row r="10" spans="1:10" ht="25.35" customHeight="1">
      <c r="A10" s="501" t="s">
        <v>24</v>
      </c>
      <c r="B10" s="1167">
        <v>10140122.1391</v>
      </c>
      <c r="C10" s="1168">
        <v>2837892</v>
      </c>
      <c r="D10" s="87">
        <f t="shared" si="0"/>
        <v>12978014.1391</v>
      </c>
      <c r="E10" s="529"/>
      <c r="F10" s="59"/>
      <c r="G10" s="59"/>
      <c r="I10" s="59"/>
      <c r="J10" s="59"/>
    </row>
    <row r="11" spans="1:10" ht="25.35" customHeight="1">
      <c r="A11" s="501" t="s">
        <v>25</v>
      </c>
      <c r="B11" s="1167">
        <v>43596058.663999997</v>
      </c>
      <c r="C11" s="1168">
        <v>10843888</v>
      </c>
      <c r="D11" s="87">
        <f t="shared" si="0"/>
        <v>54439946.663999997</v>
      </c>
      <c r="E11" s="529"/>
      <c r="F11" s="59"/>
      <c r="G11" s="59"/>
      <c r="I11" s="59"/>
      <c r="J11" s="59"/>
    </row>
    <row r="12" spans="1:10" ht="25.35" customHeight="1">
      <c r="A12" s="501" t="s">
        <v>26</v>
      </c>
      <c r="B12" s="1167">
        <v>31716135.217799999</v>
      </c>
      <c r="C12" s="1168">
        <v>6909047</v>
      </c>
      <c r="D12" s="87">
        <f t="shared" si="0"/>
        <v>38625182.217799999</v>
      </c>
      <c r="E12" s="529"/>
      <c r="F12" s="59"/>
      <c r="G12" s="59"/>
      <c r="I12" s="59"/>
      <c r="J12" s="59"/>
    </row>
    <row r="13" spans="1:10" ht="25.35" customHeight="1">
      <c r="A13" s="501" t="s">
        <v>27</v>
      </c>
      <c r="B13" s="1167">
        <v>65338110.648300007</v>
      </c>
      <c r="C13" s="1168">
        <v>16235011</v>
      </c>
      <c r="D13" s="87">
        <f t="shared" si="0"/>
        <v>81573121.648300007</v>
      </c>
      <c r="E13" s="529"/>
      <c r="F13" s="59"/>
      <c r="G13" s="59"/>
      <c r="I13" s="59"/>
      <c r="J13" s="59"/>
    </row>
    <row r="14" spans="1:10" ht="25.35" customHeight="1">
      <c r="A14" s="501" t="s">
        <v>28</v>
      </c>
      <c r="B14" s="1167">
        <v>7222490.6436999999</v>
      </c>
      <c r="C14" s="1168">
        <v>1462858</v>
      </c>
      <c r="D14" s="87">
        <f t="shared" si="0"/>
        <v>8685348.6436999999</v>
      </c>
      <c r="E14" s="529"/>
      <c r="F14" s="59"/>
      <c r="G14" s="59"/>
      <c r="I14" s="59"/>
      <c r="J14" s="59"/>
    </row>
    <row r="15" spans="1:10" ht="25.35" customHeight="1">
      <c r="A15" s="501" t="s">
        <v>29</v>
      </c>
      <c r="B15" s="1167">
        <v>20557563.359499998</v>
      </c>
      <c r="C15" s="1168">
        <v>4625762</v>
      </c>
      <c r="D15" s="87">
        <f t="shared" si="0"/>
        <v>25183325.359499998</v>
      </c>
      <c r="E15" s="529"/>
      <c r="F15" s="59"/>
      <c r="G15" s="59"/>
      <c r="I15" s="59"/>
      <c r="J15" s="59"/>
    </row>
    <row r="16" spans="1:10" ht="25.35" customHeight="1">
      <c r="A16" s="501" t="s">
        <v>30</v>
      </c>
      <c r="B16" s="1167">
        <v>62210734.112299994</v>
      </c>
      <c r="C16" s="1168">
        <v>12266869</v>
      </c>
      <c r="D16" s="87">
        <f t="shared" si="0"/>
        <v>74477603.112299994</v>
      </c>
      <c r="E16" s="529"/>
      <c r="F16" s="59"/>
      <c r="G16" s="59"/>
      <c r="I16" s="59"/>
      <c r="J16" s="59"/>
    </row>
    <row r="17" spans="1:10" ht="25.35" customHeight="1">
      <c r="A17" s="501" t="s">
        <v>31</v>
      </c>
      <c r="B17" s="1167">
        <v>43473852.9881</v>
      </c>
      <c r="C17" s="1168">
        <v>9941113</v>
      </c>
      <c r="D17" s="87">
        <f t="shared" si="0"/>
        <v>53414965.9881</v>
      </c>
      <c r="E17" s="529"/>
      <c r="F17" s="59"/>
      <c r="G17" s="59"/>
      <c r="I17" s="59"/>
      <c r="J17" s="59"/>
    </row>
    <row r="18" spans="1:10" ht="25.35" customHeight="1">
      <c r="A18" s="501" t="s">
        <v>32</v>
      </c>
      <c r="B18" s="1167">
        <v>12328495.215399999</v>
      </c>
      <c r="C18" s="1168">
        <v>2894280</v>
      </c>
      <c r="D18" s="87">
        <f t="shared" si="0"/>
        <v>15222775.215399999</v>
      </c>
      <c r="E18" s="529"/>
      <c r="F18" s="59"/>
      <c r="G18" s="59"/>
      <c r="I18" s="59"/>
      <c r="J18" s="59"/>
    </row>
    <row r="19" spans="1:10" ht="25.35" customHeight="1">
      <c r="A19" s="501" t="s">
        <v>33</v>
      </c>
      <c r="B19" s="1167">
        <v>18725936.7663</v>
      </c>
      <c r="C19" s="1168">
        <v>2843909</v>
      </c>
      <c r="D19" s="87">
        <f t="shared" si="0"/>
        <v>21569845.7663</v>
      </c>
      <c r="E19" s="529"/>
      <c r="F19" s="59"/>
      <c r="G19" s="59"/>
      <c r="I19" s="59"/>
      <c r="J19" s="59"/>
    </row>
    <row r="20" spans="1:10" ht="25.35" customHeight="1">
      <c r="A20" s="501" t="s">
        <v>34</v>
      </c>
      <c r="B20" s="1167">
        <v>24920093.315499999</v>
      </c>
      <c r="C20" s="1168">
        <v>4791952</v>
      </c>
      <c r="D20" s="87">
        <f t="shared" si="0"/>
        <v>29712045.315499999</v>
      </c>
      <c r="E20" s="529"/>
      <c r="F20" s="59"/>
      <c r="G20" s="59"/>
      <c r="I20" s="59"/>
      <c r="J20" s="59"/>
    </row>
    <row r="21" spans="1:10" ht="25.35" customHeight="1">
      <c r="A21" s="501" t="s">
        <v>35</v>
      </c>
      <c r="B21" s="1167">
        <v>151429109.92829999</v>
      </c>
      <c r="C21" s="1168">
        <v>36629438</v>
      </c>
      <c r="D21" s="87">
        <f t="shared" si="0"/>
        <v>188058547.92829999</v>
      </c>
      <c r="E21" s="529"/>
      <c r="F21" s="59"/>
      <c r="G21" s="59"/>
      <c r="I21" s="59"/>
      <c r="J21" s="59"/>
    </row>
    <row r="22" spans="1:10" ht="25.35" customHeight="1">
      <c r="A22" s="501" t="s">
        <v>36</v>
      </c>
      <c r="B22" s="1167">
        <v>7283864.2276000008</v>
      </c>
      <c r="C22" s="1168">
        <v>1541928</v>
      </c>
      <c r="D22" s="87">
        <f t="shared" si="0"/>
        <v>8825792.2276000008</v>
      </c>
      <c r="E22" s="529"/>
      <c r="F22" s="59"/>
      <c r="G22" s="59"/>
      <c r="I22" s="59"/>
      <c r="J22" s="59"/>
    </row>
    <row r="23" spans="1:10" ht="25.35" customHeight="1">
      <c r="A23" s="501" t="s">
        <v>37</v>
      </c>
      <c r="B23" s="1167">
        <v>17597037.0526</v>
      </c>
      <c r="C23" s="1168">
        <v>4074354</v>
      </c>
      <c r="D23" s="87">
        <f t="shared" si="0"/>
        <v>21671391.0526</v>
      </c>
      <c r="E23" s="529"/>
      <c r="F23" s="59"/>
      <c r="G23" s="59"/>
      <c r="I23" s="59"/>
      <c r="J23" s="59"/>
    </row>
    <row r="24" spans="1:10" ht="25.35" customHeight="1">
      <c r="A24" s="501" t="s">
        <v>38</v>
      </c>
      <c r="B24" s="1167">
        <v>58747439.630400002</v>
      </c>
      <c r="C24" s="1168">
        <v>12285532</v>
      </c>
      <c r="D24" s="87">
        <f t="shared" si="0"/>
        <v>71032971.630400002</v>
      </c>
      <c r="E24" s="529"/>
      <c r="F24" s="59"/>
      <c r="G24" s="59"/>
      <c r="I24" s="59"/>
      <c r="J24" s="59"/>
    </row>
    <row r="25" spans="1:10" ht="25.35" customHeight="1">
      <c r="A25" s="501" t="s">
        <v>39</v>
      </c>
      <c r="B25" s="1167">
        <v>40593262.803199999</v>
      </c>
      <c r="C25" s="1168">
        <v>5931856</v>
      </c>
      <c r="D25" s="87">
        <f t="shared" si="0"/>
        <v>46525118.803199999</v>
      </c>
      <c r="E25" s="529"/>
      <c r="F25" s="59"/>
      <c r="G25" s="59"/>
      <c r="I25" s="59"/>
      <c r="J25" s="59"/>
    </row>
    <row r="26" spans="1:10" ht="25.35" customHeight="1">
      <c r="A26" s="501" t="s">
        <v>40</v>
      </c>
      <c r="B26" s="1167">
        <v>32670984.101199999</v>
      </c>
      <c r="C26" s="1168">
        <v>7356570</v>
      </c>
      <c r="D26" s="87">
        <f t="shared" si="0"/>
        <v>40027554.101199999</v>
      </c>
      <c r="E26" s="529"/>
      <c r="F26" s="59"/>
      <c r="G26" s="59"/>
      <c r="I26" s="59"/>
      <c r="J26" s="59"/>
    </row>
    <row r="27" spans="1:10" ht="25.35" customHeight="1">
      <c r="A27" s="501" t="s">
        <v>41</v>
      </c>
      <c r="B27" s="1167">
        <v>46191757.493199997</v>
      </c>
      <c r="C27" s="1168">
        <v>6030014</v>
      </c>
      <c r="D27" s="87">
        <f t="shared" si="0"/>
        <v>52221771.493199997</v>
      </c>
      <c r="E27" s="529"/>
      <c r="F27" s="59"/>
      <c r="G27" s="59"/>
      <c r="I27" s="59"/>
      <c r="J27" s="59"/>
    </row>
    <row r="28" spans="1:10" ht="25.35" customHeight="1">
      <c r="A28" s="501" t="s">
        <v>42</v>
      </c>
      <c r="B28" s="1167">
        <v>21709062.337499999</v>
      </c>
      <c r="C28" s="1168">
        <v>4113436</v>
      </c>
      <c r="D28" s="87">
        <f t="shared" si="0"/>
        <v>25822498.337499999</v>
      </c>
      <c r="E28" s="529"/>
      <c r="F28" s="59"/>
      <c r="G28" s="59"/>
      <c r="I28" s="59"/>
      <c r="J28" s="59"/>
    </row>
    <row r="29" spans="1:10" ht="25.35" customHeight="1">
      <c r="A29" s="501" t="s">
        <v>43</v>
      </c>
      <c r="B29" s="1167">
        <v>71617032.119900003</v>
      </c>
      <c r="C29" s="1168">
        <v>14743060</v>
      </c>
      <c r="D29" s="87">
        <f t="shared" si="0"/>
        <v>86360092.119900003</v>
      </c>
      <c r="E29" s="529"/>
      <c r="F29" s="59"/>
      <c r="G29" s="59"/>
      <c r="I29" s="59"/>
      <c r="J29" s="59"/>
    </row>
    <row r="30" spans="1:10" ht="25.35" customHeight="1">
      <c r="A30" s="501" t="s">
        <v>44</v>
      </c>
      <c r="B30" s="1167">
        <v>38953794.723999999</v>
      </c>
      <c r="C30" s="1168">
        <v>7484787</v>
      </c>
      <c r="D30" s="87">
        <f t="shared" si="0"/>
        <v>46438581.723999999</v>
      </c>
      <c r="E30" s="529"/>
      <c r="F30" s="59"/>
      <c r="G30" s="59"/>
      <c r="I30" s="59"/>
      <c r="J30" s="59"/>
    </row>
    <row r="31" spans="1:10" ht="25.35" customHeight="1">
      <c r="A31" s="501" t="s">
        <v>45</v>
      </c>
      <c r="B31" s="1167">
        <v>41670946.726499997</v>
      </c>
      <c r="C31" s="1168">
        <v>8063557</v>
      </c>
      <c r="D31" s="87">
        <f t="shared" si="0"/>
        <v>49734503.726499997</v>
      </c>
      <c r="E31" s="529"/>
      <c r="F31" s="59"/>
      <c r="G31" s="59"/>
      <c r="I31" s="59"/>
      <c r="J31" s="59"/>
    </row>
    <row r="32" spans="1:10" ht="25.35" customHeight="1">
      <c r="A32" s="501" t="s">
        <v>46</v>
      </c>
      <c r="B32" s="1167">
        <v>17675458.982799999</v>
      </c>
      <c r="C32" s="1168">
        <v>3461595</v>
      </c>
      <c r="D32" s="87">
        <f t="shared" si="0"/>
        <v>21137053.982799999</v>
      </c>
      <c r="E32" s="529"/>
      <c r="F32" s="59"/>
      <c r="G32" s="59"/>
      <c r="I32" s="59" t="s">
        <v>47</v>
      </c>
      <c r="J32" s="59"/>
    </row>
    <row r="33" spans="1:21" ht="25.35" customHeight="1">
      <c r="A33" s="501" t="s">
        <v>48</v>
      </c>
      <c r="B33" s="1167">
        <v>29636356.845799997</v>
      </c>
      <c r="C33" s="1168">
        <v>6733218</v>
      </c>
      <c r="D33" s="87">
        <f t="shared" si="0"/>
        <v>36369574.845799997</v>
      </c>
      <c r="E33" s="529"/>
      <c r="F33" s="59"/>
      <c r="G33" s="59"/>
      <c r="I33" s="529"/>
      <c r="J33" s="59"/>
      <c r="K33" s="529"/>
    </row>
    <row r="34" spans="1:21" ht="25.35" customHeight="1" thickBot="1">
      <c r="A34" s="502" t="s">
        <v>49</v>
      </c>
      <c r="B34" s="1167">
        <v>88194296.761600003</v>
      </c>
      <c r="C34" s="1168">
        <v>14647340</v>
      </c>
      <c r="D34" s="88">
        <f t="shared" si="0"/>
        <v>102841636.7616</v>
      </c>
      <c r="E34" s="529"/>
      <c r="F34" s="59"/>
      <c r="G34" s="59"/>
      <c r="I34" s="529"/>
      <c r="J34" s="59"/>
      <c r="K34" s="529"/>
    </row>
    <row r="35" spans="1:21" ht="25.35" customHeight="1" thickBot="1">
      <c r="A35" s="503" t="s">
        <v>50</v>
      </c>
      <c r="B35" s="554">
        <f>SUM(B7:B34)</f>
        <v>1155621759.0000999</v>
      </c>
      <c r="C35" s="555">
        <f>SUM(C7:C34)</f>
        <v>240982604</v>
      </c>
      <c r="D35" s="518">
        <f>SUM(D7:D34)</f>
        <v>1396604363.0000999</v>
      </c>
      <c r="E35" s="556"/>
      <c r="F35" s="60"/>
      <c r="G35" s="59"/>
      <c r="H35" s="59"/>
      <c r="I35" s="529"/>
      <c r="J35" s="59"/>
      <c r="K35" s="529"/>
      <c r="L35" s="530"/>
    </row>
    <row r="36" spans="1:21" ht="19.350000000000001" customHeight="1">
      <c r="A36" s="1324" t="s">
        <v>51</v>
      </c>
      <c r="B36" s="1324"/>
      <c r="C36" s="1324"/>
      <c r="D36" s="1324"/>
      <c r="E36" s="607"/>
      <c r="F36" s="24"/>
      <c r="K36" s="529"/>
    </row>
    <row r="37" spans="1:21" ht="44.45" customHeight="1">
      <c r="A37" s="1325" t="s">
        <v>796</v>
      </c>
      <c r="B37" s="1325"/>
      <c r="C37" s="1325"/>
      <c r="D37" s="1325"/>
      <c r="E37" s="606"/>
      <c r="F37" s="24"/>
      <c r="K37" s="529"/>
    </row>
    <row r="38" spans="1:21" ht="26.45" customHeight="1">
      <c r="A38" s="1283"/>
      <c r="B38" s="1283"/>
      <c r="C38" s="1283"/>
      <c r="D38" s="1283"/>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8" t="s">
        <v>759</v>
      </c>
      <c r="B40" s="1161" t="s">
        <v>794</v>
      </c>
      <c r="C40" s="1162"/>
      <c r="D40" s="1162"/>
      <c r="E40" s="1163"/>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70" t="str">
        <f>A10</f>
        <v>Chipola College</v>
      </c>
      <c r="B43" s="780" t="s">
        <v>56</v>
      </c>
      <c r="C43" s="781">
        <v>200000</v>
      </c>
      <c r="D43" s="781"/>
      <c r="E43" s="782">
        <f t="shared" ref="E43:E62" si="1">C43+D43</f>
        <v>200000</v>
      </c>
    </row>
    <row r="44" spans="1:21" ht="42">
      <c r="A44" s="1171" t="s">
        <v>23</v>
      </c>
      <c r="B44" s="1326" t="s">
        <v>778</v>
      </c>
      <c r="C44" s="1252"/>
      <c r="D44" s="1252">
        <v>375000</v>
      </c>
      <c r="E44" s="782">
        <f t="shared" si="1"/>
        <v>375000</v>
      </c>
    </row>
    <row r="45" spans="1:21" ht="42">
      <c r="A45" s="1171" t="str">
        <f>A11</f>
        <v>Daytona State College</v>
      </c>
      <c r="B45" s="783" t="s">
        <v>57</v>
      </c>
      <c r="C45" s="781">
        <v>500000</v>
      </c>
      <c r="D45" s="781"/>
      <c r="E45" s="782">
        <f t="shared" si="1"/>
        <v>500000</v>
      </c>
      <c r="H45" s="24"/>
    </row>
    <row r="46" spans="1:21" ht="84.75" customHeight="1">
      <c r="A46" s="1169" t="s">
        <v>25</v>
      </c>
      <c r="B46" s="783" t="s">
        <v>777</v>
      </c>
      <c r="C46" s="781"/>
      <c r="D46" s="781">
        <v>315500</v>
      </c>
      <c r="E46" s="782">
        <f t="shared" si="1"/>
        <v>315500</v>
      </c>
      <c r="H46" s="24"/>
    </row>
    <row r="47" spans="1:21" ht="84.75" customHeight="1">
      <c r="A47" s="1169" t="s">
        <v>25</v>
      </c>
      <c r="B47" s="1251" t="s">
        <v>780</v>
      </c>
      <c r="C47" s="1252"/>
      <c r="D47" s="1252">
        <v>447123</v>
      </c>
      <c r="E47" s="782">
        <f t="shared" si="1"/>
        <v>447123</v>
      </c>
      <c r="H47" s="24"/>
    </row>
    <row r="48" spans="1:21" ht="84.75" customHeight="1">
      <c r="A48" s="1169" t="s">
        <v>21</v>
      </c>
      <c r="B48" s="1251" t="s">
        <v>779</v>
      </c>
      <c r="C48" s="1252"/>
      <c r="D48" s="1252">
        <v>1200000</v>
      </c>
      <c r="E48" s="782">
        <f t="shared" si="1"/>
        <v>1200000</v>
      </c>
      <c r="H48" s="24"/>
    </row>
    <row r="49" spans="1:8" ht="62.45" customHeight="1">
      <c r="A49" s="1169" t="s">
        <v>30</v>
      </c>
      <c r="B49" s="783" t="s">
        <v>58</v>
      </c>
      <c r="C49" s="781">
        <v>2500000</v>
      </c>
      <c r="D49" s="781"/>
      <c r="E49" s="782">
        <f t="shared" si="1"/>
        <v>2500000</v>
      </c>
      <c r="H49" s="24"/>
    </row>
    <row r="50" spans="1:8" ht="62.45" customHeight="1">
      <c r="A50" s="1169" t="s">
        <v>35</v>
      </c>
      <c r="B50" s="1251" t="s">
        <v>782</v>
      </c>
      <c r="C50" s="1252"/>
      <c r="D50" s="1252">
        <v>1000000</v>
      </c>
      <c r="E50" s="782">
        <f t="shared" si="1"/>
        <v>1000000</v>
      </c>
      <c r="H50" s="24"/>
    </row>
    <row r="51" spans="1:8" ht="62.45" customHeight="1">
      <c r="A51" s="1169" t="s">
        <v>35</v>
      </c>
      <c r="B51" s="1251" t="s">
        <v>781</v>
      </c>
      <c r="C51" s="1252"/>
      <c r="D51" s="1252">
        <v>600050</v>
      </c>
      <c r="E51" s="782">
        <f t="shared" si="1"/>
        <v>600050</v>
      </c>
      <c r="H51" s="24"/>
    </row>
    <row r="52" spans="1:8" ht="62.45" customHeight="1">
      <c r="A52" s="1169" t="s">
        <v>36</v>
      </c>
      <c r="B52" s="1251" t="s">
        <v>783</v>
      </c>
      <c r="C52" s="1252"/>
      <c r="D52" s="1252">
        <v>400000</v>
      </c>
      <c r="E52" s="782">
        <f t="shared" si="1"/>
        <v>400000</v>
      </c>
      <c r="H52" s="24"/>
    </row>
    <row r="53" spans="1:8" ht="62.45" customHeight="1">
      <c r="A53" s="1169" t="s">
        <v>37</v>
      </c>
      <c r="B53" s="1251" t="s">
        <v>784</v>
      </c>
      <c r="C53" s="1252"/>
      <c r="D53" s="1252">
        <v>500000</v>
      </c>
      <c r="E53" s="782">
        <f t="shared" si="1"/>
        <v>500000</v>
      </c>
      <c r="H53" s="24"/>
    </row>
    <row r="54" spans="1:8" ht="62.45" customHeight="1">
      <c r="A54" s="1169" t="s">
        <v>39</v>
      </c>
      <c r="B54" s="1251" t="s">
        <v>785</v>
      </c>
      <c r="C54" s="1252"/>
      <c r="D54" s="1252">
        <v>400000</v>
      </c>
      <c r="E54" s="782">
        <f t="shared" si="1"/>
        <v>400000</v>
      </c>
      <c r="H54" s="24"/>
    </row>
    <row r="55" spans="1:8">
      <c r="A55" s="1169" t="str">
        <f>A25</f>
        <v>Pasco-Hernando State College</v>
      </c>
      <c r="B55" s="783" t="s">
        <v>59</v>
      </c>
      <c r="C55" s="781">
        <v>2306271</v>
      </c>
      <c r="D55" s="781"/>
      <c r="E55" s="782">
        <f t="shared" si="1"/>
        <v>2306271</v>
      </c>
      <c r="H55" s="24"/>
    </row>
    <row r="56" spans="1:8">
      <c r="A56" s="1330" t="s">
        <v>786</v>
      </c>
      <c r="B56" s="1251" t="s">
        <v>787</v>
      </c>
      <c r="C56" s="1252"/>
      <c r="D56" s="1252">
        <v>765645</v>
      </c>
      <c r="E56" s="782">
        <f t="shared" si="1"/>
        <v>765645</v>
      </c>
      <c r="H56" s="24"/>
    </row>
    <row r="57" spans="1:8" ht="42">
      <c r="A57" s="1328" t="s">
        <v>788</v>
      </c>
      <c r="B57" s="1251" t="s">
        <v>789</v>
      </c>
      <c r="C57" s="1252"/>
      <c r="D57" s="1252">
        <v>5000000</v>
      </c>
      <c r="E57" s="782">
        <f t="shared" si="1"/>
        <v>5000000</v>
      </c>
      <c r="H57" s="24"/>
    </row>
    <row r="58" spans="1:8" ht="42">
      <c r="A58" s="1327" t="s">
        <v>727</v>
      </c>
      <c r="B58" s="1251" t="s">
        <v>790</v>
      </c>
      <c r="C58" s="1252"/>
      <c r="D58" s="1252">
        <v>756722</v>
      </c>
      <c r="E58" s="782">
        <f t="shared" si="1"/>
        <v>756722</v>
      </c>
      <c r="H58" s="24"/>
    </row>
    <row r="59" spans="1:8" ht="63">
      <c r="A59" s="1172" t="s">
        <v>43</v>
      </c>
      <c r="B59" s="783" t="s">
        <v>791</v>
      </c>
      <c r="C59" s="781"/>
      <c r="D59" s="781">
        <v>955600</v>
      </c>
      <c r="E59" s="782">
        <f t="shared" si="1"/>
        <v>955600</v>
      </c>
      <c r="H59" s="24"/>
    </row>
    <row r="60" spans="1:8" ht="62.45" customHeight="1">
      <c r="A60" s="1172" t="s">
        <v>46</v>
      </c>
      <c r="B60" s="1251" t="s">
        <v>723</v>
      </c>
      <c r="C60" s="1252"/>
      <c r="D60" s="1252">
        <v>1400000</v>
      </c>
      <c r="E60" s="782">
        <f t="shared" si="1"/>
        <v>1400000</v>
      </c>
      <c r="H60" s="24"/>
    </row>
    <row r="61" spans="1:8" ht="86.25" customHeight="1">
      <c r="A61" s="1172" t="s">
        <v>60</v>
      </c>
      <c r="B61" s="1251" t="s">
        <v>792</v>
      </c>
      <c r="C61" s="1252"/>
      <c r="D61" s="1252">
        <v>50000</v>
      </c>
      <c r="E61" s="782">
        <f t="shared" si="1"/>
        <v>50000</v>
      </c>
      <c r="H61" s="24"/>
    </row>
    <row r="62" spans="1:8" ht="86.25" customHeight="1" thickBot="1">
      <c r="A62" s="1327" t="s">
        <v>49</v>
      </c>
      <c r="B62" s="730" t="s">
        <v>793</v>
      </c>
      <c r="C62" s="731"/>
      <c r="D62" s="731">
        <v>1000000</v>
      </c>
      <c r="E62" s="1329">
        <f t="shared" si="1"/>
        <v>1000000</v>
      </c>
      <c r="H62" s="24"/>
    </row>
    <row r="63" spans="1:8" ht="24.6" customHeight="1" thickBot="1">
      <c r="A63" s="78" t="s">
        <v>55</v>
      </c>
      <c r="B63" s="500"/>
      <c r="C63" s="552">
        <f>SUM(C43:C62)</f>
        <v>5506271</v>
      </c>
      <c r="D63" s="552">
        <f>SUM(D43:D62)</f>
        <v>15165640</v>
      </c>
      <c r="E63" s="553">
        <f>SUM(E43:E62)</f>
        <v>20671911</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738</v>
      </c>
      <c r="B67" s="505" t="str">
        <f>B3</f>
        <v>Date Updated:   05.03.22    BY:  EN</v>
      </c>
      <c r="C67" s="53" t="s">
        <v>10</v>
      </c>
      <c r="D67" s="53"/>
      <c r="F67" s="24"/>
      <c r="G67" s="24"/>
      <c r="H67" s="24"/>
    </row>
    <row r="68" spans="1:13" ht="45" customHeight="1" thickBot="1">
      <c r="A68" s="1276" t="s">
        <v>728</v>
      </c>
      <c r="B68" s="1277"/>
      <c r="C68" s="506"/>
      <c r="H68" s="24"/>
    </row>
    <row r="69" spans="1:13" ht="37.35" customHeight="1" thickBot="1">
      <c r="A69" s="462" t="s">
        <v>17</v>
      </c>
      <c r="B69" s="584" t="s">
        <v>50</v>
      </c>
      <c r="C69" s="25"/>
      <c r="D69" s="28"/>
      <c r="H69" s="24"/>
    </row>
    <row r="70" spans="1:13" ht="25.35" customHeight="1">
      <c r="A70" s="526" t="str">
        <f>A11</f>
        <v>Daytona State College</v>
      </c>
      <c r="B70" s="784">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5" customHeight="1" thickBot="1">
      <c r="A75" s="47" t="s">
        <v>760</v>
      </c>
      <c r="B75" s="1280" t="s">
        <v>767</v>
      </c>
      <c r="C75" s="1281"/>
      <c r="D75" s="1281"/>
      <c r="E75" s="1282"/>
      <c r="F75" s="21"/>
      <c r="G75" s="53"/>
      <c r="H75" s="24"/>
    </row>
    <row r="76" spans="1:13" ht="87.6" customHeight="1" thickBot="1">
      <c r="A76" s="50" t="s">
        <v>17</v>
      </c>
      <c r="B76" s="30" t="s">
        <v>797</v>
      </c>
      <c r="C76" s="49" t="s">
        <v>63</v>
      </c>
      <c r="D76" s="31" t="s">
        <v>64</v>
      </c>
      <c r="E76" s="32" t="s">
        <v>65</v>
      </c>
      <c r="F76" s="30" t="s">
        <v>66</v>
      </c>
      <c r="G76" s="25"/>
      <c r="H76" s="24"/>
    </row>
    <row r="77" spans="1:13" ht="25.35" customHeight="1">
      <c r="A77" s="785" t="str">
        <f t="shared" ref="A77:A104" si="2">A7</f>
        <v>Eastern Florida State College</v>
      </c>
      <c r="B77" s="531">
        <v>18754321.203717429</v>
      </c>
      <c r="C77" s="531">
        <f t="shared" ref="C77:C104" si="3">B77*0.05</f>
        <v>937716.06018587155</v>
      </c>
      <c r="D77" s="1335">
        <f t="shared" ref="D77:D104" si="4">IF(C77&gt;500000,0,1)</f>
        <v>0</v>
      </c>
      <c r="E77" s="532">
        <f t="shared" ref="E77:E104" si="5">IF(D77&lt;1,0,B77*0.02)</f>
        <v>0</v>
      </c>
      <c r="F77" s="531">
        <f>C77+E77</f>
        <v>937716.06018587155</v>
      </c>
      <c r="H77" s="24"/>
      <c r="I77" s="24"/>
      <c r="J77" s="24"/>
      <c r="K77" s="24"/>
      <c r="L77" s="24"/>
      <c r="M77" s="24"/>
    </row>
    <row r="78" spans="1:13" ht="25.35"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3" t="s">
        <v>768</v>
      </c>
      <c r="B108" s="1263"/>
      <c r="C108" s="1263"/>
      <c r="D108" s="1263"/>
      <c r="E108" s="1263"/>
      <c r="F108" s="1263"/>
      <c r="G108" s="1263"/>
      <c r="H108" s="1263"/>
      <c r="I108" s="1263"/>
      <c r="J108" s="1263"/>
      <c r="K108" s="1263"/>
      <c r="L108" s="1263"/>
      <c r="M108" s="1263"/>
      <c r="N108" s="1263"/>
      <c r="O108" s="1263"/>
      <c r="P108" s="1263"/>
      <c r="Q108" s="1263"/>
      <c r="R108" s="1263"/>
    </row>
    <row r="109" spans="1:19" ht="20.100000000000001" customHeight="1">
      <c r="A109" s="1261" t="s">
        <v>68</v>
      </c>
      <c r="B109" s="1261"/>
      <c r="C109" s="1261"/>
      <c r="D109" s="1261"/>
      <c r="E109" s="1261"/>
      <c r="F109" s="1261"/>
      <c r="G109" s="1261"/>
      <c r="H109" s="1261"/>
      <c r="I109" s="1261"/>
      <c r="J109" s="1261"/>
      <c r="K109" s="1261"/>
      <c r="L109" s="1261"/>
      <c r="M109" s="1261"/>
      <c r="N109" s="1261"/>
      <c r="O109" s="1261"/>
      <c r="P109" s="1261"/>
      <c r="Q109" s="1261"/>
      <c r="R109" s="1261"/>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61" t="s">
        <v>70</v>
      </c>
      <c r="B111" s="1261"/>
      <c r="C111" s="1261"/>
      <c r="D111" s="1261"/>
      <c r="E111" s="1261"/>
      <c r="F111" s="1261"/>
      <c r="G111" s="1261"/>
      <c r="H111" s="1261"/>
      <c r="I111" s="1261"/>
      <c r="J111" s="1261"/>
      <c r="K111" s="1261"/>
      <c r="L111" s="1261"/>
      <c r="M111" s="1261"/>
      <c r="N111" s="1261"/>
      <c r="O111" s="1261"/>
      <c r="P111" s="1261"/>
      <c r="Q111" s="1261"/>
      <c r="R111" s="1261"/>
    </row>
    <row r="112" spans="1:19" ht="20.100000000000001" customHeight="1">
      <c r="A112" s="1261"/>
      <c r="B112" s="1261"/>
      <c r="C112" s="1261"/>
      <c r="D112" s="1261"/>
      <c r="E112" s="1261"/>
      <c r="F112" s="1261"/>
      <c r="G112" s="1261"/>
    </row>
    <row r="113" spans="1:54" ht="32.450000000000003" customHeight="1" thickBot="1">
      <c r="E113" s="599"/>
      <c r="F113" s="599"/>
      <c r="G113" s="599"/>
      <c r="H113" s="27"/>
      <c r="I113" s="27"/>
      <c r="J113" s="27"/>
      <c r="K113" s="27"/>
    </row>
    <row r="114" spans="1:54" ht="43.35" customHeight="1" thickBot="1">
      <c r="A114" s="58" t="s">
        <v>761</v>
      </c>
      <c r="B114" s="1256" t="s">
        <v>774</v>
      </c>
      <c r="C114" s="1257"/>
      <c r="D114" s="1258"/>
      <c r="E114" s="1259" t="s">
        <v>71</v>
      </c>
      <c r="F114" s="1259"/>
      <c r="G114" s="1259"/>
      <c r="H114" s="1259"/>
      <c r="I114" s="1259"/>
      <c r="J114" s="1259"/>
      <c r="K114" s="1259"/>
      <c r="L114" s="1259"/>
      <c r="M114" s="1259"/>
      <c r="N114" s="1259"/>
      <c r="O114" s="1259"/>
      <c r="P114" s="1259"/>
      <c r="Q114" s="1259"/>
      <c r="R114" s="1259"/>
      <c r="S114" s="1260"/>
      <c r="T114" s="764"/>
      <c r="U114" s="764"/>
      <c r="AC114" s="22"/>
      <c r="AD114" s="37"/>
      <c r="AK114" s="497"/>
    </row>
    <row r="115" spans="1:54" ht="39" customHeight="1" thickBot="1">
      <c r="A115" s="57">
        <v>1</v>
      </c>
      <c r="B115" s="55">
        <v>2</v>
      </c>
      <c r="C115" s="1259">
        <v>3</v>
      </c>
      <c r="D115" s="1260">
        <v>4</v>
      </c>
      <c r="E115" s="1259">
        <v>5</v>
      </c>
      <c r="F115" s="1259">
        <v>6</v>
      </c>
      <c r="G115" s="1259">
        <v>7</v>
      </c>
      <c r="H115" s="1259">
        <v>8</v>
      </c>
      <c r="I115" s="1259">
        <v>9</v>
      </c>
      <c r="J115" s="1259">
        <v>10</v>
      </c>
      <c r="K115" s="1259">
        <v>11</v>
      </c>
      <c r="L115" s="1259">
        <v>12</v>
      </c>
      <c r="M115" s="1259">
        <v>13</v>
      </c>
      <c r="N115" s="1259">
        <v>14</v>
      </c>
      <c r="O115" s="1259">
        <v>15</v>
      </c>
      <c r="P115" s="1259">
        <v>16</v>
      </c>
      <c r="Q115" s="1259">
        <v>17</v>
      </c>
      <c r="R115" s="1259">
        <v>18</v>
      </c>
      <c r="S115" s="1260">
        <v>19</v>
      </c>
      <c r="T115" s="1317" t="s">
        <v>50</v>
      </c>
      <c r="U115" s="38"/>
      <c r="V115" s="55">
        <v>20</v>
      </c>
      <c r="W115" s="1259">
        <v>21</v>
      </c>
      <c r="X115" s="1259">
        <v>22</v>
      </c>
      <c r="Y115" s="71"/>
      <c r="Z115" s="1259">
        <v>23</v>
      </c>
      <c r="AA115" s="1259">
        <v>24</v>
      </c>
      <c r="AB115" s="1260">
        <v>25</v>
      </c>
      <c r="AC115" s="40"/>
      <c r="AD115" s="37"/>
    </row>
    <row r="116" spans="1:54" ht="29.45" customHeight="1" thickBot="1">
      <c r="A116" s="67" t="s">
        <v>73</v>
      </c>
      <c r="B116" s="1331" t="s">
        <v>74</v>
      </c>
      <c r="C116" s="1332"/>
      <c r="D116" s="1333"/>
      <c r="E116" s="39"/>
      <c r="G116" s="1286"/>
      <c r="H116" s="1286"/>
      <c r="I116" s="1286"/>
      <c r="J116" s="1286" t="s">
        <v>75</v>
      </c>
      <c r="K116" s="1286"/>
      <c r="L116" s="1286"/>
      <c r="M116" s="1286"/>
      <c r="N116" s="1286"/>
      <c r="O116" s="1286"/>
      <c r="P116" s="1286"/>
      <c r="Q116" s="1311" t="s">
        <v>76</v>
      </c>
      <c r="R116" s="1312"/>
      <c r="S116" s="1313"/>
      <c r="T116" s="1318" t="s">
        <v>769</v>
      </c>
      <c r="U116" s="41"/>
      <c r="V116" s="42"/>
      <c r="W116" s="43"/>
      <c r="X116" s="44"/>
      <c r="Y116" s="72"/>
      <c r="Z116" s="1289"/>
      <c r="AA116" s="1290"/>
      <c r="AB116" s="1291"/>
      <c r="AC116" s="22"/>
      <c r="AD116" s="729" t="s">
        <v>770</v>
      </c>
      <c r="AF116" s="36"/>
      <c r="AG116" s="37"/>
    </row>
    <row r="117" spans="1:54" ht="66" customHeight="1" thickBot="1">
      <c r="A117" s="45"/>
      <c r="B117" s="1268" t="s">
        <v>77</v>
      </c>
      <c r="C117" s="1269"/>
      <c r="D117" s="1270"/>
      <c r="E117" s="1268" t="s">
        <v>78</v>
      </c>
      <c r="F117" s="1269"/>
      <c r="G117" s="1270"/>
      <c r="H117" s="1268" t="s">
        <v>79</v>
      </c>
      <c r="I117" s="1269"/>
      <c r="J117" s="1270"/>
      <c r="K117" s="1271" t="s">
        <v>80</v>
      </c>
      <c r="L117" s="1271"/>
      <c r="M117" s="1271"/>
      <c r="N117" s="1272" t="s">
        <v>81</v>
      </c>
      <c r="O117" s="1273"/>
      <c r="P117" s="1274"/>
      <c r="Q117" s="1314" t="s">
        <v>82</v>
      </c>
      <c r="R117" s="1315"/>
      <c r="S117" s="1316"/>
      <c r="T117" s="1287" t="s">
        <v>83</v>
      </c>
      <c r="U117" s="26"/>
      <c r="V117" s="1265" t="s">
        <v>84</v>
      </c>
      <c r="W117" s="1266"/>
      <c r="X117" s="1275"/>
      <c r="Y117" s="1319"/>
      <c r="Z117" s="1265" t="s">
        <v>85</v>
      </c>
      <c r="AA117" s="1266"/>
      <c r="AB117" s="1267"/>
      <c r="AC117" s="27"/>
      <c r="AD117" s="54" t="s">
        <v>86</v>
      </c>
      <c r="AF117" s="22"/>
      <c r="AG117" s="24"/>
      <c r="AI117" s="1320" t="s">
        <v>771</v>
      </c>
      <c r="AJ117" s="1320"/>
      <c r="AK117" s="1320"/>
      <c r="AL117" s="1320"/>
      <c r="AM117" s="1320"/>
      <c r="AN117" s="1320"/>
      <c r="AO117" s="1320"/>
      <c r="AP117" s="27"/>
      <c r="AS117" s="27"/>
      <c r="AT117" s="27"/>
    </row>
    <row r="118" spans="1:54" ht="87" customHeight="1" thickBot="1">
      <c r="A118" s="50" t="s">
        <v>17</v>
      </c>
      <c r="B118" s="1179" t="s">
        <v>87</v>
      </c>
      <c r="C118" s="495"/>
      <c r="D118" s="704" t="s">
        <v>55</v>
      </c>
      <c r="E118" s="1178" t="s">
        <v>87</v>
      </c>
      <c r="F118" s="1177" t="s">
        <v>88</v>
      </c>
      <c r="G118" s="68" t="s">
        <v>55</v>
      </c>
      <c r="H118" s="1180" t="s">
        <v>87</v>
      </c>
      <c r="I118" s="1181" t="s">
        <v>88</v>
      </c>
      <c r="J118" s="70" t="s">
        <v>55</v>
      </c>
      <c r="K118" s="1182" t="s">
        <v>87</v>
      </c>
      <c r="L118" s="1183" t="s">
        <v>88</v>
      </c>
      <c r="M118" s="740" t="s">
        <v>55</v>
      </c>
      <c r="N118" s="1184" t="s">
        <v>87</v>
      </c>
      <c r="O118" s="1183" t="s">
        <v>88</v>
      </c>
      <c r="P118" s="673" t="s">
        <v>55</v>
      </c>
      <c r="Q118" s="1184" t="s">
        <v>87</v>
      </c>
      <c r="R118" s="1177" t="s">
        <v>88</v>
      </c>
      <c r="S118" s="70" t="s">
        <v>55</v>
      </c>
      <c r="T118" s="1288"/>
      <c r="V118" s="1185" t="s">
        <v>87</v>
      </c>
      <c r="W118" s="1186" t="s">
        <v>88</v>
      </c>
      <c r="X118" s="788" t="s">
        <v>55</v>
      </c>
      <c r="Y118" s="69"/>
      <c r="Z118" s="46" t="s">
        <v>87</v>
      </c>
      <c r="AA118" s="1187" t="s">
        <v>88</v>
      </c>
      <c r="AB118" s="95" t="s">
        <v>55</v>
      </c>
      <c r="AD118" s="50" t="s">
        <v>17</v>
      </c>
      <c r="AE118" s="1188" t="s">
        <v>89</v>
      </c>
      <c r="AF118" s="1189"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4"/>
      <c r="D119" s="1173">
        <f t="shared" ref="D119:D146" si="8">B119+C119</f>
        <v>1010</v>
      </c>
      <c r="E119" s="1292">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5" t="s">
        <v>92</v>
      </c>
      <c r="AJ119" s="1285"/>
      <c r="AK119" s="1285"/>
      <c r="AL119" s="1285"/>
      <c r="AM119" s="1285"/>
      <c r="AN119" s="1285"/>
      <c r="AO119" s="52">
        <f>X147+AB147</f>
        <v>2336</v>
      </c>
      <c r="AP119" s="27"/>
      <c r="AR119" s="48"/>
      <c r="AS119" s="48"/>
      <c r="AT119" s="48"/>
      <c r="AU119" s="27"/>
      <c r="AY119" s="27"/>
      <c r="AZ119" s="27"/>
      <c r="BA119" s="27"/>
      <c r="BB119" s="27"/>
    </row>
    <row r="120" spans="1:54" ht="25.35" customHeight="1">
      <c r="A120" s="791" t="str">
        <f t="shared" si="7"/>
        <v>Broward College</v>
      </c>
      <c r="B120" s="761">
        <v>1229</v>
      </c>
      <c r="C120" s="768"/>
      <c r="D120" s="1174">
        <f t="shared" si="8"/>
        <v>1229</v>
      </c>
      <c r="E120" s="1293">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5" t="s">
        <v>93</v>
      </c>
      <c r="AJ120" s="1285"/>
      <c r="AK120" s="1285"/>
      <c r="AL120" s="1285"/>
      <c r="AM120" s="1285"/>
      <c r="AN120" s="1285"/>
      <c r="AO120" s="598">
        <v>28840.787736365251</v>
      </c>
      <c r="AP120" s="27"/>
      <c r="AR120" s="517"/>
      <c r="AS120" s="517"/>
      <c r="AT120" s="517"/>
      <c r="AU120" s="517"/>
      <c r="AV120" s="517"/>
      <c r="AW120" s="517"/>
      <c r="AX120" s="517"/>
      <c r="AY120" s="27"/>
      <c r="AZ120" s="27"/>
      <c r="BA120" s="27"/>
      <c r="BB120" s="27"/>
    </row>
    <row r="121" spans="1:54" ht="25.35" customHeight="1">
      <c r="A121" s="797" t="str">
        <f t="shared" si="7"/>
        <v>College of Central Florida</v>
      </c>
      <c r="B121" s="761">
        <v>294</v>
      </c>
      <c r="C121" s="768"/>
      <c r="D121" s="1174">
        <f t="shared" si="8"/>
        <v>294</v>
      </c>
      <c r="E121" s="1293">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5" t="s">
        <v>94</v>
      </c>
      <c r="AJ121" s="1285"/>
      <c r="AK121" s="1285"/>
      <c r="AL121" s="1285"/>
      <c r="AM121" s="1285"/>
      <c r="AN121" s="1285"/>
      <c r="AO121" s="716">
        <f>4262-0</f>
        <v>4262</v>
      </c>
      <c r="AP121" s="27"/>
      <c r="AR121" s="27"/>
      <c r="AS121" s="27"/>
      <c r="AT121" s="27"/>
      <c r="AU121" s="27"/>
      <c r="AV121" s="27"/>
      <c r="AW121" s="27"/>
      <c r="AX121" s="27"/>
      <c r="AY121" s="27"/>
      <c r="AZ121" s="27"/>
      <c r="BA121" s="27"/>
      <c r="BB121" s="27"/>
    </row>
    <row r="122" spans="1:54" ht="25.35" customHeight="1">
      <c r="A122" s="797" t="str">
        <f t="shared" si="7"/>
        <v>Chipola College</v>
      </c>
      <c r="B122" s="761">
        <v>153</v>
      </c>
      <c r="C122" s="768"/>
      <c r="D122" s="1174">
        <f t="shared" si="8"/>
        <v>153</v>
      </c>
      <c r="E122" s="1293">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7" t="str">
        <f t="shared" si="7"/>
        <v>Daytona State College</v>
      </c>
      <c r="B123" s="761">
        <v>912</v>
      </c>
      <c r="C123" s="768"/>
      <c r="D123" s="1174">
        <f t="shared" si="8"/>
        <v>912</v>
      </c>
      <c r="E123" s="1293">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35" customHeight="1">
      <c r="A124" s="797" t="str">
        <f t="shared" si="7"/>
        <v>Florida SouthWestern State College</v>
      </c>
      <c r="B124" s="761">
        <v>594</v>
      </c>
      <c r="C124" s="768"/>
      <c r="D124" s="1174">
        <f t="shared" si="8"/>
        <v>594</v>
      </c>
      <c r="E124" s="1293">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772</v>
      </c>
      <c r="AJ124" s="27"/>
      <c r="AK124" s="27"/>
      <c r="AL124" s="27"/>
      <c r="AM124" s="27"/>
      <c r="AN124" s="27"/>
      <c r="AO124" s="598">
        <v>275644</v>
      </c>
      <c r="AR124" s="48"/>
      <c r="AS124" s="48"/>
      <c r="AT124" s="27"/>
      <c r="AU124" s="27"/>
      <c r="AV124" s="27"/>
      <c r="AW124" s="27"/>
    </row>
    <row r="125" spans="1:54" ht="25.35" customHeight="1">
      <c r="A125" s="797" t="str">
        <f t="shared" si="7"/>
        <v>Florida State College at Jacksonville</v>
      </c>
      <c r="B125" s="761">
        <v>1626</v>
      </c>
      <c r="C125" s="768"/>
      <c r="D125" s="1174">
        <f t="shared" si="8"/>
        <v>1626</v>
      </c>
      <c r="E125" s="1293">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35" customHeight="1">
      <c r="A126" s="797" t="str">
        <f t="shared" si="7"/>
        <v>College of the Florida Keys</v>
      </c>
      <c r="B126" s="761">
        <v>53</v>
      </c>
      <c r="C126" s="768"/>
      <c r="D126" s="1174">
        <f t="shared" si="8"/>
        <v>53</v>
      </c>
      <c r="E126" s="1293">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4" t="s">
        <v>95</v>
      </c>
      <c r="AJ126" s="1284"/>
      <c r="AK126" s="1284"/>
      <c r="AL126" s="1284"/>
      <c r="AM126" s="1284"/>
      <c r="AN126" s="1284"/>
      <c r="AO126" s="498">
        <f>AO124-AO125</f>
        <v>240205.21226363475</v>
      </c>
      <c r="AP126" s="27"/>
      <c r="AQ126" s="27"/>
      <c r="AR126" s="27"/>
      <c r="AS126" s="27"/>
      <c r="AT126" s="27"/>
      <c r="AU126" s="27"/>
    </row>
    <row r="127" spans="1:54" ht="25.35" customHeight="1">
      <c r="A127" s="797" t="str">
        <f t="shared" si="7"/>
        <v>Gulf Coast State College</v>
      </c>
      <c r="B127" s="761">
        <v>133</v>
      </c>
      <c r="C127" s="768"/>
      <c r="D127" s="1174">
        <f t="shared" si="8"/>
        <v>133</v>
      </c>
      <c r="E127" s="1293">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35" customHeight="1">
      <c r="A128" s="797" t="str">
        <f t="shared" si="7"/>
        <v>Hillsborough Community College</v>
      </c>
      <c r="B128" s="761">
        <v>0</v>
      </c>
      <c r="C128" s="768"/>
      <c r="D128" s="1174">
        <f t="shared" si="8"/>
        <v>0</v>
      </c>
      <c r="E128" s="1293">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4" t="s">
        <v>773</v>
      </c>
      <c r="AJ128" s="1284"/>
      <c r="AK128" s="1284"/>
      <c r="AL128" s="1284"/>
      <c r="AM128" s="1284"/>
      <c r="AN128" s="1284"/>
      <c r="AO128" s="499">
        <f>AO122+AO126</f>
        <v>275644</v>
      </c>
      <c r="AP128" s="27"/>
      <c r="AQ128" s="27"/>
      <c r="AR128" s="27"/>
      <c r="AS128" s="27"/>
      <c r="AT128" s="27"/>
      <c r="AU128" s="27"/>
    </row>
    <row r="129" spans="1:47" ht="25.35" customHeight="1">
      <c r="A129" s="797" t="str">
        <f t="shared" si="7"/>
        <v>Indian River State College</v>
      </c>
      <c r="B129" s="761">
        <v>1362</v>
      </c>
      <c r="C129" s="768"/>
      <c r="D129" s="1174">
        <f t="shared" si="8"/>
        <v>1362</v>
      </c>
      <c r="E129" s="1293">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35" customHeight="1">
      <c r="A130" s="797" t="str">
        <f t="shared" si="7"/>
        <v>Florida Gateway College</v>
      </c>
      <c r="B130" s="761">
        <v>95</v>
      </c>
      <c r="C130" s="768"/>
      <c r="D130" s="1174">
        <f t="shared" si="8"/>
        <v>95</v>
      </c>
      <c r="E130" s="1293">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35" customHeight="1">
      <c r="A131" s="797" t="str">
        <f t="shared" si="7"/>
        <v>Lake-Sumter State College</v>
      </c>
      <c r="B131" s="761">
        <v>132</v>
      </c>
      <c r="C131" s="768"/>
      <c r="D131" s="1174">
        <f t="shared" si="8"/>
        <v>132</v>
      </c>
      <c r="E131" s="1293">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35" customHeight="1">
      <c r="A132" s="797" t="str">
        <f t="shared" si="7"/>
        <v>State College of Florida, Manatee-Sarasota</v>
      </c>
      <c r="B132" s="761">
        <v>433</v>
      </c>
      <c r="C132" s="768"/>
      <c r="D132" s="1174">
        <f t="shared" si="8"/>
        <v>433</v>
      </c>
      <c r="E132" s="1293">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35" customHeight="1">
      <c r="A133" s="797" t="str">
        <f t="shared" si="7"/>
        <v>Miami Dade College</v>
      </c>
      <c r="B133" s="761">
        <v>2569</v>
      </c>
      <c r="C133" s="768"/>
      <c r="D133" s="1174">
        <f t="shared" si="8"/>
        <v>2569</v>
      </c>
      <c r="E133" s="1293">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35" customHeight="1">
      <c r="A134" s="797" t="str">
        <f t="shared" si="7"/>
        <v>North Florida College</v>
      </c>
      <c r="B134" s="761">
        <v>31</v>
      </c>
      <c r="C134" s="768"/>
      <c r="D134" s="1174">
        <f t="shared" si="8"/>
        <v>31</v>
      </c>
      <c r="E134" s="1293">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35" customHeight="1">
      <c r="A135" s="797" t="str">
        <f t="shared" si="7"/>
        <v>Northwest Florida State College</v>
      </c>
      <c r="B135" s="761">
        <v>295</v>
      </c>
      <c r="C135" s="768"/>
      <c r="D135" s="1174">
        <f t="shared" si="8"/>
        <v>295</v>
      </c>
      <c r="E135" s="1293">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35" customHeight="1">
      <c r="A136" s="797" t="str">
        <f t="shared" si="7"/>
        <v>Palm Beach State College</v>
      </c>
      <c r="B136" s="761">
        <v>939</v>
      </c>
      <c r="C136" s="768"/>
      <c r="D136" s="1174">
        <f t="shared" si="8"/>
        <v>939</v>
      </c>
      <c r="E136" s="1293">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35" customHeight="1">
      <c r="A137" s="797" t="str">
        <f t="shared" si="7"/>
        <v>Pasco-Hernando State College</v>
      </c>
      <c r="B137" s="761">
        <v>349</v>
      </c>
      <c r="C137" s="768"/>
      <c r="D137" s="1174">
        <f t="shared" si="8"/>
        <v>349</v>
      </c>
      <c r="E137" s="1293">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35" customHeight="1">
      <c r="A138" s="797" t="str">
        <f t="shared" si="7"/>
        <v>Pensacola State College</v>
      </c>
      <c r="B138" s="761">
        <v>434</v>
      </c>
      <c r="C138" s="768"/>
      <c r="D138" s="1174">
        <f t="shared" si="8"/>
        <v>434</v>
      </c>
      <c r="E138" s="1293">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35" customHeight="1">
      <c r="A139" s="797" t="str">
        <f t="shared" si="7"/>
        <v>Polk State College</v>
      </c>
      <c r="B139" s="761">
        <v>722</v>
      </c>
      <c r="C139" s="768"/>
      <c r="D139" s="1174">
        <f t="shared" si="8"/>
        <v>722</v>
      </c>
      <c r="E139" s="1293">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35" customHeight="1">
      <c r="A140" s="797" t="str">
        <f t="shared" si="7"/>
        <v>St. Johns River State College</v>
      </c>
      <c r="B140" s="761">
        <v>237</v>
      </c>
      <c r="C140" s="768"/>
      <c r="D140" s="1174">
        <f t="shared" si="8"/>
        <v>237</v>
      </c>
      <c r="E140" s="1293">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35" customHeight="1">
      <c r="A141" s="797" t="str">
        <f t="shared" si="7"/>
        <v>St. Petersburg College</v>
      </c>
      <c r="B141" s="761">
        <v>2389</v>
      </c>
      <c r="C141" s="768"/>
      <c r="D141" s="1174">
        <f t="shared" si="8"/>
        <v>2389</v>
      </c>
      <c r="E141" s="1293">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35" customHeight="1">
      <c r="A142" s="797" t="str">
        <f t="shared" si="7"/>
        <v>Santa Fe College</v>
      </c>
      <c r="B142" s="761">
        <v>461</v>
      </c>
      <c r="C142" s="768"/>
      <c r="D142" s="1174">
        <f t="shared" si="8"/>
        <v>461</v>
      </c>
      <c r="E142" s="1293">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35" customHeight="1">
      <c r="A143" s="797" t="str">
        <f t="shared" si="7"/>
        <v>Seminole State College of Florida</v>
      </c>
      <c r="B143" s="761">
        <v>850</v>
      </c>
      <c r="C143" s="768"/>
      <c r="D143" s="1174">
        <f t="shared" si="8"/>
        <v>850</v>
      </c>
      <c r="E143" s="1293">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35" customHeight="1">
      <c r="A144" s="797" t="str">
        <f t="shared" si="7"/>
        <v>South Florida State College</v>
      </c>
      <c r="B144" s="761">
        <v>116</v>
      </c>
      <c r="C144" s="768"/>
      <c r="D144" s="1174">
        <f t="shared" si="8"/>
        <v>116</v>
      </c>
      <c r="E144" s="1293">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35" customHeight="1">
      <c r="A145" s="797" t="str">
        <f t="shared" si="7"/>
        <v>Tallahassee Community College</v>
      </c>
      <c r="B145" s="761">
        <v>37</v>
      </c>
      <c r="C145" s="768"/>
      <c r="D145" s="1174">
        <f t="shared" si="8"/>
        <v>37</v>
      </c>
      <c r="E145" s="1293">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35" customHeight="1" thickBot="1">
      <c r="A146" s="798" t="str">
        <f t="shared" si="7"/>
        <v>Valencia College</v>
      </c>
      <c r="B146" s="705">
        <v>1160</v>
      </c>
      <c r="C146" s="741"/>
      <c r="D146" s="1175">
        <f t="shared" si="8"/>
        <v>1160</v>
      </c>
      <c r="E146" s="1294">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6">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731</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775</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79" t="s">
        <v>96</v>
      </c>
      <c r="B151" s="1279"/>
      <c r="C151" s="1279"/>
      <c r="D151" s="1279"/>
      <c r="E151" s="94"/>
    </row>
    <row r="152" spans="1:48">
      <c r="A152" s="1278" t="s">
        <v>97</v>
      </c>
      <c r="B152" s="1278"/>
      <c r="C152" s="1278"/>
      <c r="D152" s="1278"/>
    </row>
    <row r="153" spans="1:48">
      <c r="A153" s="1264" t="s">
        <v>98</v>
      </c>
      <c r="B153" s="1264"/>
      <c r="C153" s="1264"/>
      <c r="D153" s="1264"/>
      <c r="E153" s="1264"/>
    </row>
    <row r="155" spans="1:48" ht="54.6" customHeight="1"/>
    <row r="185" spans="1:6">
      <c r="A185" s="37"/>
      <c r="B185" s="24"/>
      <c r="C185" s="24"/>
      <c r="D185" s="24"/>
      <c r="E185" s="24"/>
      <c r="F185" s="37"/>
    </row>
  </sheetData>
  <sheetProtection algorithmName="SHA-512" hashValue="efuO22Zf8PRHOH3IN26hAO1nXtgvca5amX/VeY6U30XFVfxvwFm34HturmGnfYKJNynnZZmi70S9ta+ffXdY0g==" saltValue="WSrTWrF4VuFBHAdXjF3vCQ=="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defaultGridColor="0" topLeftCell="A79" colorId="22" zoomScale="70" zoomScaleNormal="70" zoomScaleSheetLayoutView="51" zoomScalePageLayoutView="60" workbookViewId="0">
      <selection activeCell="B1" sqref="B1"/>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5" t="s">
        <v>11</v>
      </c>
      <c r="B1" s="1115"/>
      <c r="C1" s="1115"/>
      <c r="D1" s="1115"/>
      <c r="E1" s="1115"/>
      <c r="F1" s="1115"/>
      <c r="G1" s="1115"/>
      <c r="H1" s="994"/>
      <c r="I1" s="994"/>
    </row>
    <row r="2" spans="1:53" ht="20.100000000000001" customHeight="1">
      <c r="A2" s="1115" t="s">
        <v>737</v>
      </c>
      <c r="B2" s="1115"/>
      <c r="C2" s="1115"/>
      <c r="D2" s="1115"/>
      <c r="E2" s="1115"/>
      <c r="F2" s="1115"/>
      <c r="G2" s="1115"/>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5"/>
      <c r="B3" s="1115"/>
      <c r="C3" s="1115"/>
      <c r="D3" s="1115"/>
      <c r="E3" s="1115"/>
      <c r="F3" s="1115"/>
      <c r="G3" s="1115"/>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6" t="s">
        <v>99</v>
      </c>
      <c r="B4" s="1116"/>
      <c r="C4" s="1116"/>
      <c r="D4" s="1116"/>
      <c r="E4" s="1116"/>
      <c r="F4" s="1116"/>
      <c r="G4" s="1116"/>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3" t="s">
        <v>38</v>
      </c>
      <c r="E7" s="1164"/>
      <c r="F7" s="1164"/>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7" t="s">
        <v>807</v>
      </c>
      <c r="D10" s="1117"/>
      <c r="E10" s="1117"/>
      <c r="F10" s="1117"/>
      <c r="G10" s="1117"/>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6" t="s">
        <v>103</v>
      </c>
      <c r="D12" s="996"/>
      <c r="E12" s="996"/>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8" t="s">
        <v>105</v>
      </c>
      <c r="D15" s="998"/>
      <c r="E15" s="99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8"/>
      <c r="B16" s="998"/>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6">
        <f>IF(+'EXHIBIT A'!E44&gt;=0.0499,+'EXHIBIT A'!E44,"PERCENTAGE DOES NOT MEET STATUTORY GUIDELINES")</f>
        <v>0.12227484489276491</v>
      </c>
      <c r="D17" s="1006"/>
      <c r="E17" s="1006"/>
      <c r="F17" s="1006"/>
      <c r="G17" s="1006"/>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8"/>
      <c r="B18" s="998"/>
      <c r="C18" s="1118" t="s">
        <v>106</v>
      </c>
      <c r="D18" s="1118"/>
      <c r="E18" s="1118"/>
      <c r="F18" s="1118"/>
      <c r="G18" s="1118"/>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8"/>
      <c r="B19" s="998"/>
      <c r="C19" s="994"/>
      <c r="D19" s="994"/>
      <c r="E19" s="994"/>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7" t="s">
        <v>108</v>
      </c>
      <c r="D21" s="997"/>
      <c r="E21" s="997"/>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738</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28170</v>
      </c>
      <c r="E44" s="138">
        <f>+'EXHIBIT C'!F10</f>
        <v>29015</v>
      </c>
      <c r="F44" s="139">
        <f t="shared" ref="F44:F50" si="0">IF(D44=0,"0",(E44/D44-1))</f>
        <v>2.9996450124245566E-2</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9">
        <f>VLOOKUP($D$7,VLOOKUP!$A$119:$S$147,5)*30+D69</f>
        <v>359447.90246417717</v>
      </c>
      <c r="E45" s="142">
        <f>+'EXHIBIT C'!F11</f>
        <v>378902</v>
      </c>
      <c r="F45" s="810">
        <f t="shared" si="0"/>
        <v>5.4122161799960988E-2</v>
      </c>
      <c r="G45" s="811" t="str">
        <f t="shared" si="1"/>
        <v>YES</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2" t="s">
        <v>134</v>
      </c>
      <c r="D46" s="813">
        <f>VLOOKUP($D$7,VLOOKUP!$A$119:$S$147,8)*30</f>
        <v>40892.67067176407</v>
      </c>
      <c r="E46" s="814">
        <f>+'EXHIBIT C'!F12</f>
        <v>42118</v>
      </c>
      <c r="F46" s="810">
        <f t="shared" si="0"/>
        <v>2.9964521957280832E-2</v>
      </c>
      <c r="G46" s="811" t="str">
        <f t="shared" si="1"/>
        <v>NO</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2" t="s">
        <v>82</v>
      </c>
      <c r="D47" s="813">
        <f>VLOOKUP($D$7,VLOOKUP!$A$119:$S$147,17)*30</f>
        <v>22858.379956215034</v>
      </c>
      <c r="E47" s="814">
        <f>+'EXHIBIT C'!F13</f>
        <v>23534</v>
      </c>
      <c r="F47" s="810">
        <f t="shared" si="0"/>
        <v>2.9556777211644292E-2</v>
      </c>
      <c r="G47" s="811" t="str">
        <f t="shared" si="1"/>
        <v>NO</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2" t="s">
        <v>135</v>
      </c>
      <c r="D48" s="813">
        <f>VLOOKUP($D$7,VLOOKUP!$A$119:$S$147,11)*30</f>
        <v>10460.586592178772</v>
      </c>
      <c r="E48" s="814">
        <f>+'EXHIBIT C'!F14</f>
        <v>10774</v>
      </c>
      <c r="F48" s="810">
        <f t="shared" si="0"/>
        <v>2.9961360680820892E-2</v>
      </c>
      <c r="G48" s="811" t="str">
        <f t="shared" si="1"/>
        <v>NO</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5" t="s">
        <v>136</v>
      </c>
      <c r="D49" s="816">
        <f>VLOOKUP($D$7,VLOOKUP!$A$119:$S$147,14)*30</f>
        <v>618.03797468354435</v>
      </c>
      <c r="E49" s="817">
        <f>+'EXHIBIT C'!F15</f>
        <v>469</v>
      </c>
      <c r="F49" s="818">
        <f t="shared" si="0"/>
        <v>-0.24114695340501802</v>
      </c>
      <c r="G49" s="819" t="str">
        <f t="shared" si="1"/>
        <v>YES</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462447.57765901863</v>
      </c>
      <c r="E50" s="145">
        <f>+'EXHIBIT C'!F17</f>
        <v>484812</v>
      </c>
      <c r="F50" s="146">
        <f t="shared" si="0"/>
        <v>4.8360989269732091E-2</v>
      </c>
      <c r="G50" s="147" t="str">
        <f t="shared" si="1"/>
        <v>YES</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19" t="s">
        <v>137</v>
      </c>
      <c r="D51" s="1120"/>
      <c r="E51" s="1120"/>
      <c r="F51" s="1120"/>
      <c r="G51" s="1121"/>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3" t="s">
        <v>138</v>
      </c>
      <c r="D52" s="1004"/>
      <c r="E52" s="1004"/>
      <c r="F52" s="1004"/>
      <c r="G52" s="1005"/>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08"/>
      <c r="D53" s="1009"/>
      <c r="E53" s="1009"/>
      <c r="F53" s="1009"/>
      <c r="G53" s="1010"/>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19" t="s">
        <v>813</v>
      </c>
      <c r="D54" s="1011"/>
      <c r="E54" s="1011"/>
      <c r="F54" s="1011"/>
      <c r="G54" s="1012"/>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19" t="s">
        <v>814</v>
      </c>
      <c r="D55" s="1011"/>
      <c r="E55" s="1011"/>
      <c r="F55" s="1011"/>
      <c r="G55" s="1012"/>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19" t="s">
        <v>815</v>
      </c>
      <c r="D56" s="1011"/>
      <c r="E56" s="1011"/>
      <c r="F56" s="1011"/>
      <c r="G56" s="1012"/>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343" t="s">
        <v>816</v>
      </c>
      <c r="D57" s="1011"/>
      <c r="E57" s="1011"/>
      <c r="F57" s="1011"/>
      <c r="G57" s="1012"/>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19" t="s">
        <v>817</v>
      </c>
      <c r="D58" s="1011"/>
      <c r="E58" s="1011"/>
      <c r="F58" s="1011"/>
      <c r="G58" s="1012"/>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19" t="s">
        <v>820</v>
      </c>
      <c r="D59" s="1011"/>
      <c r="E59" s="1011"/>
      <c r="F59" s="1011"/>
      <c r="G59" s="1012"/>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19" t="s">
        <v>821</v>
      </c>
      <c r="D60" s="1011"/>
      <c r="E60" s="1011"/>
      <c r="F60" s="1011"/>
      <c r="G60" s="1012"/>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19" t="s">
        <v>818</v>
      </c>
      <c r="D61" s="1011"/>
      <c r="E61" s="1011"/>
      <c r="F61" s="1011"/>
      <c r="G61" s="1012"/>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3" t="s">
        <v>819</v>
      </c>
      <c r="D62" s="1014"/>
      <c r="E62" s="1014"/>
      <c r="F62" s="1014"/>
      <c r="G62" s="1015"/>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20">
        <f>VLOOKUP($D$7,VLOOKUP!$A$119:$S$147,3)*30</f>
        <v>0</v>
      </c>
      <c r="E68" s="158">
        <f>+'EXHIBIT C'!D19</f>
        <v>950</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20">
        <f>VLOOKUP($D$7,VLOOKUP!$A$119:$S$147,6)*30</f>
        <v>10813.206008467218</v>
      </c>
      <c r="E69" s="159">
        <f>+'EXHIBIT C'!D20</f>
        <v>17089</v>
      </c>
      <c r="F69" s="821">
        <f t="shared" si="2"/>
        <v>0.58038235714907849</v>
      </c>
      <c r="G69" s="822" t="str">
        <f t="shared" ref="G69:G74" si="3">IF(OR(F69&gt;5%, F69&lt;-5%),"YES","NO")</f>
        <v>YES</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2" t="s">
        <v>134</v>
      </c>
      <c r="D70" s="823">
        <f>VLOOKUP($D$7,VLOOKUP!$A$119:$S$147,9)*30</f>
        <v>916.8760240305844</v>
      </c>
      <c r="E70" s="824">
        <f>+'EXHIBIT C'!D21</f>
        <v>962</v>
      </c>
      <c r="F70" s="821">
        <f t="shared" si="2"/>
        <v>4.9214915415773053E-2</v>
      </c>
      <c r="G70" s="822" t="str">
        <f t="shared" si="3"/>
        <v>NO</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2" t="s">
        <v>82</v>
      </c>
      <c r="D71" s="823">
        <f>VLOOKUP($D$7,VLOOKUP!$A$119:$S$147,18)*30</f>
        <v>241.62004378496712</v>
      </c>
      <c r="E71" s="824">
        <f>+'EXHIBIT C'!D22</f>
        <v>253</v>
      </c>
      <c r="F71" s="821">
        <f t="shared" si="2"/>
        <v>4.7098560354374541E-2</v>
      </c>
      <c r="G71" s="822" t="str">
        <f t="shared" si="3"/>
        <v>NO</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2" t="s">
        <v>135</v>
      </c>
      <c r="D72" s="823">
        <f>VLOOKUP($D$7,VLOOKUP!$A$119:$S$147,12)*30</f>
        <v>399.4134078212291</v>
      </c>
      <c r="E72" s="824">
        <f>+'EXHIBIT C'!D23</f>
        <v>419</v>
      </c>
      <c r="F72" s="821">
        <f t="shared" si="2"/>
        <v>4.903839429330703E-2</v>
      </c>
      <c r="G72" s="822" t="str">
        <f t="shared" si="3"/>
        <v>NO</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5" t="s">
        <v>136</v>
      </c>
      <c r="D73" s="825">
        <f>VLOOKUP($D$7,VLOOKUP!$A$119:$S$147,15)*30</f>
        <v>11.962025316455694</v>
      </c>
      <c r="E73" s="826">
        <f>+'EXHIBIT C'!D24</f>
        <v>12</v>
      </c>
      <c r="F73" s="827">
        <f t="shared" si="2"/>
        <v>3.1746031746033854E-3</v>
      </c>
      <c r="G73" s="828"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12383.077509420453</v>
      </c>
      <c r="E74" s="161">
        <f>SUM(E68:E73)</f>
        <v>19685</v>
      </c>
      <c r="F74" s="162">
        <f t="shared" si="2"/>
        <v>0.58966944889302297</v>
      </c>
      <c r="G74" s="163" t="str">
        <f t="shared" si="3"/>
        <v>YES</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19" t="s">
        <v>143</v>
      </c>
      <c r="D75" s="1120"/>
      <c r="E75" s="1120"/>
      <c r="F75" s="1120"/>
      <c r="G75" s="1121"/>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1000" t="s">
        <v>138</v>
      </c>
      <c r="D76" s="1001"/>
      <c r="E76" s="1001"/>
      <c r="F76" s="1001"/>
      <c r="G76" s="1002"/>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16"/>
      <c r="D77" s="1017"/>
      <c r="E77" s="1017"/>
      <c r="F77" s="1017"/>
      <c r="G77" s="1018"/>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19" t="s">
        <v>808</v>
      </c>
      <c r="D78" s="1020"/>
      <c r="E78" s="1020"/>
      <c r="F78" s="1020"/>
      <c r="G78" s="1021"/>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19" t="s">
        <v>814</v>
      </c>
      <c r="D79" s="1020"/>
      <c r="E79" s="1020"/>
      <c r="F79" s="1020"/>
      <c r="G79" s="1021"/>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19" t="s">
        <v>809</v>
      </c>
      <c r="D80" s="1020"/>
      <c r="E80" s="1020"/>
      <c r="F80" s="1020"/>
      <c r="G80" s="1021"/>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343" t="s">
        <v>810</v>
      </c>
      <c r="D81" s="1020"/>
      <c r="E81" s="1020"/>
      <c r="F81" s="1020"/>
      <c r="G81" s="1021"/>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19" t="s">
        <v>811</v>
      </c>
      <c r="D82" s="1020"/>
      <c r="E82" s="1020"/>
      <c r="F82" s="1020"/>
      <c r="G82" s="1021"/>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19" t="s">
        <v>822</v>
      </c>
      <c r="D83" s="1020"/>
      <c r="E83" s="1020"/>
      <c r="F83" s="1020"/>
      <c r="G83" s="1021"/>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19" t="s">
        <v>821</v>
      </c>
      <c r="D84" s="1020"/>
      <c r="E84" s="1020"/>
      <c r="F84" s="1020"/>
      <c r="G84" s="1021"/>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19" t="s">
        <v>812</v>
      </c>
      <c r="D85" s="1020"/>
      <c r="E85" s="1020"/>
      <c r="F85" s="1020"/>
      <c r="G85" s="1021"/>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2"/>
      <c r="D86" s="1023"/>
      <c r="E86" s="1023"/>
      <c r="F86" s="1023"/>
      <c r="G86" s="1024"/>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30" t="str">
        <f>IF('EXHIBIT C'!B60=SUM('EXHIBIT D'!G231+'EXHIBIT D'!G232+'EXHIBIT D'!G233+'EXHIBIT D'!G234+'EXHIBIT D'!G235),"Equal","Not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2" t="s">
        <v>153</v>
      </c>
      <c r="D99" s="1122"/>
      <c r="E99" s="1122"/>
      <c r="F99" s="1122"/>
      <c r="G99" s="1122"/>
      <c r="H99" s="99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1" t="s">
        <v>157</v>
      </c>
      <c r="D102" s="832">
        <f>VLOOKUP($D$7,VLOOKUP!$A$7:$E$35,2)</f>
        <v>58747439.630400002</v>
      </c>
      <c r="E102" s="833">
        <f>+'EXHIBIT D'!G75</f>
        <v>58747439.630400002</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4" t="s">
        <v>158</v>
      </c>
      <c r="D103" s="832">
        <f>E103</f>
        <v>1587716</v>
      </c>
      <c r="E103" s="833">
        <f>'EXHIBIT D'!G77</f>
        <v>1587716</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4" t="s">
        <v>159</v>
      </c>
      <c r="D104" s="832">
        <f>VLOOKUP($D$7,VLOOKUP!$A$7:$E$35,3)</f>
        <v>12285532</v>
      </c>
      <c r="E104" s="833">
        <f>'EXHIBIT D'!G81</f>
        <v>12285532</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798</v>
      </c>
      <c r="D105" s="173">
        <f>E105</f>
        <v>1672143</v>
      </c>
      <c r="E105" s="174">
        <f>'EXHIBIT D'!G76</f>
        <v>1672143</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74292830.630400002</v>
      </c>
      <c r="E106" s="176">
        <f>SUM(E102:E105)</f>
        <v>74292830.630400002</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3" t="s">
        <v>739</v>
      </c>
      <c r="D117" s="1123"/>
      <c r="E117" s="1123"/>
      <c r="F117" s="1123"/>
      <c r="G117" s="1007"/>
      <c r="H117" s="100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7"/>
      <c r="D118" s="1007"/>
      <c r="E118" s="1007"/>
      <c r="F118" s="1007"/>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8">
        <f>+'EXHIBIT A'!E40</f>
        <v>18802000</v>
      </c>
      <c r="D119" s="988" t="s">
        <v>740</v>
      </c>
      <c r="E119" s="988"/>
      <c r="F119" s="988"/>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8">
        <f>'EXHIBIT D'!G278-'EXHIBIT D'!G264-'EXHIBIT D'!G276</f>
        <v>18802000</v>
      </c>
      <c r="D120" s="991" t="s">
        <v>741</v>
      </c>
      <c r="E120" s="991"/>
      <c r="F120" s="991"/>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9">
        <f>C119-C120</f>
        <v>0</v>
      </c>
      <c r="D121" s="1124" t="s">
        <v>802</v>
      </c>
      <c r="E121" s="1124"/>
      <c r="F121" s="1124"/>
      <c r="G121" s="1124"/>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7" t="s">
        <v>168</v>
      </c>
      <c r="D124" s="1117"/>
      <c r="E124" s="1117"/>
      <c r="F124" s="1117"/>
      <c r="G124" s="1117"/>
      <c r="H124" s="990"/>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46500000</v>
      </c>
      <c r="D126" s="37" t="s">
        <v>762</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46500000</v>
      </c>
      <c r="D127" s="37" t="s">
        <v>742</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1">
        <f>C126-C127</f>
        <v>0</v>
      </c>
      <c r="D128" s="992" t="s">
        <v>169</v>
      </c>
      <c r="E128" s="992"/>
      <c r="F128" s="992"/>
      <c r="G128" s="99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2">
        <f>'EXHIBIT D'!G188</f>
        <v>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7">
        <f>C128+C130</f>
        <v>0</v>
      </c>
      <c r="D132" s="1125" t="s">
        <v>171</v>
      </c>
      <c r="E132" s="1125"/>
      <c r="F132" s="1125"/>
      <c r="G132" s="1125"/>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6" t="s">
        <v>173</v>
      </c>
      <c r="D135" s="1126"/>
      <c r="E135" s="1126"/>
      <c r="F135" s="1126"/>
      <c r="G135" s="1126"/>
      <c r="H135" s="999"/>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91.790005169739786</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f>IF('EXHIBIT G'!D129=0,"No Credit Hours or Not Applicable",('EXHIBIT G'!D129/'EXHIBIT C'!D19))</f>
        <v>435.15052631578948</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5"/>
      <c r="D141" s="1036"/>
      <c r="E141" s="1036"/>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7" t="s">
        <v>803</v>
      </c>
      <c r="E144" s="1127"/>
      <c r="F144" s="1127"/>
      <c r="G144" s="1127"/>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7" t="s">
        <v>804</v>
      </c>
      <c r="E147" s="1127"/>
      <c r="F147" s="1127"/>
      <c r="G147" s="1127"/>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4"/>
      <c r="E149" s="1034"/>
      <c r="F149" s="1034"/>
      <c r="G149" s="1034"/>
      <c r="U149" s="111"/>
      <c r="V149" s="111"/>
      <c r="W149" s="111"/>
      <c r="X149" s="111"/>
      <c r="Y149" s="111"/>
      <c r="Z149" s="111"/>
      <c r="AA149" s="111"/>
      <c r="AB149" s="111"/>
      <c r="AC149" s="111"/>
      <c r="AD149" s="111"/>
      <c r="AE149" s="111"/>
      <c r="AF149" s="111"/>
      <c r="AG149" s="111"/>
    </row>
    <row r="150" spans="1:33" ht="20.100000000000001" customHeight="1">
      <c r="A150" s="20"/>
      <c r="C150" s="197"/>
      <c r="D150" s="1034"/>
      <c r="E150" s="1034"/>
      <c r="F150" s="1034"/>
      <c r="G150" s="1034"/>
      <c r="U150" s="111"/>
      <c r="V150" s="111"/>
      <c r="W150" s="111"/>
      <c r="X150" s="111"/>
      <c r="Y150" s="111"/>
      <c r="Z150" s="111"/>
      <c r="AA150" s="111"/>
      <c r="AB150" s="111"/>
      <c r="AC150" s="111"/>
      <c r="AD150" s="111"/>
      <c r="AE150" s="111"/>
      <c r="AF150" s="111"/>
      <c r="AG150" s="111"/>
    </row>
    <row r="151" spans="1:33" ht="62.1" customHeight="1">
      <c r="A151" s="190" t="s">
        <v>177</v>
      </c>
      <c r="B151" s="671"/>
      <c r="C151" s="1126" t="s">
        <v>806</v>
      </c>
      <c r="D151" s="1126"/>
      <c r="E151" s="1126"/>
      <c r="F151" s="1126"/>
      <c r="G151" s="1126"/>
      <c r="H151" s="999"/>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Equal</v>
      </c>
      <c r="D153" s="989" t="s">
        <v>178</v>
      </c>
      <c r="E153" s="989"/>
      <c r="F153" s="989"/>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3" t="s">
        <v>179</v>
      </c>
      <c r="D155" s="1004"/>
      <c r="E155" s="1004"/>
      <c r="F155" s="1004"/>
      <c r="G155" s="1005"/>
      <c r="H155" s="38"/>
      <c r="U155" s="111"/>
      <c r="V155" s="111"/>
      <c r="W155" s="111"/>
      <c r="X155" s="111"/>
      <c r="Y155" s="111"/>
      <c r="Z155" s="111"/>
      <c r="AA155" s="111"/>
      <c r="AB155" s="111"/>
      <c r="AC155" s="111"/>
      <c r="AD155" s="111"/>
      <c r="AE155" s="111"/>
      <c r="AF155" s="111"/>
      <c r="AG155" s="111"/>
    </row>
    <row r="156" spans="1:33" ht="20.100000000000001" customHeight="1">
      <c r="A156" s="20"/>
      <c r="C156" s="1025"/>
      <c r="D156" s="1026"/>
      <c r="E156" s="1026"/>
      <c r="F156" s="1026"/>
      <c r="G156" s="1027"/>
      <c r="H156" s="198"/>
      <c r="U156" s="111"/>
      <c r="V156" s="111"/>
      <c r="W156" s="111"/>
      <c r="X156" s="111"/>
      <c r="Y156" s="111"/>
      <c r="Z156" s="111"/>
      <c r="AA156" s="111"/>
      <c r="AB156" s="111"/>
      <c r="AC156" s="111"/>
      <c r="AD156" s="111"/>
      <c r="AE156" s="111"/>
      <c r="AF156" s="111"/>
      <c r="AG156" s="111"/>
    </row>
    <row r="157" spans="1:33" ht="20.100000000000001" customHeight="1">
      <c r="A157" s="20"/>
      <c r="C157" s="1028"/>
      <c r="D157" s="1029"/>
      <c r="E157" s="1029"/>
      <c r="F157" s="1029"/>
      <c r="G157" s="1030"/>
      <c r="H157" s="198"/>
      <c r="U157" s="111"/>
      <c r="V157" s="111"/>
      <c r="W157" s="111"/>
      <c r="X157" s="111"/>
      <c r="Y157" s="111"/>
      <c r="Z157" s="111"/>
      <c r="AA157" s="111"/>
      <c r="AB157" s="111"/>
      <c r="AC157" s="111"/>
      <c r="AD157" s="111"/>
      <c r="AE157" s="111"/>
      <c r="AF157" s="111"/>
      <c r="AG157" s="111"/>
    </row>
    <row r="158" spans="1:33" ht="20.100000000000001" customHeight="1">
      <c r="A158" s="20"/>
      <c r="C158" s="1028"/>
      <c r="D158" s="1029"/>
      <c r="E158" s="1029"/>
      <c r="F158" s="1029"/>
      <c r="G158" s="1030"/>
      <c r="H158" s="198"/>
      <c r="U158" s="111"/>
      <c r="V158" s="111"/>
      <c r="W158" s="111"/>
      <c r="X158" s="111"/>
      <c r="Y158" s="111"/>
      <c r="Z158" s="111"/>
      <c r="AA158" s="111"/>
      <c r="AB158" s="111"/>
      <c r="AC158" s="111"/>
      <c r="AD158" s="111"/>
      <c r="AE158" s="111"/>
      <c r="AF158" s="111"/>
      <c r="AG158" s="111"/>
    </row>
    <row r="159" spans="1:33" ht="20.100000000000001" customHeight="1">
      <c r="A159" s="20"/>
      <c r="C159" s="1028"/>
      <c r="D159" s="1029"/>
      <c r="E159" s="1029"/>
      <c r="F159" s="1029"/>
      <c r="G159" s="1030"/>
      <c r="H159" s="198"/>
      <c r="U159" s="111"/>
      <c r="V159" s="111"/>
      <c r="W159" s="111"/>
      <c r="X159" s="111"/>
      <c r="Y159" s="111"/>
      <c r="Z159" s="111"/>
      <c r="AA159" s="111"/>
      <c r="AB159" s="111"/>
      <c r="AC159" s="111"/>
      <c r="AD159" s="111"/>
      <c r="AE159" s="111"/>
      <c r="AF159" s="111"/>
      <c r="AG159" s="111"/>
    </row>
    <row r="160" spans="1:33" ht="20.100000000000001" customHeight="1">
      <c r="A160" s="20"/>
      <c r="C160" s="1028"/>
      <c r="D160" s="1029"/>
      <c r="E160" s="1029"/>
      <c r="F160" s="1029"/>
      <c r="G160" s="1030"/>
      <c r="H160" s="198"/>
      <c r="U160" s="111"/>
      <c r="V160" s="111"/>
      <c r="W160" s="111"/>
      <c r="X160" s="111"/>
      <c r="Y160" s="111"/>
      <c r="Z160" s="111"/>
      <c r="AA160" s="111"/>
      <c r="AB160" s="111"/>
      <c r="AC160" s="111"/>
      <c r="AD160" s="111"/>
      <c r="AE160" s="111"/>
      <c r="AF160" s="111"/>
      <c r="AG160" s="111"/>
    </row>
    <row r="161" spans="1:33" ht="20.100000000000001" customHeight="1">
      <c r="A161" s="20"/>
      <c r="C161" s="1028"/>
      <c r="D161" s="1029"/>
      <c r="E161" s="1029"/>
      <c r="F161" s="1029"/>
      <c r="G161" s="1030"/>
      <c r="H161" s="198"/>
      <c r="U161" s="111"/>
      <c r="V161" s="111"/>
      <c r="W161" s="111"/>
      <c r="X161" s="111"/>
      <c r="Y161" s="111"/>
      <c r="Z161" s="111"/>
      <c r="AA161" s="111"/>
      <c r="AB161" s="111"/>
      <c r="AC161" s="111"/>
      <c r="AD161" s="111"/>
      <c r="AE161" s="111"/>
      <c r="AF161" s="111"/>
      <c r="AG161" s="111"/>
    </row>
    <row r="162" spans="1:33" ht="20.100000000000001" customHeight="1">
      <c r="A162" s="20"/>
      <c r="C162" s="1028"/>
      <c r="D162" s="1029"/>
      <c r="E162" s="1029"/>
      <c r="F162" s="1029"/>
      <c r="G162" s="1030"/>
      <c r="H162" s="198"/>
      <c r="U162" s="111"/>
      <c r="V162" s="111"/>
      <c r="W162" s="111"/>
      <c r="X162" s="111"/>
      <c r="Y162" s="111"/>
      <c r="Z162" s="111"/>
      <c r="AA162" s="111"/>
      <c r="AB162" s="111"/>
      <c r="AC162" s="111"/>
      <c r="AD162" s="111"/>
      <c r="AE162" s="111"/>
      <c r="AF162" s="111"/>
      <c r="AG162" s="111"/>
    </row>
    <row r="163" spans="1:33" ht="20.100000000000001" customHeight="1">
      <c r="A163" s="20"/>
      <c r="C163" s="1028"/>
      <c r="D163" s="1029"/>
      <c r="E163" s="1029"/>
      <c r="F163" s="1029"/>
      <c r="G163" s="1030"/>
      <c r="H163" s="198"/>
      <c r="U163" s="111"/>
      <c r="V163" s="111"/>
      <c r="W163" s="111"/>
      <c r="X163" s="111"/>
      <c r="Y163" s="111"/>
      <c r="Z163" s="111"/>
      <c r="AA163" s="111"/>
      <c r="AB163" s="111"/>
      <c r="AC163" s="111"/>
      <c r="AD163" s="111"/>
      <c r="AE163" s="111"/>
      <c r="AF163" s="111"/>
      <c r="AG163" s="111"/>
    </row>
    <row r="164" spans="1:33" ht="20.100000000000001" customHeight="1">
      <c r="A164" s="20"/>
      <c r="C164" s="1028"/>
      <c r="D164" s="1029"/>
      <c r="E164" s="1029"/>
      <c r="F164" s="1029"/>
      <c r="G164" s="1030"/>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1"/>
      <c r="D165" s="1032"/>
      <c r="E165" s="1032"/>
      <c r="F165" s="1032"/>
      <c r="G165" s="1033"/>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zoomScale="50" zoomScaleNormal="50" zoomScaleSheetLayoutView="90" zoomScalePageLayoutView="70" workbookViewId="0">
      <selection activeCell="D40" sqref="D40"/>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8" t="s">
        <v>180</v>
      </c>
      <c r="C1" s="1128"/>
      <c r="D1" s="1128"/>
      <c r="E1" s="1128"/>
      <c r="F1" s="368"/>
      <c r="G1" s="368"/>
    </row>
    <row r="2" spans="2:7" ht="26.25">
      <c r="B2" s="1129" t="s">
        <v>11</v>
      </c>
      <c r="C2" s="1129"/>
      <c r="D2" s="1129"/>
      <c r="E2" s="1129"/>
      <c r="F2" s="1039"/>
      <c r="G2" s="1039"/>
    </row>
    <row r="3" spans="2:7" ht="26.25">
      <c r="B3" s="1129" t="s">
        <v>181</v>
      </c>
      <c r="C3" s="1129"/>
      <c r="D3" s="1129"/>
      <c r="E3" s="1129"/>
      <c r="F3" s="1039"/>
      <c r="G3" s="1039"/>
    </row>
    <row r="4" spans="2:7" ht="26.25">
      <c r="B4" s="1129" t="s">
        <v>182</v>
      </c>
      <c r="C4" s="1129"/>
      <c r="D4" s="1129"/>
      <c r="E4" s="1129"/>
      <c r="F4" s="1039"/>
      <c r="G4" s="1039"/>
    </row>
    <row r="5" spans="2:7" ht="26.25">
      <c r="B5" s="1128" t="s">
        <v>736</v>
      </c>
      <c r="C5" s="1129"/>
      <c r="D5" s="1128"/>
      <c r="E5" s="1128"/>
      <c r="F5" s="1040"/>
      <c r="G5" s="1040"/>
    </row>
    <row r="6" spans="2:7" ht="25.35" customHeight="1">
      <c r="B6" s="1040"/>
      <c r="C6" s="1040"/>
      <c r="D6" s="1040"/>
      <c r="E6" s="1040"/>
      <c r="F6" s="1040"/>
      <c r="G6" s="1040"/>
    </row>
    <row r="7" spans="2:7" ht="25.35" customHeight="1">
      <c r="B7" s="368"/>
      <c r="C7" s="1040"/>
      <c r="D7" s="432"/>
      <c r="E7" s="432"/>
      <c r="F7" s="432"/>
      <c r="G7" s="432"/>
    </row>
    <row r="8" spans="2:7" ht="25.35" customHeight="1">
      <c r="B8" s="434" t="s">
        <v>183</v>
      </c>
      <c r="C8" s="1038" t="str">
        <f>'CHECK SHEET'!D7</f>
        <v>Palm Beach State College</v>
      </c>
      <c r="D8" s="1038"/>
      <c r="E8" s="1038"/>
      <c r="F8" s="431"/>
      <c r="G8" s="431"/>
    </row>
    <row r="9" spans="2:7" ht="25.35" customHeight="1">
      <c r="D9" s="149"/>
      <c r="E9" s="149"/>
      <c r="F9" s="149"/>
      <c r="G9" s="149"/>
    </row>
    <row r="10" spans="2:7" ht="41.45" customHeight="1">
      <c r="E10" s="718" t="s">
        <v>184</v>
      </c>
    </row>
    <row r="11" spans="2:7" ht="25.35" customHeight="1">
      <c r="B11" s="112" t="s">
        <v>743</v>
      </c>
      <c r="D11" s="112"/>
      <c r="E11" s="199"/>
    </row>
    <row r="12" spans="2:7" ht="25.35" customHeight="1">
      <c r="B12" s="112"/>
      <c r="C12" s="112"/>
      <c r="D12" s="112"/>
    </row>
    <row r="13" spans="2:7" ht="25.35" customHeight="1">
      <c r="B13" s="37" t="s">
        <v>751</v>
      </c>
      <c r="C13" s="112"/>
      <c r="D13" s="112"/>
      <c r="E13" s="581">
        <v>-27698000</v>
      </c>
    </row>
    <row r="14" spans="2:7" ht="25.35" customHeight="1">
      <c r="B14" s="37" t="s">
        <v>185</v>
      </c>
      <c r="D14" s="112"/>
      <c r="E14" s="719">
        <v>46500000</v>
      </c>
    </row>
    <row r="15" spans="2:7" ht="25.35" customHeight="1">
      <c r="B15" s="112"/>
      <c r="C15" s="24"/>
      <c r="D15" s="112"/>
      <c r="E15" s="200"/>
    </row>
    <row r="16" spans="2:7" ht="25.35" customHeight="1">
      <c r="B16" s="24" t="s">
        <v>744</v>
      </c>
      <c r="C16" s="112"/>
      <c r="D16" s="35"/>
      <c r="E16" s="720">
        <f>+E14+E13</f>
        <v>18802000</v>
      </c>
    </row>
    <row r="17" spans="2:7" ht="25.35" customHeight="1">
      <c r="B17" s="112"/>
      <c r="C17" s="35"/>
      <c r="D17" s="112"/>
      <c r="E17" s="201"/>
    </row>
    <row r="18" spans="2:7" ht="25.35" customHeight="1">
      <c r="B18" s="37" t="s">
        <v>186</v>
      </c>
      <c r="C18" s="112"/>
      <c r="D18" s="112"/>
      <c r="E18" s="213">
        <f>+'EXHIBIT D'!G144-SUM(+'EXHIBIT D'!G132+'EXHIBIT D'!G133+'EXHIBIT D'!G134+'EXHIBIT D'!G135)</f>
        <v>134366340.6304</v>
      </c>
      <c r="G18" s="202"/>
    </row>
    <row r="19" spans="2:7" ht="25.35" customHeight="1">
      <c r="B19" s="37" t="s">
        <v>187</v>
      </c>
      <c r="D19" s="112"/>
      <c r="E19" s="720">
        <f>+'EXHIBIT D'!G132+'EXHIBIT D'!G133+'EXHIBIT D'!G134+'EXHIBIT D'!G135</f>
        <v>600000</v>
      </c>
    </row>
    <row r="20" spans="2:7" ht="25.35" customHeight="1">
      <c r="B20" s="112"/>
      <c r="D20" s="112"/>
      <c r="E20" s="208"/>
    </row>
    <row r="21" spans="2:7" ht="25.35" customHeight="1">
      <c r="B21" s="37" t="s">
        <v>188</v>
      </c>
      <c r="C21" s="112"/>
      <c r="D21" s="112"/>
      <c r="E21" s="721">
        <f>+E19+E18</f>
        <v>134966340.6304</v>
      </c>
    </row>
    <row r="22" spans="2:7" ht="25.35" customHeight="1">
      <c r="B22" s="112"/>
      <c r="C22" s="112"/>
      <c r="D22" s="112"/>
      <c r="E22" s="208"/>
    </row>
    <row r="23" spans="2:7" ht="25.35" customHeight="1">
      <c r="B23" s="112" t="s">
        <v>189</v>
      </c>
      <c r="C23" s="112"/>
      <c r="D23" s="112"/>
      <c r="E23" s="721">
        <f>+E21+E16</f>
        <v>153768340.6304</v>
      </c>
    </row>
    <row r="24" spans="2:7" ht="25.35" customHeight="1">
      <c r="B24" s="112"/>
      <c r="C24" s="112"/>
      <c r="D24" s="112"/>
      <c r="E24" s="208"/>
    </row>
    <row r="25" spans="2:7" ht="25.35" customHeight="1">
      <c r="B25" s="37" t="s">
        <v>190</v>
      </c>
      <c r="C25" s="112"/>
      <c r="D25" s="112"/>
      <c r="E25" s="214">
        <f>'EXHIBIT D'!G260-SUM(+'EXHIBIT D'!G231+'EXHIBIT D'!G232+'EXHIBIT D'!G233+'EXHIBIT D'!G234+'EXHIBIT D'!G235)</f>
        <v>134966341</v>
      </c>
    </row>
    <row r="26" spans="2:7" ht="25.35" customHeight="1">
      <c r="B26" s="37" t="s">
        <v>191</v>
      </c>
      <c r="D26" s="112"/>
      <c r="E26" s="720">
        <f>'EXHIBIT D'!G231+'EXHIBIT D'!G232+'EXHIBIT D'!G233+'EXHIBIT D'!G234+'EXHIBIT D'!G235</f>
        <v>0</v>
      </c>
    </row>
    <row r="27" spans="2:7" ht="25.35" customHeight="1">
      <c r="B27" s="112"/>
      <c r="D27" s="112"/>
      <c r="E27" s="208"/>
    </row>
    <row r="28" spans="2:7" ht="25.35" customHeight="1">
      <c r="B28" s="112" t="s">
        <v>192</v>
      </c>
      <c r="C28" s="112"/>
      <c r="D28" s="112"/>
      <c r="E28" s="722">
        <f>+E26+E25</f>
        <v>134966341</v>
      </c>
    </row>
    <row r="29" spans="2:7" ht="25.35" customHeight="1">
      <c r="B29" s="112"/>
      <c r="C29" s="112"/>
      <c r="D29" s="112"/>
      <c r="E29" s="203"/>
    </row>
    <row r="30" spans="2:7" ht="25.35" customHeight="1">
      <c r="B30" s="112" t="s">
        <v>745</v>
      </c>
      <c r="C30" s="112"/>
      <c r="D30" s="112"/>
      <c r="E30" s="203"/>
    </row>
    <row r="31" spans="2:7" ht="25.35" customHeight="1">
      <c r="B31" s="112"/>
      <c r="C31" s="112"/>
      <c r="D31" s="112"/>
      <c r="E31" s="203"/>
    </row>
    <row r="32" spans="2:7" ht="25.35" customHeight="1">
      <c r="B32" s="37" t="s">
        <v>193</v>
      </c>
      <c r="C32" s="112"/>
      <c r="D32" s="204">
        <f>+E23-E28</f>
        <v>18801999.630400002</v>
      </c>
      <c r="E32" s="203"/>
    </row>
    <row r="33" spans="2:10" ht="25.35" customHeight="1">
      <c r="B33" s="24" t="s">
        <v>194</v>
      </c>
      <c r="C33" s="112"/>
      <c r="D33" s="723">
        <f>+'EXHIBIT D'!G188</f>
        <v>0</v>
      </c>
      <c r="E33" s="203"/>
      <c r="J33" s="149"/>
    </row>
    <row r="34" spans="2:10" ht="25.35" customHeight="1">
      <c r="B34" s="112"/>
      <c r="D34" s="112"/>
      <c r="E34" s="203"/>
      <c r="J34" s="205"/>
    </row>
    <row r="35" spans="2:10" ht="25.35" customHeight="1">
      <c r="B35" s="37" t="s">
        <v>746</v>
      </c>
      <c r="C35" s="112"/>
      <c r="D35" s="112"/>
      <c r="E35" s="206">
        <f>+D32+D33</f>
        <v>18801999.630400002</v>
      </c>
      <c r="J35" s="149"/>
    </row>
    <row r="36" spans="2:10" ht="25.35" customHeight="1">
      <c r="B36" s="37" t="s">
        <v>747</v>
      </c>
      <c r="C36" s="112"/>
      <c r="D36" s="112"/>
      <c r="E36" s="721">
        <f>-'EXHIBIT D'!G276</f>
        <v>46500000</v>
      </c>
      <c r="J36" s="207"/>
    </row>
    <row r="37" spans="2:10" ht="25.35" customHeight="1">
      <c r="D37" s="112"/>
      <c r="E37" s="206"/>
      <c r="J37" s="149"/>
    </row>
    <row r="38" spans="2:10" ht="25.35" customHeight="1">
      <c r="B38" s="112" t="s">
        <v>748</v>
      </c>
      <c r="D38" s="112"/>
      <c r="E38" s="720">
        <f>+E35-E36</f>
        <v>-27698000.369599998</v>
      </c>
      <c r="J38" s="149"/>
    </row>
    <row r="39" spans="2:10" ht="25.35" customHeight="1">
      <c r="B39" s="112"/>
      <c r="C39" s="112"/>
      <c r="D39" s="112"/>
      <c r="E39" s="208"/>
    </row>
    <row r="40" spans="2:10" ht="25.35" customHeight="1">
      <c r="B40" s="24" t="s">
        <v>749</v>
      </c>
      <c r="C40" s="112"/>
      <c r="D40" s="35"/>
      <c r="E40" s="722">
        <f>'EXHIBIT D'!G265+'EXHIBIT D'!G266+'EXHIBIT D'!G267+'EXHIBIT D'!G268+'EXHIBIT D'!G269+'EXHIBIT D'!G270+'EXHIBIT D'!G271+'EXHIBIT D'!G272</f>
        <v>18802000</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750</v>
      </c>
      <c r="C44" s="112"/>
      <c r="D44" s="112"/>
      <c r="E44" s="724">
        <f>+E40/E23</f>
        <v>0.12227484489276491</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zFij8IRX5k7db9TZpCDfm29Ly6oGorKjJor8HVZbTgbzJKBqXo9qZF2z3ykTldVZJu/XzcIS2bJX2zt0C4Llzg==" saltValue="6LUGj4ayRFNm+unHa52pIQ=="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topLeftCell="A10" zoomScale="70" zoomScaleNormal="70" zoomScalePageLayoutView="50" workbookViewId="0">
      <selection activeCell="C17" sqref="C17"/>
    </sheetView>
  </sheetViews>
  <sheetFormatPr defaultColWidth="9.140625" defaultRowHeight="12.75"/>
  <cols>
    <col min="1" max="1" width="98.28515625" style="218" customWidth="1"/>
    <col min="2" max="2" width="18" style="218" customWidth="1"/>
    <col min="3" max="3" width="16.42578125" style="218" customWidth="1"/>
    <col min="4" max="4" width="15.28515625" style="218" customWidth="1"/>
    <col min="5" max="5" width="22.42578125" style="218" customWidth="1"/>
    <col min="6" max="6" width="20.7109375" style="218" customWidth="1"/>
    <col min="7" max="7" width="18.7109375" style="218" customWidth="1"/>
    <col min="8" max="8" width="20.28515625" style="218" bestFit="1" customWidth="1"/>
    <col min="9" max="9" width="20.28515625" style="218" customWidth="1"/>
    <col min="10" max="10" width="2" style="218" customWidth="1"/>
    <col min="11" max="11" width="21" style="218" bestFit="1" customWidth="1"/>
    <col min="12" max="12" width="19.140625" style="218" customWidth="1"/>
    <col min="13" max="13" width="5.7109375" style="218" customWidth="1"/>
    <col min="14" max="16384" width="9.140625" style="218"/>
  </cols>
  <sheetData>
    <row r="1" spans="1:18" s="368" customFormat="1" ht="23.1" customHeight="1">
      <c r="I1" s="1037" t="s">
        <v>200</v>
      </c>
      <c r="L1" s="1037"/>
      <c r="M1" s="1037"/>
      <c r="N1" s="1037"/>
      <c r="O1" s="1037"/>
      <c r="P1" s="1037"/>
      <c r="Q1" s="1037"/>
      <c r="R1" s="1037"/>
    </row>
    <row r="2" spans="1:18" s="368" customFormat="1" ht="20.100000000000001" customHeight="1"/>
    <row r="3" spans="1:18" s="368" customFormat="1" ht="20.100000000000001" customHeight="1">
      <c r="A3" s="1129" t="s">
        <v>11</v>
      </c>
      <c r="B3" s="1129"/>
      <c r="C3" s="1129"/>
      <c r="D3" s="1129"/>
      <c r="E3" s="1129"/>
      <c r="F3" s="1129"/>
      <c r="G3" s="1129"/>
      <c r="H3" s="1129"/>
      <c r="I3" s="1039"/>
      <c r="J3" s="367"/>
      <c r="K3" s="367"/>
    </row>
    <row r="4" spans="1:18" s="368" customFormat="1" ht="20.100000000000001" customHeight="1">
      <c r="A4" s="1129" t="s">
        <v>181</v>
      </c>
      <c r="B4" s="1129"/>
      <c r="C4" s="1129"/>
      <c r="D4" s="1129"/>
      <c r="E4" s="1129"/>
      <c r="F4" s="1129"/>
      <c r="G4" s="1129"/>
      <c r="H4" s="1129"/>
      <c r="I4" s="1039"/>
    </row>
    <row r="5" spans="1:18" s="368" customFormat="1" ht="24" customHeight="1">
      <c r="A5" s="1129" t="s">
        <v>752</v>
      </c>
      <c r="B5" s="1129"/>
      <c r="C5" s="1129"/>
      <c r="D5" s="1129"/>
      <c r="E5" s="1129"/>
      <c r="F5" s="1129"/>
      <c r="G5" s="1129"/>
      <c r="H5" s="1129"/>
      <c r="I5" s="1039"/>
    </row>
    <row r="6" spans="1:18" s="368" customFormat="1" ht="24" customHeight="1">
      <c r="A6" s="1129" t="s">
        <v>201</v>
      </c>
      <c r="B6" s="1129"/>
      <c r="C6" s="1129"/>
      <c r="D6" s="1129"/>
      <c r="E6" s="1129"/>
      <c r="F6" s="1129"/>
      <c r="G6" s="1129"/>
      <c r="H6" s="1129"/>
      <c r="I6" s="1039"/>
    </row>
    <row r="7" spans="1:18" s="368" customFormat="1" ht="20.100000000000001" customHeight="1">
      <c r="A7" s="1128"/>
      <c r="B7" s="1128"/>
      <c r="C7" s="1128"/>
      <c r="D7" s="1128"/>
      <c r="E7" s="1128"/>
      <c r="F7" s="1128"/>
      <c r="G7" s="1128"/>
      <c r="H7" s="1128"/>
      <c r="I7" s="1040"/>
    </row>
    <row r="8" spans="1:18" s="368" customFormat="1" ht="25.35" customHeight="1" thickBot="1">
      <c r="A8" s="1128"/>
      <c r="B8" s="1132"/>
      <c r="C8" s="1128" t="s">
        <v>183</v>
      </c>
      <c r="D8" s="1133" t="str">
        <f>'CHECK SHEET'!D7</f>
        <v>Palm Beach State College</v>
      </c>
      <c r="E8" s="1133"/>
      <c r="F8" s="1133"/>
      <c r="G8" s="1133"/>
      <c r="H8" s="1133"/>
    </row>
    <row r="9" spans="1:18" s="37" customFormat="1" ht="20.100000000000001" customHeight="1"/>
    <row r="10" spans="1:18" s="37" customFormat="1" ht="20.100000000000001" customHeight="1">
      <c r="B10" s="112"/>
      <c r="C10" s="112"/>
      <c r="D10" s="112"/>
      <c r="E10" s="1130"/>
      <c r="F10" s="1131"/>
      <c r="G10" s="1131"/>
    </row>
    <row r="11" spans="1:18" s="37" customFormat="1" ht="20.100000000000001" customHeight="1">
      <c r="B11" s="1041" t="s">
        <v>202</v>
      </c>
      <c r="C11" s="1041"/>
      <c r="D11" s="994"/>
      <c r="E11" s="994"/>
    </row>
    <row r="12" spans="1:18" s="37" customFormat="1" ht="20.100000000000001" customHeight="1" thickBot="1">
      <c r="B12" s="1042" t="s">
        <v>203</v>
      </c>
      <c r="C12" s="1042"/>
      <c r="D12" s="1042"/>
      <c r="E12" s="1042"/>
      <c r="J12" s="112"/>
    </row>
    <row r="13" spans="1:18" s="37" customFormat="1" ht="105.75" customHeight="1" thickBot="1">
      <c r="A13" s="435" t="s">
        <v>204</v>
      </c>
      <c r="B13" s="389" t="s">
        <v>205</v>
      </c>
      <c r="C13" s="1046" t="s">
        <v>206</v>
      </c>
      <c r="D13" s="389" t="s">
        <v>207</v>
      </c>
      <c r="E13" s="389" t="s">
        <v>208</v>
      </c>
      <c r="F13" s="1045" t="s">
        <v>209</v>
      </c>
      <c r="G13" s="389" t="s">
        <v>50</v>
      </c>
      <c r="H13" s="1046" t="s">
        <v>210</v>
      </c>
      <c r="I13" s="24"/>
      <c r="J13" s="35"/>
      <c r="K13" s="24"/>
    </row>
    <row r="14" spans="1:18" s="37" customFormat="1" ht="20.100000000000001" customHeight="1">
      <c r="A14" s="436" t="s">
        <v>211</v>
      </c>
      <c r="B14" s="1190">
        <v>91.79</v>
      </c>
      <c r="C14" s="1190">
        <v>4.59</v>
      </c>
      <c r="D14" s="1190">
        <v>9.18</v>
      </c>
      <c r="E14" s="1190">
        <v>12.7</v>
      </c>
      <c r="F14" s="1190">
        <v>4.59</v>
      </c>
      <c r="G14" s="844">
        <f>SUM(B14:F14)</f>
        <v>122.85000000000001</v>
      </c>
      <c r="H14" s="474">
        <f>G14*30</f>
        <v>3685.5000000000005</v>
      </c>
      <c r="I14" s="24"/>
    </row>
    <row r="15" spans="1:18" s="37" customFormat="1" ht="20.100000000000001" customHeight="1">
      <c r="A15" s="112" t="s">
        <v>212</v>
      </c>
      <c r="B15" s="1191">
        <v>76.92</v>
      </c>
      <c r="C15" s="1191">
        <v>3.84</v>
      </c>
      <c r="D15" s="1191">
        <v>5.78</v>
      </c>
      <c r="E15" s="1191">
        <v>10.62</v>
      </c>
      <c r="F15" s="1191">
        <v>3.84</v>
      </c>
      <c r="G15" s="844">
        <f>SUM(B15:F15)</f>
        <v>101.00000000000001</v>
      </c>
      <c r="H15" s="437">
        <f>G15*30</f>
        <v>3030.0000000000005</v>
      </c>
      <c r="I15" s="24"/>
    </row>
    <row r="16" spans="1:18" s="37" customFormat="1" ht="20.100000000000001" customHeight="1" thickBot="1">
      <c r="A16" s="35" t="s">
        <v>82</v>
      </c>
      <c r="B16" s="1192">
        <v>69.900000000000006</v>
      </c>
      <c r="C16" s="1192">
        <v>6.9</v>
      </c>
      <c r="D16" s="1193"/>
      <c r="E16" s="1192">
        <v>3.3</v>
      </c>
      <c r="F16" s="1192">
        <v>3.3</v>
      </c>
      <c r="G16" s="438">
        <f>SUM(B16:F16)</f>
        <v>83.4</v>
      </c>
      <c r="H16" s="845">
        <f>G16*30</f>
        <v>2502</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6" t="s">
        <v>214</v>
      </c>
    </row>
    <row r="19" spans="1:11" s="37" customFormat="1" ht="20.100000000000001" customHeight="1">
      <c r="A19" s="112" t="s">
        <v>215</v>
      </c>
      <c r="B19" s="843">
        <v>0</v>
      </c>
      <c r="C19" s="475"/>
      <c r="D19" s="475"/>
      <c r="E19" s="475"/>
      <c r="F19" s="475"/>
      <c r="G19" s="844">
        <f>B19</f>
        <v>0</v>
      </c>
      <c r="H19" s="759">
        <f>G19*3</f>
        <v>0</v>
      </c>
    </row>
    <row r="20" spans="1:11" s="37" customFormat="1" ht="20.100000000000001" customHeight="1" thickBot="1">
      <c r="A20" s="112" t="s">
        <v>216</v>
      </c>
      <c r="B20" s="744">
        <v>0</v>
      </c>
      <c r="C20" s="476"/>
      <c r="D20" s="476"/>
      <c r="E20" s="476"/>
      <c r="F20" s="476"/>
      <c r="G20" s="441">
        <f>B20</f>
        <v>0</v>
      </c>
      <c r="H20" s="707">
        <f>G20*3</f>
        <v>0</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6">
        <v>0</v>
      </c>
      <c r="C23" s="476"/>
      <c r="D23" s="476"/>
      <c r="E23" s="476"/>
      <c r="F23" s="476"/>
      <c r="G23" s="847">
        <f>B23</f>
        <v>0</v>
      </c>
      <c r="H23" s="845">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4" t="s">
        <v>219</v>
      </c>
      <c r="C26" s="994"/>
      <c r="D26" s="994"/>
      <c r="E26" s="994"/>
      <c r="F26" s="444"/>
      <c r="G26" s="444"/>
      <c r="H26" s="444"/>
      <c r="I26" s="444"/>
      <c r="J26" s="444"/>
      <c r="K26" s="444"/>
    </row>
    <row r="27" spans="1:11" s="37" customFormat="1" ht="20.100000000000001" customHeight="1" thickBot="1">
      <c r="A27" s="436"/>
      <c r="B27" s="994" t="s">
        <v>203</v>
      </c>
      <c r="C27" s="994"/>
      <c r="D27" s="994"/>
      <c r="E27" s="994"/>
      <c r="F27" s="444"/>
      <c r="G27" s="444"/>
      <c r="H27" s="444"/>
      <c r="I27" s="444"/>
    </row>
    <row r="28" spans="1:11" s="37" customFormat="1" ht="108" customHeight="1" thickBot="1">
      <c r="A28" s="435" t="s">
        <v>204</v>
      </c>
      <c r="B28" s="446" t="s">
        <v>205</v>
      </c>
      <c r="C28" s="389" t="s">
        <v>220</v>
      </c>
      <c r="D28" s="389" t="s">
        <v>206</v>
      </c>
      <c r="E28" s="389" t="s">
        <v>207</v>
      </c>
      <c r="F28" s="389" t="s">
        <v>208</v>
      </c>
      <c r="G28" s="1045" t="s">
        <v>209</v>
      </c>
      <c r="H28" s="389" t="s">
        <v>50</v>
      </c>
      <c r="I28" s="1046" t="s">
        <v>210</v>
      </c>
      <c r="J28" s="112"/>
      <c r="K28" s="112"/>
    </row>
    <row r="29" spans="1:11" s="37" customFormat="1" ht="20.100000000000001" customHeight="1">
      <c r="A29" s="436" t="str">
        <f t="shared" ref="A29:B31" si="0">A14</f>
        <v>UPPER LEVEL - BACCALAUREATE</v>
      </c>
      <c r="B29" s="447">
        <f t="shared" si="0"/>
        <v>91.79</v>
      </c>
      <c r="C29" s="1190">
        <v>435.15</v>
      </c>
      <c r="D29" s="1190">
        <v>4.59</v>
      </c>
      <c r="E29" s="676">
        <f>D14</f>
        <v>9.18</v>
      </c>
      <c r="F29" s="1190">
        <v>12.7</v>
      </c>
      <c r="G29" s="1190">
        <v>4.59</v>
      </c>
      <c r="H29" s="448">
        <f>SUM(B29:G29)</f>
        <v>558</v>
      </c>
      <c r="I29" s="468">
        <f>H29*30</f>
        <v>16740</v>
      </c>
      <c r="J29" s="24"/>
    </row>
    <row r="30" spans="1:11" s="37" customFormat="1" ht="20.100000000000001" customHeight="1">
      <c r="A30" s="112" t="str">
        <f t="shared" si="0"/>
        <v>LOWER LEVEL - CREDIT (A &amp; P, PSV, DEVELOPMENTAL EDUCATION AND EPI)</v>
      </c>
      <c r="B30" s="848">
        <f t="shared" si="0"/>
        <v>76.92</v>
      </c>
      <c r="C30" s="1194">
        <v>226.65</v>
      </c>
      <c r="D30" s="1194">
        <v>15.15</v>
      </c>
      <c r="E30" s="849">
        <f>D15</f>
        <v>5.78</v>
      </c>
      <c r="F30" s="1194">
        <v>23.35</v>
      </c>
      <c r="G30" s="1194">
        <v>15.15</v>
      </c>
      <c r="H30" s="844">
        <f>SUM(B30:G30)</f>
        <v>362.99999999999994</v>
      </c>
      <c r="I30" s="437">
        <f>H30*30</f>
        <v>10889.999999999998</v>
      </c>
    </row>
    <row r="31" spans="1:11" s="37" customFormat="1" ht="20.100000000000001" customHeight="1" thickBot="1">
      <c r="A31" s="112" t="str">
        <f t="shared" si="0"/>
        <v>CAREER CERTIFICATE AND APPLIED TECHNOLOGY DIPLOMA</v>
      </c>
      <c r="B31" s="527">
        <f t="shared" si="0"/>
        <v>69.900000000000006</v>
      </c>
      <c r="C31" s="1191">
        <v>204.3</v>
      </c>
      <c r="D31" s="1191">
        <v>27.3</v>
      </c>
      <c r="E31" s="405"/>
      <c r="F31" s="1191">
        <v>12.9</v>
      </c>
      <c r="G31" s="1191">
        <v>12.9</v>
      </c>
      <c r="H31" s="438">
        <f>SUM(B31:G31)</f>
        <v>327.3</v>
      </c>
      <c r="I31" s="845">
        <f>H31*30</f>
        <v>9819</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6" t="s">
        <v>214</v>
      </c>
      <c r="J33" s="24"/>
      <c r="K33" s="24"/>
    </row>
    <row r="34" spans="1:11" s="37" customFormat="1" ht="20.100000000000001" customHeight="1">
      <c r="A34" s="35" t="str">
        <f>A19</f>
        <v>VOCATIONAL PREPARATORY (PER TERM)</v>
      </c>
      <c r="B34" s="452">
        <f>B19</f>
        <v>0</v>
      </c>
      <c r="C34" s="475"/>
      <c r="D34" s="475"/>
      <c r="E34" s="475"/>
      <c r="F34" s="475"/>
      <c r="G34" s="475"/>
      <c r="H34" s="850">
        <f>B34</f>
        <v>0</v>
      </c>
      <c r="I34" s="469">
        <f>H34*3</f>
        <v>0</v>
      </c>
      <c r="J34" s="453"/>
      <c r="K34" s="453"/>
    </row>
    <row r="35" spans="1:11" s="37" customFormat="1" ht="20.100000000000001" customHeight="1" thickBot="1">
      <c r="A35" s="35" t="str">
        <f>A20</f>
        <v>ADULT GENERAL EDUCATION AND SECONDARY (PER TERM)</v>
      </c>
      <c r="B35" s="851">
        <f>B20</f>
        <v>0</v>
      </c>
      <c r="C35" s="476"/>
      <c r="D35" s="476"/>
      <c r="E35" s="476"/>
      <c r="F35" s="476"/>
      <c r="G35" s="476"/>
      <c r="H35" s="454">
        <f>B35</f>
        <v>0</v>
      </c>
      <c r="I35" s="852">
        <f>H35*3</f>
        <v>0</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50000000000003" customHeight="1">
      <c r="A40" s="221"/>
      <c r="B40" s="1134" t="s">
        <v>753</v>
      </c>
      <c r="C40" s="1134"/>
      <c r="D40" s="1134"/>
      <c r="E40" s="1134"/>
      <c r="F40" s="1134"/>
      <c r="G40" s="1134"/>
      <c r="H40" s="1134"/>
      <c r="I40" s="1134"/>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rintOptions horizontalCentered="1"/>
  <pageMargins left="0" right="0" top="1" bottom="1" header="0.5" footer="0.5"/>
  <pageSetup scale="35" orientation="portrait" r:id="rId1"/>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L147"/>
  <sheetViews>
    <sheetView showGridLines="0" tabSelected="1" topLeftCell="A49" zoomScale="80" zoomScaleNormal="80" zoomScaleSheetLayoutView="50" zoomScalePageLayoutView="50" workbookViewId="0">
      <selection activeCell="C64" sqref="C64"/>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6" t="s">
        <v>222</v>
      </c>
    </row>
    <row r="2" spans="1:10" ht="20.100000000000001" customHeight="1">
      <c r="A2" s="1136" t="s">
        <v>11</v>
      </c>
      <c r="B2" s="1136"/>
      <c r="C2" s="1136"/>
      <c r="D2" s="1136"/>
      <c r="E2" s="1136"/>
      <c r="F2" s="1136"/>
      <c r="G2" s="1136"/>
      <c r="H2" s="1044"/>
      <c r="I2" s="220"/>
    </row>
    <row r="3" spans="1:10" ht="20.100000000000001" customHeight="1">
      <c r="A3" s="1136" t="s">
        <v>754</v>
      </c>
      <c r="B3" s="1136"/>
      <c r="C3" s="1136"/>
      <c r="D3" s="1136"/>
      <c r="E3" s="1136"/>
      <c r="F3" s="1136"/>
      <c r="G3" s="1136"/>
      <c r="H3" s="1044"/>
    </row>
    <row r="4" spans="1:10" ht="20.100000000000001" customHeight="1">
      <c r="A4" s="422"/>
      <c r="B4" s="422"/>
      <c r="C4" s="422"/>
      <c r="D4" s="422"/>
      <c r="E4" s="422"/>
      <c r="F4" s="422"/>
      <c r="G4" s="422"/>
      <c r="H4" s="369"/>
    </row>
    <row r="5" spans="1:10" ht="27.6" customHeight="1" thickBot="1">
      <c r="A5" s="1136" t="s">
        <v>223</v>
      </c>
      <c r="B5" s="1137" t="str">
        <f>'CHECK SHEET'!D7</f>
        <v>Palm Beach State College</v>
      </c>
      <c r="C5" s="1137"/>
      <c r="D5" s="1137"/>
      <c r="E5" s="1137"/>
      <c r="F5" s="1137"/>
      <c r="G5" s="422"/>
      <c r="H5" s="1135"/>
    </row>
    <row r="6" spans="1:10" ht="20.100000000000001" customHeight="1">
      <c r="A6" s="422"/>
      <c r="B6" s="422"/>
      <c r="C6" s="422"/>
      <c r="D6" s="422"/>
      <c r="E6" s="422"/>
      <c r="F6" s="422"/>
      <c r="G6" s="422"/>
      <c r="H6" s="1135"/>
    </row>
    <row r="7" spans="1:10" ht="20.100000000000001" customHeight="1">
      <c r="A7" s="1041" t="s">
        <v>224</v>
      </c>
      <c r="B7" s="1041"/>
      <c r="C7" s="1041"/>
      <c r="D7" s="1041"/>
      <c r="E7" s="1041"/>
      <c r="F7" s="1041"/>
      <c r="G7" s="1041"/>
      <c r="H7" s="1041"/>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4">
        <v>29015</v>
      </c>
      <c r="E10" s="680">
        <v>0</v>
      </c>
      <c r="F10" s="681">
        <f t="shared" ref="F10:F15" si="0">+D10-E10</f>
        <v>29015</v>
      </c>
      <c r="G10" s="681">
        <f>'EXHIBIT B'!B14</f>
        <v>91.79</v>
      </c>
      <c r="H10" s="682">
        <f>ROUND(+F10*G10,0)</f>
        <v>2663287</v>
      </c>
      <c r="I10" s="149"/>
      <c r="J10" s="149"/>
    </row>
    <row r="11" spans="1:10" ht="20.100000000000001" customHeight="1">
      <c r="A11" s="855" t="s">
        <v>205</v>
      </c>
      <c r="B11" s="855" t="s">
        <v>133</v>
      </c>
      <c r="C11" s="856" t="s">
        <v>233</v>
      </c>
      <c r="D11" s="854">
        <v>378902</v>
      </c>
      <c r="E11" s="854">
        <v>0</v>
      </c>
      <c r="F11" s="857">
        <f t="shared" si="0"/>
        <v>378902</v>
      </c>
      <c r="G11" s="857">
        <f>+'EXHIBIT B'!B15</f>
        <v>76.92</v>
      </c>
      <c r="H11" s="858">
        <f t="shared" ref="H11:H15" si="1">ROUND(+F11*G11,0)</f>
        <v>29145142</v>
      </c>
      <c r="I11" s="149"/>
      <c r="J11" s="149"/>
    </row>
    <row r="12" spans="1:10" ht="20.100000000000001" customHeight="1">
      <c r="A12" s="855" t="s">
        <v>205</v>
      </c>
      <c r="B12" s="855" t="s">
        <v>134</v>
      </c>
      <c r="C12" s="856" t="s">
        <v>234</v>
      </c>
      <c r="D12" s="854">
        <v>42118</v>
      </c>
      <c r="E12" s="854">
        <v>0</v>
      </c>
      <c r="F12" s="857">
        <f t="shared" si="0"/>
        <v>42118</v>
      </c>
      <c r="G12" s="857">
        <f>+'EXHIBIT B'!B15</f>
        <v>76.92</v>
      </c>
      <c r="H12" s="858">
        <f t="shared" si="1"/>
        <v>3239717</v>
      </c>
      <c r="I12" s="149"/>
      <c r="J12" s="149"/>
    </row>
    <row r="13" spans="1:10" ht="20.100000000000001" customHeight="1">
      <c r="A13" s="855" t="s">
        <v>205</v>
      </c>
      <c r="B13" s="855" t="s">
        <v>82</v>
      </c>
      <c r="C13" s="856" t="s">
        <v>235</v>
      </c>
      <c r="D13" s="859">
        <v>23534</v>
      </c>
      <c r="E13" s="859">
        <v>0</v>
      </c>
      <c r="F13" s="857">
        <f t="shared" si="0"/>
        <v>23534</v>
      </c>
      <c r="G13" s="857">
        <f>+'EXHIBIT B'!B16</f>
        <v>69.900000000000006</v>
      </c>
      <c r="H13" s="858">
        <f t="shared" si="1"/>
        <v>1645027</v>
      </c>
      <c r="I13" s="149"/>
      <c r="J13" s="149"/>
    </row>
    <row r="14" spans="1:10" ht="20.100000000000001" customHeight="1">
      <c r="A14" s="855" t="s">
        <v>205</v>
      </c>
      <c r="B14" s="855" t="s">
        <v>135</v>
      </c>
      <c r="C14" s="856" t="s">
        <v>236</v>
      </c>
      <c r="D14" s="854">
        <v>10774</v>
      </c>
      <c r="E14" s="854">
        <v>0</v>
      </c>
      <c r="F14" s="857">
        <f t="shared" si="0"/>
        <v>10774</v>
      </c>
      <c r="G14" s="857">
        <f>+'EXHIBIT B'!B15</f>
        <v>76.92</v>
      </c>
      <c r="H14" s="858">
        <f t="shared" si="1"/>
        <v>828736</v>
      </c>
      <c r="I14" s="149"/>
      <c r="J14" s="149"/>
    </row>
    <row r="15" spans="1:10" ht="20.100000000000001" customHeight="1" thickBot="1">
      <c r="A15" s="860" t="s">
        <v>205</v>
      </c>
      <c r="B15" s="860" t="s">
        <v>136</v>
      </c>
      <c r="C15" s="861">
        <v>40160</v>
      </c>
      <c r="D15" s="862">
        <v>469</v>
      </c>
      <c r="E15" s="862">
        <v>0</v>
      </c>
      <c r="F15" s="863">
        <f t="shared" si="0"/>
        <v>469</v>
      </c>
      <c r="G15" s="863">
        <f>+'EXHIBIT B'!B15</f>
        <v>76.92</v>
      </c>
      <c r="H15" s="864">
        <f t="shared" si="1"/>
        <v>36075</v>
      </c>
      <c r="I15" s="149"/>
      <c r="J15" s="149"/>
    </row>
    <row r="16" spans="1:10" ht="24.95" customHeight="1" thickBot="1">
      <c r="A16" s="380"/>
      <c r="B16" s="380"/>
      <c r="C16" s="380"/>
      <c r="D16" s="381"/>
      <c r="E16" s="381"/>
      <c r="F16" s="382"/>
      <c r="G16" s="382"/>
      <c r="H16" s="383"/>
      <c r="I16" s="149"/>
      <c r="J16" s="149"/>
    </row>
    <row r="17" spans="1:10" ht="24.95" customHeight="1" thickBot="1">
      <c r="A17" s="384"/>
      <c r="B17" s="385" t="s">
        <v>237</v>
      </c>
      <c r="C17" s="385"/>
      <c r="D17" s="386">
        <f>SUM(D10:D15)</f>
        <v>484812</v>
      </c>
      <c r="E17" s="386">
        <f>SUM(E10:E15)</f>
        <v>0</v>
      </c>
      <c r="F17" s="387">
        <f>SUM(F10:F15)</f>
        <v>484812</v>
      </c>
      <c r="G17" s="387"/>
      <c r="H17" s="388">
        <f>SUM(H10:H15)</f>
        <v>37557984</v>
      </c>
      <c r="I17" s="149"/>
      <c r="J17" s="149"/>
    </row>
    <row r="18" spans="1:10" ht="88.35" customHeight="1" thickBot="1">
      <c r="A18" s="389" t="s">
        <v>238</v>
      </c>
      <c r="B18" s="370" t="s">
        <v>226</v>
      </c>
      <c r="C18" s="378" t="s">
        <v>227</v>
      </c>
      <c r="D18" s="389" t="s">
        <v>239</v>
      </c>
      <c r="E18" s="378" t="s">
        <v>230</v>
      </c>
      <c r="F18" s="379" t="s">
        <v>231</v>
      </c>
    </row>
    <row r="19" spans="1:10" ht="24.95" customHeight="1">
      <c r="A19" s="865" t="s">
        <v>220</v>
      </c>
      <c r="B19" s="865" t="s">
        <v>232</v>
      </c>
      <c r="C19" s="866">
        <v>40301</v>
      </c>
      <c r="D19" s="1195">
        <v>950</v>
      </c>
      <c r="E19" s="867">
        <f>'EXHIBIT B'!C29</f>
        <v>435.15</v>
      </c>
      <c r="F19" s="868">
        <f t="shared" ref="F19:F24" si="2">ROUND(+D19*E19,0)</f>
        <v>413393</v>
      </c>
      <c r="G19" s="390"/>
      <c r="H19" s="390"/>
    </row>
    <row r="20" spans="1:10" ht="20.100000000000001" customHeight="1">
      <c r="A20" s="869" t="s">
        <v>220</v>
      </c>
      <c r="B20" s="869" t="s">
        <v>133</v>
      </c>
      <c r="C20" s="870" t="s">
        <v>240</v>
      </c>
      <c r="D20" s="877">
        <v>17089</v>
      </c>
      <c r="E20" s="871">
        <f>+'EXHIBIT B'!C30</f>
        <v>226.65</v>
      </c>
      <c r="F20" s="872">
        <f t="shared" si="2"/>
        <v>3873222</v>
      </c>
      <c r="G20" s="391"/>
      <c r="H20" s="391"/>
    </row>
    <row r="21" spans="1:10" ht="20.100000000000001" customHeight="1">
      <c r="A21" s="869" t="s">
        <v>220</v>
      </c>
      <c r="B21" s="869" t="s">
        <v>134</v>
      </c>
      <c r="C21" s="870" t="s">
        <v>241</v>
      </c>
      <c r="D21" s="877">
        <v>962</v>
      </c>
      <c r="E21" s="871">
        <f>+'EXHIBIT B'!C30</f>
        <v>226.65</v>
      </c>
      <c r="F21" s="872">
        <f t="shared" si="2"/>
        <v>218037</v>
      </c>
      <c r="G21" s="391"/>
      <c r="H21" s="391"/>
    </row>
    <row r="22" spans="1:10" ht="20.100000000000001" customHeight="1">
      <c r="A22" s="869" t="s">
        <v>220</v>
      </c>
      <c r="B22" s="869" t="s">
        <v>82</v>
      </c>
      <c r="C22" s="870" t="s">
        <v>242</v>
      </c>
      <c r="D22" s="877">
        <v>253</v>
      </c>
      <c r="E22" s="871">
        <f>+'EXHIBIT B'!C31</f>
        <v>204.3</v>
      </c>
      <c r="F22" s="872">
        <f t="shared" si="2"/>
        <v>51688</v>
      </c>
      <c r="G22" s="391"/>
      <c r="H22" s="391"/>
    </row>
    <row r="23" spans="1:10" ht="20.100000000000001" customHeight="1">
      <c r="A23" s="869" t="s">
        <v>220</v>
      </c>
      <c r="B23" s="869" t="s">
        <v>135</v>
      </c>
      <c r="C23" s="870" t="s">
        <v>243</v>
      </c>
      <c r="D23" s="877">
        <v>419</v>
      </c>
      <c r="E23" s="871">
        <f>+'EXHIBIT B'!C30</f>
        <v>226.65</v>
      </c>
      <c r="F23" s="872">
        <f t="shared" si="2"/>
        <v>94966</v>
      </c>
      <c r="G23" s="391"/>
      <c r="H23" s="391"/>
    </row>
    <row r="24" spans="1:10" ht="20.100000000000001" customHeight="1" thickBot="1">
      <c r="A24" s="745" t="s">
        <v>220</v>
      </c>
      <c r="B24" s="745" t="s">
        <v>136</v>
      </c>
      <c r="C24" s="746">
        <v>40360</v>
      </c>
      <c r="D24" s="1196">
        <v>12</v>
      </c>
      <c r="E24" s="747">
        <f>+'EXHIBIT B'!C30</f>
        <v>226.65</v>
      </c>
      <c r="F24" s="748">
        <f t="shared" si="2"/>
        <v>2720</v>
      </c>
      <c r="G24" s="391"/>
      <c r="H24" s="391"/>
    </row>
    <row r="25" spans="1:10" ht="20.100000000000001" customHeight="1" thickBot="1">
      <c r="A25" s="392"/>
      <c r="B25" s="392"/>
      <c r="C25" s="392"/>
      <c r="D25" s="392"/>
      <c r="E25" s="393"/>
      <c r="F25" s="394"/>
      <c r="G25" s="59"/>
      <c r="H25" s="59"/>
    </row>
    <row r="26" spans="1:10" ht="20.100000000000001" customHeight="1" thickBot="1">
      <c r="A26" s="873"/>
      <c r="B26" s="873" t="s">
        <v>237</v>
      </c>
      <c r="C26" s="873"/>
      <c r="D26" s="874">
        <f>SUM(D19:D24)</f>
        <v>19685</v>
      </c>
      <c r="E26" s="875"/>
      <c r="F26" s="876">
        <f>SUM(F19:F24)</f>
        <v>4654026</v>
      </c>
      <c r="G26" s="395"/>
      <c r="H26" s="395"/>
    </row>
    <row r="27" spans="1:10" ht="20.100000000000001" customHeight="1" thickBot="1">
      <c r="A27" s="396" t="s">
        <v>244</v>
      </c>
      <c r="B27" s="396"/>
      <c r="C27" s="396"/>
      <c r="D27" s="396"/>
      <c r="E27" s="396"/>
      <c r="F27" s="397"/>
      <c r="G27" s="683"/>
      <c r="H27" s="398">
        <f>H17+F26</f>
        <v>42212010</v>
      </c>
    </row>
    <row r="28" spans="1:10" ht="24.95" customHeight="1">
      <c r="I28" s="210"/>
    </row>
    <row r="29" spans="1:10" ht="24.95" customHeight="1">
      <c r="A29" s="1041" t="s">
        <v>245</v>
      </c>
      <c r="B29" s="1041"/>
      <c r="C29" s="1041"/>
      <c r="D29" s="1041"/>
      <c r="E29" s="1041"/>
      <c r="F29" s="1041"/>
      <c r="G29" s="1041"/>
      <c r="H29" s="1041"/>
      <c r="I29" s="210"/>
    </row>
    <row r="30" spans="1:10" ht="24.95"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6" t="s">
        <v>231</v>
      </c>
      <c r="I31" s="210"/>
    </row>
    <row r="32" spans="1:10" ht="20.100000000000001" customHeight="1">
      <c r="A32" s="684" t="s">
        <v>250</v>
      </c>
      <c r="B32" s="684" t="s">
        <v>251</v>
      </c>
      <c r="C32" s="685" t="s">
        <v>252</v>
      </c>
      <c r="D32" s="686">
        <v>0</v>
      </c>
      <c r="E32" s="686">
        <v>0</v>
      </c>
      <c r="F32" s="687">
        <f>D32-E32</f>
        <v>0</v>
      </c>
      <c r="G32" s="687">
        <f>'EXHIBIT B'!B19</f>
        <v>0</v>
      </c>
      <c r="H32" s="688">
        <f>ROUND(+F32*G32,0)</f>
        <v>0</v>
      </c>
    </row>
    <row r="33" spans="1:12" ht="20.100000000000001" customHeight="1">
      <c r="A33" s="869" t="s">
        <v>250</v>
      </c>
      <c r="B33" s="869" t="s">
        <v>253</v>
      </c>
      <c r="C33" s="870" t="s">
        <v>254</v>
      </c>
      <c r="D33" s="877">
        <v>0</v>
      </c>
      <c r="E33" s="877">
        <v>0</v>
      </c>
      <c r="F33" s="871">
        <f>D33-E33</f>
        <v>0</v>
      </c>
      <c r="G33" s="871">
        <f>'EXHIBIT B'!B20</f>
        <v>0</v>
      </c>
      <c r="H33" s="872">
        <f>ROUND(+F33*G33,0)</f>
        <v>0</v>
      </c>
    </row>
    <row r="34" spans="1:12" ht="20.100000000000001" customHeight="1">
      <c r="A34" s="869" t="s">
        <v>255</v>
      </c>
      <c r="B34" s="869" t="s">
        <v>251</v>
      </c>
      <c r="C34" s="870">
        <v>40180</v>
      </c>
      <c r="D34" s="877">
        <v>0</v>
      </c>
      <c r="E34" s="877">
        <v>0</v>
      </c>
      <c r="F34" s="871">
        <f>D34-E34</f>
        <v>0</v>
      </c>
      <c r="G34" s="871">
        <f>'EXHIBIT B'!B22</f>
        <v>0</v>
      </c>
      <c r="H34" s="872">
        <f>ROUND(+F34*G34,0)</f>
        <v>0</v>
      </c>
    </row>
    <row r="35" spans="1:12" ht="20.100000000000001" customHeight="1" thickBot="1">
      <c r="A35" s="878" t="s">
        <v>255</v>
      </c>
      <c r="B35" s="878" t="s">
        <v>253</v>
      </c>
      <c r="C35" s="879">
        <v>40190</v>
      </c>
      <c r="D35" s="880">
        <v>0</v>
      </c>
      <c r="E35" s="880">
        <v>0</v>
      </c>
      <c r="F35" s="881">
        <f>D35-E35</f>
        <v>0</v>
      </c>
      <c r="G35" s="881">
        <f>'EXHIBIT B'!B23</f>
        <v>0</v>
      </c>
      <c r="H35" s="882">
        <f>ROUND(+F35*G35,0)</f>
        <v>0</v>
      </c>
    </row>
    <row r="36" spans="1:12" ht="20.100000000000001" customHeight="1" thickBot="1">
      <c r="A36" s="400"/>
      <c r="B36" s="374" t="s">
        <v>256</v>
      </c>
      <c r="C36" s="374"/>
      <c r="D36" s="401">
        <f>SUM(D32:D35)</f>
        <v>0</v>
      </c>
      <c r="E36" s="401">
        <f>SUM(E32:E35)</f>
        <v>0</v>
      </c>
      <c r="F36" s="402">
        <f>D36-E36</f>
        <v>0</v>
      </c>
      <c r="G36" s="402"/>
      <c r="H36" s="403">
        <f>SUM(H32:H35)</f>
        <v>0</v>
      </c>
    </row>
    <row r="37" spans="1:12" ht="24.95"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0</v>
      </c>
      <c r="F39" s="688">
        <f>D39*E39</f>
        <v>0</v>
      </c>
      <c r="G39" s="149"/>
      <c r="H39" s="149"/>
    </row>
    <row r="40" spans="1:12" ht="20.100000000000001" customHeight="1">
      <c r="A40" s="869" t="s">
        <v>250</v>
      </c>
      <c r="B40" s="869" t="s">
        <v>253</v>
      </c>
      <c r="C40" s="870">
        <v>40390</v>
      </c>
      <c r="D40" s="877">
        <v>0</v>
      </c>
      <c r="E40" s="871">
        <f>'EXHIBIT B'!B35</f>
        <v>0</v>
      </c>
      <c r="F40" s="872">
        <f>D40*E40</f>
        <v>0</v>
      </c>
      <c r="G40" s="25"/>
      <c r="H40" s="25"/>
    </row>
    <row r="41" spans="1:12" ht="20.100000000000001" customHeight="1">
      <c r="A41" s="869" t="s">
        <v>255</v>
      </c>
      <c r="B41" s="869" t="s">
        <v>251</v>
      </c>
      <c r="C41" s="870" t="s">
        <v>258</v>
      </c>
      <c r="D41" s="877">
        <v>0</v>
      </c>
      <c r="E41" s="871">
        <f>'EXHIBIT B'!B37</f>
        <v>0</v>
      </c>
      <c r="F41" s="872">
        <f>D41*E41</f>
        <v>0</v>
      </c>
      <c r="G41" s="25"/>
      <c r="H41" s="25"/>
    </row>
    <row r="42" spans="1:12" ht="20.100000000000001" customHeight="1" thickBot="1">
      <c r="A42" s="878" t="s">
        <v>255</v>
      </c>
      <c r="B42" s="878" t="s">
        <v>253</v>
      </c>
      <c r="C42" s="879" t="s">
        <v>259</v>
      </c>
      <c r="D42" s="880">
        <v>0</v>
      </c>
      <c r="E42" s="881">
        <f>'EXHIBIT B'!B38</f>
        <v>0</v>
      </c>
      <c r="F42" s="882">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0</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42212010</v>
      </c>
      <c r="K46" s="19"/>
      <c r="L46" s="19"/>
    </row>
    <row r="47" spans="1:12" ht="24.75" customHeight="1">
      <c r="A47" s="1047"/>
      <c r="B47" s="1047"/>
      <c r="C47" s="1047"/>
      <c r="D47" s="1047"/>
      <c r="E47" s="1047"/>
      <c r="F47" s="1047"/>
      <c r="G47" s="420"/>
      <c r="H47" s="420"/>
      <c r="K47" s="19"/>
      <c r="L47" s="19"/>
    </row>
    <row r="48" spans="1:12" ht="24.95" customHeight="1">
      <c r="A48" s="671" t="s">
        <v>262</v>
      </c>
      <c r="B48" s="20"/>
      <c r="C48" s="20"/>
      <c r="D48" s="20"/>
      <c r="E48" s="20"/>
      <c r="F48" s="20"/>
      <c r="G48" s="20"/>
      <c r="H48" s="366"/>
    </row>
    <row r="49" spans="1:10" ht="24.95" customHeight="1">
      <c r="A49" s="671"/>
      <c r="B49" s="20"/>
      <c r="C49" s="20"/>
      <c r="D49" s="20"/>
      <c r="E49" s="20"/>
      <c r="F49" s="20"/>
      <c r="G49" s="20"/>
    </row>
    <row r="50" spans="1:10" ht="43.35" customHeight="1" thickBot="1">
      <c r="A50" s="1138" t="s">
        <v>263</v>
      </c>
      <c r="B50" s="1138"/>
      <c r="C50" s="20"/>
      <c r="D50" s="20"/>
      <c r="E50" s="20"/>
      <c r="F50" s="20"/>
      <c r="G50" s="20"/>
      <c r="H50" s="20"/>
    </row>
    <row r="51" spans="1:10" ht="44.45" customHeight="1" thickBot="1">
      <c r="A51" s="370" t="s">
        <v>264</v>
      </c>
      <c r="B51" s="370" t="s">
        <v>265</v>
      </c>
      <c r="C51" s="1139" t="s">
        <v>266</v>
      </c>
      <c r="D51" s="1140"/>
      <c r="E51" s="1139" t="s">
        <v>267</v>
      </c>
      <c r="F51" s="1140"/>
      <c r="G51" s="20"/>
      <c r="H51" s="20"/>
    </row>
    <row r="52" spans="1:10" ht="24.95" customHeight="1" thickBot="1">
      <c r="A52" s="371"/>
      <c r="B52" s="372"/>
      <c r="C52" s="690"/>
      <c r="D52" s="691"/>
      <c r="E52" s="690"/>
      <c r="F52" s="691"/>
    </row>
    <row r="53" spans="1:10" ht="24.95" customHeight="1" thickBot="1">
      <c r="A53" s="377" t="s">
        <v>149</v>
      </c>
      <c r="B53" s="373"/>
      <c r="C53" s="692"/>
      <c r="D53" s="693"/>
      <c r="E53" s="692"/>
      <c r="F53" s="693"/>
    </row>
    <row r="54" spans="1:10" ht="24.95" customHeight="1">
      <c r="A54" s="883" t="s">
        <v>725</v>
      </c>
      <c r="B54" s="1197">
        <v>0</v>
      </c>
      <c r="C54" s="1199"/>
      <c r="D54" s="1200"/>
      <c r="E54" s="1199"/>
      <c r="F54" s="1200"/>
    </row>
    <row r="55" spans="1:10" ht="24.95" customHeight="1">
      <c r="A55" s="884"/>
      <c r="B55" s="877">
        <v>0</v>
      </c>
      <c r="C55" s="1201"/>
      <c r="D55" s="1202"/>
      <c r="E55" s="1201"/>
      <c r="F55" s="1202"/>
      <c r="J55" s="109"/>
    </row>
    <row r="56" spans="1:10" ht="24.95" customHeight="1">
      <c r="A56" s="884"/>
      <c r="B56" s="877">
        <v>0</v>
      </c>
      <c r="C56" s="1201"/>
      <c r="D56" s="1202"/>
      <c r="E56" s="1201"/>
      <c r="F56" s="1202"/>
      <c r="I56" s="149"/>
    </row>
    <row r="57" spans="1:10" ht="24.95" customHeight="1">
      <c r="A57" s="884"/>
      <c r="B57" s="877">
        <v>0</v>
      </c>
      <c r="C57" s="1201"/>
      <c r="D57" s="1202"/>
      <c r="E57" s="1201"/>
      <c r="F57" s="1202"/>
      <c r="I57" s="149"/>
    </row>
    <row r="58" spans="1:10" ht="24.95" customHeight="1">
      <c r="A58" s="884"/>
      <c r="B58" s="877">
        <v>0</v>
      </c>
      <c r="C58" s="1201"/>
      <c r="D58" s="1202"/>
      <c r="E58" s="1201"/>
      <c r="F58" s="1202"/>
      <c r="I58" s="149"/>
    </row>
    <row r="59" spans="1:10" ht="24.95" customHeight="1" thickBot="1">
      <c r="A59" s="749"/>
      <c r="B59" s="750">
        <v>0</v>
      </c>
      <c r="C59" s="1203"/>
      <c r="D59" s="1204"/>
      <c r="E59" s="1205"/>
      <c r="F59" s="1206"/>
      <c r="I59" s="149"/>
      <c r="J59" s="111"/>
    </row>
    <row r="60" spans="1:10" ht="24.95" customHeight="1" thickBot="1">
      <c r="A60" s="374" t="s">
        <v>268</v>
      </c>
      <c r="B60" s="375">
        <f>SUM(B54:B59)</f>
        <v>0</v>
      </c>
      <c r="C60" s="1207"/>
      <c r="D60" s="1208"/>
      <c r="E60" s="1207"/>
      <c r="F60" s="1208"/>
      <c r="I60" s="421"/>
    </row>
    <row r="61" spans="1:10" ht="24.95" customHeight="1" thickBot="1">
      <c r="A61" s="376"/>
      <c r="B61" s="376"/>
      <c r="C61" s="694"/>
      <c r="D61" s="695"/>
      <c r="E61" s="694"/>
      <c r="F61" s="695"/>
      <c r="I61" s="149"/>
    </row>
    <row r="62" spans="1:10" ht="24.95" customHeight="1" thickBot="1">
      <c r="A62" s="377" t="s">
        <v>146</v>
      </c>
      <c r="B62" s="373"/>
      <c r="C62" s="692"/>
      <c r="D62" s="693"/>
      <c r="E62" s="692"/>
      <c r="F62" s="693"/>
      <c r="I62" s="149"/>
    </row>
    <row r="63" spans="1:10" ht="24.95" customHeight="1">
      <c r="A63" s="883" t="s">
        <v>726</v>
      </c>
      <c r="B63" s="1198">
        <v>600000</v>
      </c>
      <c r="C63" s="1199" t="s">
        <v>824</v>
      </c>
      <c r="D63" s="1200"/>
      <c r="E63" s="1199" t="s">
        <v>823</v>
      </c>
      <c r="F63" s="1200"/>
      <c r="I63" s="149"/>
    </row>
    <row r="64" spans="1:10" ht="24.95" customHeight="1">
      <c r="A64" s="884"/>
      <c r="B64" s="877">
        <v>0</v>
      </c>
      <c r="C64" s="1201"/>
      <c r="D64" s="1202"/>
      <c r="E64" s="1201"/>
      <c r="F64" s="1202"/>
      <c r="I64" s="149"/>
    </row>
    <row r="65" spans="1:9" ht="24.95" customHeight="1">
      <c r="A65" s="884"/>
      <c r="B65" s="877">
        <v>0</v>
      </c>
      <c r="C65" s="1201"/>
      <c r="D65" s="1202"/>
      <c r="E65" s="1201"/>
      <c r="F65" s="1202"/>
      <c r="I65" s="149"/>
    </row>
    <row r="66" spans="1:9" ht="24.95" customHeight="1">
      <c r="A66" s="884"/>
      <c r="B66" s="877">
        <v>0</v>
      </c>
      <c r="C66" s="1201"/>
      <c r="D66" s="1202"/>
      <c r="E66" s="1201"/>
      <c r="F66" s="1202"/>
      <c r="I66" s="149"/>
    </row>
    <row r="67" spans="1:9" ht="24.95" customHeight="1">
      <c r="A67" s="884"/>
      <c r="B67" s="877">
        <v>0</v>
      </c>
      <c r="C67" s="1201"/>
      <c r="D67" s="1202"/>
      <c r="E67" s="1201"/>
      <c r="F67" s="1202"/>
    </row>
    <row r="68" spans="1:9" ht="24.95" customHeight="1" thickBot="1">
      <c r="A68" s="749"/>
      <c r="B68" s="750">
        <v>0</v>
      </c>
      <c r="C68" s="1205"/>
      <c r="D68" s="1206"/>
      <c r="E68" s="1205"/>
      <c r="F68" s="1206"/>
    </row>
    <row r="69" spans="1:9" ht="24.95" customHeight="1" thickBot="1">
      <c r="A69" s="374" t="s">
        <v>269</v>
      </c>
      <c r="B69" s="375">
        <f>SUM(B63:B68)</f>
        <v>600000</v>
      </c>
      <c r="C69" s="1209"/>
      <c r="D69" s="1210"/>
      <c r="E69" s="1209"/>
      <c r="F69" s="1210"/>
    </row>
    <row r="70" spans="1:9" ht="24.95" customHeight="1" thickBot="1">
      <c r="A70" s="374" t="s">
        <v>270</v>
      </c>
      <c r="B70" s="375">
        <f>+B69+B60</f>
        <v>600000</v>
      </c>
      <c r="C70" s="1209"/>
      <c r="D70" s="1210"/>
      <c r="E70" s="1211"/>
      <c r="F70" s="1212"/>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rintOptions horizontalCentered="1"/>
  <pageMargins left="0" right="0" top="0.5" bottom="0.5" header="0.5" footer="0.5"/>
  <pageSetup scale="38" orientation="portrait" r:id="rId1"/>
  <headerFooter alignWithMargins="0"/>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18" customWidth="1"/>
    <col min="2" max="2" width="100.42578125" style="218" customWidth="1"/>
    <col min="3" max="3" width="18.7109375" style="218" customWidth="1"/>
    <col min="4" max="4" width="25.7109375" style="218" customWidth="1"/>
    <col min="5" max="5" width="21.42578125" style="218" customWidth="1"/>
    <col min="6" max="6" width="6.85546875" style="218" customWidth="1"/>
    <col min="7" max="7" width="9.140625" style="218"/>
    <col min="8" max="8" width="59" style="218" customWidth="1"/>
    <col min="9" max="9" width="13.7109375" style="218" customWidth="1"/>
    <col min="10" max="10" width="12.7109375" style="218" bestFit="1" customWidth="1"/>
    <col min="11" max="11" width="14" style="218" customWidth="1"/>
    <col min="12" max="28" width="12.7109375" style="218" customWidth="1"/>
    <col min="29" max="29" width="11" style="218" customWidth="1"/>
    <col min="30" max="30" width="12.7109375" style="218" customWidth="1"/>
    <col min="31" max="31" width="12.42578125" style="218" customWidth="1"/>
    <col min="32" max="32" width="11.42578125" style="218" customWidth="1"/>
    <col min="33" max="33" width="2.28515625" style="218" customWidth="1"/>
    <col min="34" max="34" width="20.140625" style="218" customWidth="1"/>
    <col min="35" max="35" width="6" style="549" customWidth="1"/>
    <col min="36" max="36" width="14.42578125" style="218" customWidth="1"/>
    <col min="37" max="37" width="13.7109375" style="218" customWidth="1"/>
    <col min="38" max="38" width="2.140625" style="218" customWidth="1"/>
    <col min="39" max="40" width="9.140625" style="218"/>
    <col min="41" max="41" width="11.28515625" style="218" customWidth="1"/>
    <col min="42" max="42" width="11.42578125" style="218" customWidth="1"/>
    <col min="43" max="43" width="11" style="218" customWidth="1"/>
    <col min="44" max="44" width="11.140625" style="218" customWidth="1"/>
    <col min="45" max="16384" width="9.140625" style="218"/>
  </cols>
  <sheetData>
    <row r="1" spans="1:47" s="37" customFormat="1" ht="24" customHeight="1">
      <c r="A1" s="368"/>
      <c r="B1" s="368"/>
      <c r="C1" s="368"/>
      <c r="D1" s="368"/>
      <c r="E1" s="1037" t="s">
        <v>271</v>
      </c>
      <c r="F1" s="368"/>
      <c r="AI1" s="24"/>
    </row>
    <row r="2" spans="1:47" s="37" customFormat="1" ht="24" customHeight="1">
      <c r="A2" s="368"/>
      <c r="B2" s="368"/>
      <c r="C2" s="368"/>
      <c r="D2" s="368"/>
      <c r="E2" s="368"/>
      <c r="F2" s="368"/>
      <c r="AI2" s="24"/>
    </row>
    <row r="3" spans="1:47" s="37" customFormat="1" ht="24" customHeight="1">
      <c r="A3" s="1129" t="s">
        <v>11</v>
      </c>
      <c r="B3" s="1129"/>
      <c r="C3" s="1129"/>
      <c r="D3" s="1129"/>
      <c r="E3" s="1129"/>
      <c r="F3" s="368"/>
    </row>
    <row r="4" spans="1:47" s="37" customFormat="1" ht="23.45" customHeight="1">
      <c r="A4" s="1129" t="s">
        <v>272</v>
      </c>
      <c r="B4" s="1129"/>
      <c r="C4" s="1129"/>
      <c r="D4" s="1129"/>
      <c r="E4" s="1129"/>
      <c r="F4" s="368"/>
    </row>
    <row r="5" spans="1:47" s="37" customFormat="1" ht="23.1" customHeight="1">
      <c r="A5" s="1128"/>
      <c r="B5" s="1128"/>
      <c r="C5" s="1128"/>
      <c r="D5" s="1128"/>
      <c r="E5" s="1128"/>
      <c r="F5" s="368"/>
    </row>
    <row r="6" spans="1:47" s="37" customFormat="1" ht="24.95" customHeight="1">
      <c r="A6" s="1132"/>
      <c r="B6" s="1132"/>
      <c r="C6" s="1132"/>
      <c r="D6" s="1132"/>
      <c r="E6" s="1132"/>
      <c r="F6" s="368"/>
    </row>
    <row r="7" spans="1:47" s="37" customFormat="1" ht="24.95" customHeight="1" thickBot="1">
      <c r="A7" s="1128" t="s">
        <v>223</v>
      </c>
      <c r="B7" s="1133" t="str">
        <f>'CHECK SHEET'!D7</f>
        <v>Palm Beach State College</v>
      </c>
      <c r="C7" s="1133"/>
      <c r="D7" s="1133"/>
      <c r="E7" s="1133"/>
      <c r="F7" s="1043"/>
    </row>
    <row r="8" spans="1:47" s="37" customFormat="1" ht="24.95" customHeight="1">
      <c r="A8" s="1141"/>
      <c r="B8" s="1141"/>
      <c r="C8" s="1141"/>
      <c r="D8" s="1141"/>
      <c r="E8" s="1141"/>
    </row>
    <row r="9" spans="1:47" s="37" customFormat="1" ht="24.95" customHeight="1">
      <c r="A9" s="1142"/>
      <c r="B9" s="1143"/>
      <c r="C9" s="1143"/>
      <c r="D9" s="1143"/>
      <c r="E9" s="1143"/>
    </row>
    <row r="10" spans="1:47" s="37" customFormat="1" ht="42.6" customHeight="1">
      <c r="A10" s="1144" t="s">
        <v>273</v>
      </c>
      <c r="B10" s="1144"/>
      <c r="C10" s="1144"/>
      <c r="D10" s="1144"/>
      <c r="E10" s="1144"/>
    </row>
    <row r="11" spans="1:47" ht="24.9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5" customHeight="1">
      <c r="A14" s="885" t="s">
        <v>205</v>
      </c>
      <c r="B14" s="885" t="s">
        <v>133</v>
      </c>
      <c r="C14" s="886" t="s">
        <v>233</v>
      </c>
      <c r="D14" s="565">
        <v>0</v>
      </c>
      <c r="E14" s="565">
        <v>0</v>
      </c>
      <c r="AI14" s="218"/>
    </row>
    <row r="15" spans="1:47" ht="24.95" customHeight="1">
      <c r="A15" s="885" t="s">
        <v>205</v>
      </c>
      <c r="B15" s="885" t="s">
        <v>134</v>
      </c>
      <c r="C15" s="886" t="s">
        <v>234</v>
      </c>
      <c r="D15" s="565">
        <v>0</v>
      </c>
      <c r="E15" s="565">
        <v>0</v>
      </c>
      <c r="AI15" s="218"/>
    </row>
    <row r="16" spans="1:47" ht="24.95" customHeight="1">
      <c r="A16" s="885" t="s">
        <v>205</v>
      </c>
      <c r="B16" s="885" t="s">
        <v>82</v>
      </c>
      <c r="C16" s="886" t="s">
        <v>235</v>
      </c>
      <c r="D16" s="565">
        <v>0</v>
      </c>
      <c r="E16" s="565">
        <v>0</v>
      </c>
      <c r="AI16" s="218"/>
    </row>
    <row r="17" spans="1:46" ht="24.95" customHeight="1">
      <c r="A17" s="885" t="s">
        <v>205</v>
      </c>
      <c r="B17" s="885" t="s">
        <v>135</v>
      </c>
      <c r="C17" s="886" t="s">
        <v>236</v>
      </c>
      <c r="D17" s="566">
        <v>0</v>
      </c>
      <c r="E17" s="566">
        <v>0</v>
      </c>
      <c r="AI17" s="218"/>
    </row>
    <row r="18" spans="1:46" ht="24.95" customHeight="1" thickBot="1">
      <c r="A18" s="885" t="s">
        <v>205</v>
      </c>
      <c r="B18" s="885" t="s">
        <v>136</v>
      </c>
      <c r="C18" s="886">
        <v>40160</v>
      </c>
      <c r="D18" s="567">
        <v>0</v>
      </c>
      <c r="E18" s="567">
        <v>0</v>
      </c>
      <c r="AI18" s="218"/>
    </row>
    <row r="19" spans="1:46" ht="24.95" customHeight="1" thickBot="1">
      <c r="A19" s="541"/>
      <c r="B19" s="613"/>
      <c r="C19" s="614"/>
      <c r="D19" s="1213"/>
      <c r="E19" s="1214"/>
      <c r="AI19" s="218"/>
    </row>
    <row r="20" spans="1:46" ht="24.95" customHeight="1" thickBot="1">
      <c r="A20" s="887"/>
      <c r="B20" s="888" t="s">
        <v>237</v>
      </c>
      <c r="C20" s="888"/>
      <c r="D20" s="888"/>
      <c r="E20" s="889">
        <f>SUM(E13:E18)</f>
        <v>0</v>
      </c>
      <c r="AI20" s="218"/>
    </row>
    <row r="21" spans="1:46" ht="78" customHeight="1" thickBot="1">
      <c r="A21" s="537" t="s">
        <v>274</v>
      </c>
      <c r="B21" s="537" t="s">
        <v>226</v>
      </c>
      <c r="C21" s="538" t="s">
        <v>275</v>
      </c>
      <c r="D21" s="538" t="s">
        <v>278</v>
      </c>
      <c r="E21" s="538" t="s">
        <v>277</v>
      </c>
      <c r="AI21" s="218"/>
    </row>
    <row r="22" spans="1:46" s="215" customFormat="1" ht="24.95" customHeight="1">
      <c r="A22" s="697" t="s">
        <v>220</v>
      </c>
      <c r="B22" s="615" t="s">
        <v>232</v>
      </c>
      <c r="C22" s="616">
        <v>40301</v>
      </c>
      <c r="D22" s="696">
        <v>0</v>
      </c>
      <c r="E22" s="696">
        <v>0</v>
      </c>
    </row>
    <row r="23" spans="1:46" s="215" customFormat="1" ht="24.95" customHeight="1">
      <c r="A23" s="885" t="s">
        <v>220</v>
      </c>
      <c r="B23" s="751" t="s">
        <v>133</v>
      </c>
      <c r="C23" s="775" t="s">
        <v>240</v>
      </c>
      <c r="D23" s="890">
        <v>0</v>
      </c>
      <c r="E23" s="890">
        <v>0</v>
      </c>
    </row>
    <row r="24" spans="1:46" s="215" customFormat="1" ht="24.95" customHeight="1">
      <c r="A24" s="885" t="s">
        <v>220</v>
      </c>
      <c r="B24" s="751" t="s">
        <v>134</v>
      </c>
      <c r="C24" s="775" t="s">
        <v>241</v>
      </c>
      <c r="D24" s="890">
        <v>0</v>
      </c>
      <c r="E24" s="890">
        <v>0</v>
      </c>
    </row>
    <row r="25" spans="1:46" s="215" customFormat="1" ht="24.95" customHeight="1">
      <c r="A25" s="885" t="s">
        <v>220</v>
      </c>
      <c r="B25" s="751" t="s">
        <v>82</v>
      </c>
      <c r="C25" s="775" t="s">
        <v>242</v>
      </c>
      <c r="D25" s="890">
        <v>0</v>
      </c>
      <c r="E25" s="890">
        <v>0</v>
      </c>
    </row>
    <row r="26" spans="1:46" s="215" customFormat="1" ht="24.95" customHeight="1">
      <c r="A26" s="885" t="s">
        <v>220</v>
      </c>
      <c r="B26" s="751" t="s">
        <v>135</v>
      </c>
      <c r="C26" s="775" t="s">
        <v>243</v>
      </c>
      <c r="D26" s="890">
        <v>0</v>
      </c>
      <c r="E26" s="890">
        <v>0</v>
      </c>
    </row>
    <row r="27" spans="1:46" s="215" customFormat="1" ht="24.95" customHeight="1" thickBot="1">
      <c r="A27" s="479" t="s">
        <v>220</v>
      </c>
      <c r="B27" s="615" t="s">
        <v>136</v>
      </c>
      <c r="C27" s="542">
        <v>40360</v>
      </c>
      <c r="D27" s="567">
        <v>0</v>
      </c>
      <c r="E27" s="568">
        <v>0</v>
      </c>
    </row>
    <row r="28" spans="1:46" ht="24.95" customHeight="1" thickBot="1">
      <c r="A28" s="617"/>
      <c r="B28" s="618"/>
      <c r="C28" s="617"/>
      <c r="D28" s="543"/>
      <c r="E28" s="619"/>
      <c r="AI28" s="218"/>
    </row>
    <row r="29" spans="1:46" ht="24.95" customHeight="1" thickBot="1">
      <c r="A29" s="698"/>
      <c r="B29" s="620" t="s">
        <v>237</v>
      </c>
      <c r="C29" s="544"/>
      <c r="D29" s="544"/>
      <c r="E29" s="621">
        <f>SUM(E22:E27)</f>
        <v>0</v>
      </c>
      <c r="AI29" s="218"/>
      <c r="AT29" s="545"/>
    </row>
    <row r="30" spans="1:46" ht="24.95" customHeight="1" thickBot="1">
      <c r="A30" s="544" t="s">
        <v>279</v>
      </c>
      <c r="B30" s="546"/>
      <c r="C30" s="547"/>
      <c r="D30" s="547"/>
      <c r="E30" s="548">
        <f>E20+E29</f>
        <v>0</v>
      </c>
      <c r="AI30" s="218"/>
    </row>
    <row r="31" spans="1:46" ht="24.95" customHeight="1">
      <c r="A31" s="535"/>
      <c r="B31" s="536"/>
      <c r="C31" s="536"/>
      <c r="D31" s="536"/>
      <c r="E31" s="536"/>
      <c r="AI31" s="218"/>
    </row>
    <row r="32" spans="1:46" ht="24.95" customHeight="1" thickBot="1">
      <c r="A32" s="604" t="s">
        <v>280</v>
      </c>
      <c r="B32" s="536"/>
      <c r="C32" s="536"/>
      <c r="D32" s="536"/>
      <c r="E32" s="536"/>
      <c r="AI32" s="218"/>
    </row>
    <row r="33" spans="1:46" ht="24.95" customHeight="1">
      <c r="A33" s="1048"/>
      <c r="B33" s="1049"/>
      <c r="C33" s="1049"/>
      <c r="D33" s="1049"/>
      <c r="E33" s="1050"/>
      <c r="AI33" s="218"/>
    </row>
    <row r="34" spans="1:46" ht="24.95" customHeight="1">
      <c r="A34" s="1051"/>
      <c r="B34" s="1052"/>
      <c r="C34" s="1052"/>
      <c r="D34" s="1052"/>
      <c r="E34" s="1053"/>
      <c r="AI34" s="218"/>
    </row>
    <row r="35" spans="1:46" s="545" customFormat="1" ht="24.95" customHeight="1">
      <c r="A35" s="1051"/>
      <c r="B35" s="1052"/>
      <c r="C35" s="1052"/>
      <c r="D35" s="1052"/>
      <c r="E35" s="1053"/>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5" customHeight="1">
      <c r="A36" s="1051"/>
      <c r="B36" s="1052"/>
      <c r="C36" s="1052"/>
      <c r="D36" s="1052"/>
      <c r="E36" s="1053"/>
      <c r="AI36" s="218"/>
    </row>
    <row r="37" spans="1:46" ht="24.95" customHeight="1" thickBot="1">
      <c r="A37" s="1054"/>
      <c r="B37" s="1055"/>
      <c r="C37" s="1055"/>
      <c r="D37" s="1055"/>
      <c r="E37" s="1056"/>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48" orientation="portrait" r:id="rId1"/>
  <headerFooter alignWithMargins="0"/>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82"/>
  <sheetViews>
    <sheetView showGridLines="0" topLeftCell="A268" zoomScale="70" zoomScaleNormal="70" zoomScaleSheetLayoutView="70" zoomScalePageLayoutView="70" workbookViewId="0">
      <selection activeCell="P214" sqref="P214"/>
    </sheetView>
  </sheetViews>
  <sheetFormatPr defaultColWidth="9.140625" defaultRowHeight="18.75"/>
  <cols>
    <col min="1" max="1" width="57" style="215" customWidth="1"/>
    <col min="2" max="2" width="1.42578125" style="215" customWidth="1"/>
    <col min="3" max="3" width="21.28515625" style="215" customWidth="1"/>
    <col min="4" max="4" width="9.140625" style="215"/>
    <col min="5" max="5" width="49.42578125" style="215" customWidth="1"/>
    <col min="6" max="6" width="17" style="215" customWidth="1"/>
    <col min="7" max="7" width="25.42578125" style="215" customWidth="1"/>
    <col min="8" max="8" width="1.85546875" style="215" customWidth="1"/>
    <col min="9" max="9" width="11.7109375" style="215" bestFit="1" customWidth="1"/>
    <col min="10" max="10" width="15.42578125" style="215" bestFit="1" customWidth="1"/>
    <col min="11" max="16384" width="9.140625" style="215"/>
  </cols>
  <sheetData>
    <row r="1" spans="1:8" ht="26.25">
      <c r="A1" s="1145"/>
      <c r="B1" s="1145"/>
      <c r="C1" s="1145"/>
      <c r="D1" s="1145"/>
      <c r="E1" s="1145"/>
      <c r="F1" s="1145"/>
      <c r="G1" s="1146"/>
    </row>
    <row r="2" spans="1:8" ht="30" customHeight="1" thickBot="1">
      <c r="A2" s="1146" t="s">
        <v>183</v>
      </c>
      <c r="B2" s="1133" t="str">
        <f>'CHECK SHEET'!D7</f>
        <v>Palm Beach State College</v>
      </c>
      <c r="C2" s="1133"/>
      <c r="D2" s="1133"/>
      <c r="E2" s="1133"/>
      <c r="F2" s="1133"/>
      <c r="G2" s="1147"/>
    </row>
    <row r="3" spans="1:8" ht="23.1" customHeight="1">
      <c r="A3" s="1129" t="s">
        <v>281</v>
      </c>
      <c r="B3" s="1129"/>
      <c r="C3" s="1129"/>
      <c r="D3" s="1129"/>
      <c r="E3" s="1129"/>
      <c r="F3" s="1129"/>
      <c r="G3" s="1129"/>
    </row>
    <row r="4" spans="1:8" ht="23.45" customHeight="1">
      <c r="A4" s="1129" t="s">
        <v>282</v>
      </c>
      <c r="B4" s="1129"/>
      <c r="C4" s="1129"/>
      <c r="D4" s="1129"/>
      <c r="E4" s="1129"/>
      <c r="F4" s="1129"/>
      <c r="G4" s="1129"/>
    </row>
    <row r="5" spans="1:8" ht="23.45" customHeight="1">
      <c r="A5" s="1129" t="s">
        <v>755</v>
      </c>
      <c r="B5" s="1129"/>
      <c r="C5" s="1129"/>
      <c r="D5" s="1129"/>
      <c r="E5" s="1129"/>
      <c r="F5" s="1129"/>
      <c r="G5" s="1129"/>
    </row>
    <row r="6" spans="1:8" ht="20.100000000000001" customHeight="1">
      <c r="A6" s="1148"/>
      <c r="B6" s="1148"/>
      <c r="C6" s="1148"/>
      <c r="D6" s="1148"/>
      <c r="E6" s="1148"/>
      <c r="F6" s="1148"/>
      <c r="G6" s="1148"/>
    </row>
    <row r="7" spans="1:8" ht="38.450000000000003" customHeight="1">
      <c r="A7" s="1149" t="s">
        <v>283</v>
      </c>
      <c r="B7" s="1149"/>
      <c r="C7" s="1149"/>
      <c r="D7" s="1149"/>
      <c r="E7" s="1149"/>
      <c r="F7" s="1149"/>
      <c r="G7" s="1149"/>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2663287</v>
      </c>
      <c r="H12" s="219"/>
    </row>
    <row r="13" spans="1:8" ht="20.100000000000001" customHeight="1">
      <c r="A13" s="625" t="s">
        <v>205</v>
      </c>
      <c r="B13" s="226"/>
      <c r="C13" s="219" t="s">
        <v>133</v>
      </c>
      <c r="D13" s="226"/>
      <c r="E13" s="226"/>
      <c r="F13" s="232" t="s">
        <v>233</v>
      </c>
      <c r="G13" s="231">
        <f>+'EXHIBIT C'!H11+'EXHIBIT C(2)'!E14</f>
        <v>29145142</v>
      </c>
      <c r="H13" s="219"/>
    </row>
    <row r="14" spans="1:8" ht="20.100000000000001" customHeight="1">
      <c r="A14" s="625" t="s">
        <v>205</v>
      </c>
      <c r="B14" s="226"/>
      <c r="C14" s="226" t="s">
        <v>134</v>
      </c>
      <c r="D14" s="226"/>
      <c r="E14" s="226"/>
      <c r="F14" s="232" t="s">
        <v>234</v>
      </c>
      <c r="G14" s="649">
        <f>+'EXHIBIT C'!H12+'EXHIBIT C(2)'!E15</f>
        <v>3239717</v>
      </c>
      <c r="H14" s="219"/>
    </row>
    <row r="15" spans="1:8" ht="20.100000000000001" customHeight="1">
      <c r="A15" s="625" t="s">
        <v>205</v>
      </c>
      <c r="B15" s="226"/>
      <c r="C15" s="233" t="s">
        <v>287</v>
      </c>
      <c r="D15" s="226"/>
      <c r="E15" s="226"/>
      <c r="F15" s="232" t="s">
        <v>235</v>
      </c>
      <c r="G15" s="649">
        <f>+'EXHIBIT C'!H13+'EXHIBIT C(2)'!E16</f>
        <v>1645027</v>
      </c>
      <c r="H15" s="219"/>
    </row>
    <row r="16" spans="1:8" ht="20.100000000000001" customHeight="1">
      <c r="A16" s="625" t="s">
        <v>205</v>
      </c>
      <c r="B16" s="226"/>
      <c r="C16" s="233" t="s">
        <v>288</v>
      </c>
      <c r="D16" s="226"/>
      <c r="E16" s="226"/>
      <c r="F16" s="232" t="s">
        <v>236</v>
      </c>
      <c r="G16" s="650">
        <f>+'EXHIBIT C'!H14+'EXHIBIT C(2)'!E17</f>
        <v>828736</v>
      </c>
      <c r="H16" s="219"/>
    </row>
    <row r="17" spans="1:8" ht="20.100000000000001" customHeight="1">
      <c r="A17" s="625" t="s">
        <v>205</v>
      </c>
      <c r="B17" s="226"/>
      <c r="C17" s="219" t="s">
        <v>136</v>
      </c>
      <c r="D17" s="226"/>
      <c r="E17" s="226"/>
      <c r="F17" s="235">
        <v>40160</v>
      </c>
      <c r="G17" s="650">
        <f>+'EXHIBIT C'!H15+'EXHIBIT C(2)'!E18</f>
        <v>36075</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91">
        <f>SUM(G12:G17)</f>
        <v>37557984</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413393</v>
      </c>
      <c r="H21" s="662"/>
    </row>
    <row r="22" spans="1:8" ht="20.100000000000001" customHeight="1">
      <c r="A22" s="626" t="s">
        <v>220</v>
      </c>
      <c r="B22" s="226"/>
      <c r="C22" s="219" t="s">
        <v>133</v>
      </c>
      <c r="D22" s="226"/>
      <c r="E22" s="226"/>
      <c r="F22" s="232" t="s">
        <v>240</v>
      </c>
      <c r="G22" s="237">
        <f>+'EXHIBIT C'!F20+'EXHIBIT C(2)'!E23</f>
        <v>3873222</v>
      </c>
      <c r="H22" s="219"/>
    </row>
    <row r="23" spans="1:8" ht="20.100000000000001" customHeight="1">
      <c r="A23" s="626" t="s">
        <v>220</v>
      </c>
      <c r="B23" s="226"/>
      <c r="C23" s="226" t="s">
        <v>134</v>
      </c>
      <c r="D23" s="226"/>
      <c r="E23" s="226"/>
      <c r="F23" s="232" t="s">
        <v>241</v>
      </c>
      <c r="G23" s="242">
        <f>+'EXHIBIT C'!F21+'EXHIBIT C(2)'!E24</f>
        <v>218037</v>
      </c>
      <c r="H23" s="219"/>
    </row>
    <row r="24" spans="1:8" ht="20.100000000000001" customHeight="1">
      <c r="A24" s="626" t="s">
        <v>220</v>
      </c>
      <c r="B24" s="226"/>
      <c r="C24" s="233" t="s">
        <v>287</v>
      </c>
      <c r="D24" s="226"/>
      <c r="E24" s="226"/>
      <c r="F24" s="232" t="s">
        <v>242</v>
      </c>
      <c r="G24" s="242">
        <f>+'EXHIBIT C'!F22+'EXHIBIT C(2)'!E25</f>
        <v>51688</v>
      </c>
      <c r="H24" s="219"/>
    </row>
    <row r="25" spans="1:8" ht="20.100000000000001" customHeight="1">
      <c r="A25" s="626" t="s">
        <v>220</v>
      </c>
      <c r="B25" s="226"/>
      <c r="C25" s="233" t="s">
        <v>288</v>
      </c>
      <c r="D25" s="226"/>
      <c r="E25" s="226"/>
      <c r="F25" s="232" t="s">
        <v>243</v>
      </c>
      <c r="G25" s="242">
        <f>+'EXHIBIT C'!F23+'EXHIBIT C(2)'!E26</f>
        <v>94966</v>
      </c>
      <c r="H25" s="219"/>
    </row>
    <row r="26" spans="1:8" ht="20.100000000000001" customHeight="1">
      <c r="A26" s="626" t="s">
        <v>220</v>
      </c>
      <c r="B26" s="226"/>
      <c r="C26" s="219" t="s">
        <v>136</v>
      </c>
      <c r="D26" s="226"/>
      <c r="E26" s="226"/>
      <c r="F26" s="235">
        <v>40360</v>
      </c>
      <c r="G26" s="242">
        <f>+'EXHIBIT C'!F24+'EXHIBIT C(2)'!E27</f>
        <v>2720</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2">
        <f>SUM(G21:G26)</f>
        <v>4654026</v>
      </c>
      <c r="H28" s="219"/>
    </row>
    <row r="29" spans="1:8" ht="20.100000000000001" customHeight="1">
      <c r="A29" s="625"/>
      <c r="B29" s="226"/>
      <c r="C29" s="226"/>
      <c r="D29" s="226"/>
      <c r="E29" s="226"/>
      <c r="F29" s="232"/>
      <c r="G29" s="239"/>
      <c r="H29" s="219"/>
    </row>
    <row r="30" spans="1:8" ht="20.100000000000001" customHeight="1">
      <c r="A30" s="625" t="s">
        <v>291</v>
      </c>
      <c r="B30" s="226"/>
      <c r="C30" s="1058" t="s">
        <v>251</v>
      </c>
      <c r="D30" s="1058"/>
      <c r="E30" s="1058"/>
      <c r="F30" s="232" t="s">
        <v>252</v>
      </c>
      <c r="G30" s="240">
        <f>'EXHIBIT C'!H32</f>
        <v>0</v>
      </c>
      <c r="H30" s="219"/>
    </row>
    <row r="31" spans="1:8" ht="20.100000000000001" customHeight="1">
      <c r="A31" s="625" t="s">
        <v>291</v>
      </c>
      <c r="B31" s="226"/>
      <c r="C31" s="219" t="s">
        <v>253</v>
      </c>
      <c r="D31" s="226"/>
      <c r="E31" s="226"/>
      <c r="F31" s="232" t="s">
        <v>254</v>
      </c>
      <c r="G31" s="240">
        <f>'EXHIBIT C'!H33</f>
        <v>0</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2">
        <f>SUM(G30:G33)</f>
        <v>0</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59" t="s">
        <v>253</v>
      </c>
      <c r="D38" s="1059"/>
      <c r="E38" s="1059"/>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59" t="s">
        <v>253</v>
      </c>
      <c r="D40" s="1059"/>
      <c r="E40" s="1059"/>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2">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3">
        <f>G19+G28+G35+G42</f>
        <v>42212010</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0</v>
      </c>
      <c r="H46" s="219"/>
    </row>
    <row r="47" spans="1:8" ht="20.100000000000001" customHeight="1">
      <c r="A47" s="625" t="s">
        <v>300</v>
      </c>
      <c r="B47" s="243"/>
      <c r="C47" s="243"/>
      <c r="D47" s="243"/>
      <c r="E47" s="243"/>
      <c r="F47" s="244" t="s">
        <v>301</v>
      </c>
      <c r="G47" s="569">
        <v>1246000</v>
      </c>
      <c r="H47" s="662"/>
    </row>
    <row r="48" spans="1:8" ht="20.100000000000001" customHeight="1">
      <c r="A48" s="625" t="s">
        <v>302</v>
      </c>
      <c r="B48" s="219"/>
      <c r="C48" s="243"/>
      <c r="D48" s="243"/>
      <c r="E48" s="243"/>
      <c r="F48" s="244" t="s">
        <v>303</v>
      </c>
      <c r="G48" s="569">
        <v>1700000</v>
      </c>
      <c r="H48" s="662"/>
    </row>
    <row r="49" spans="1:8" ht="20.100000000000001" customHeight="1">
      <c r="A49" s="625" t="s">
        <v>304</v>
      </c>
      <c r="B49" s="226"/>
      <c r="C49" s="226"/>
      <c r="D49" s="226"/>
      <c r="E49" s="226"/>
      <c r="F49" s="245" t="s">
        <v>305</v>
      </c>
      <c r="G49" s="569">
        <v>100000</v>
      </c>
      <c r="H49" s="219"/>
    </row>
    <row r="50" spans="1:8" ht="20.100000000000001" customHeight="1">
      <c r="A50" s="625" t="s">
        <v>306</v>
      </c>
      <c r="B50" s="226"/>
      <c r="C50" s="226"/>
      <c r="D50" s="226"/>
      <c r="E50" s="226"/>
      <c r="F50" s="245" t="s">
        <v>307</v>
      </c>
      <c r="G50" s="569">
        <v>1326000</v>
      </c>
      <c r="H50" s="219"/>
    </row>
    <row r="51" spans="1:8" ht="20.100000000000001" customHeight="1">
      <c r="A51" s="625" t="s">
        <v>308</v>
      </c>
      <c r="B51" s="226"/>
      <c r="C51" s="226"/>
      <c r="D51" s="226"/>
      <c r="E51" s="226"/>
      <c r="F51" s="230">
        <v>40450</v>
      </c>
      <c r="G51" s="569">
        <v>2762000</v>
      </c>
      <c r="H51" s="219"/>
    </row>
    <row r="52" spans="1:8" ht="20.100000000000001" customHeight="1">
      <c r="A52" s="625" t="s">
        <v>309</v>
      </c>
      <c r="B52" s="226"/>
      <c r="C52" s="226"/>
      <c r="D52" s="226"/>
      <c r="E52" s="226"/>
      <c r="F52" s="245" t="s">
        <v>310</v>
      </c>
      <c r="G52" s="569">
        <v>680000</v>
      </c>
      <c r="H52" s="219"/>
    </row>
    <row r="53" spans="1:8" ht="20.100000000000001" customHeight="1">
      <c r="A53" s="626" t="s">
        <v>311</v>
      </c>
      <c r="B53" s="229"/>
      <c r="C53" s="229"/>
      <c r="D53" s="229"/>
      <c r="E53" s="229"/>
      <c r="F53" s="244" t="s">
        <v>312</v>
      </c>
      <c r="G53" s="569">
        <v>0</v>
      </c>
      <c r="H53" s="219"/>
    </row>
    <row r="54" spans="1:8" ht="20.100000000000001" customHeight="1">
      <c r="A54" s="626" t="s">
        <v>313</v>
      </c>
      <c r="B54" s="229"/>
      <c r="C54" s="229"/>
      <c r="D54" s="229"/>
      <c r="E54" s="229"/>
      <c r="F54" s="245" t="s">
        <v>314</v>
      </c>
      <c r="G54" s="569">
        <v>1000</v>
      </c>
      <c r="H54" s="219"/>
    </row>
    <row r="55" spans="1:8" ht="20.100000000000001" customHeight="1">
      <c r="A55" s="626" t="s">
        <v>315</v>
      </c>
      <c r="B55" s="229"/>
      <c r="C55" s="229"/>
      <c r="D55" s="229"/>
      <c r="E55" s="229"/>
      <c r="F55" s="244" t="s">
        <v>316</v>
      </c>
      <c r="G55" s="569">
        <v>0</v>
      </c>
      <c r="H55" s="219"/>
    </row>
    <row r="56" spans="1:8" ht="20.100000000000001" customHeight="1">
      <c r="A56" s="626" t="s">
        <v>317</v>
      </c>
      <c r="B56" s="229"/>
      <c r="C56" s="229"/>
      <c r="D56" s="229"/>
      <c r="E56" s="229"/>
      <c r="F56" s="245" t="s">
        <v>318</v>
      </c>
      <c r="G56" s="569">
        <v>63000</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v>2694000</v>
      </c>
      <c r="H58" s="219"/>
    </row>
    <row r="59" spans="1:8" ht="20.100000000000001" customHeight="1">
      <c r="A59" s="626" t="s">
        <v>323</v>
      </c>
      <c r="B59" s="229"/>
      <c r="C59" s="229"/>
      <c r="D59" s="229"/>
      <c r="E59" s="229"/>
      <c r="F59" s="245" t="s">
        <v>324</v>
      </c>
      <c r="G59" s="569">
        <v>1058000</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v>0</v>
      </c>
      <c r="H61" s="219"/>
    </row>
    <row r="62" spans="1:8" ht="20.100000000000001" customHeight="1">
      <c r="A62" s="625"/>
      <c r="B62" s="226"/>
      <c r="C62" s="226"/>
      <c r="D62" s="226"/>
      <c r="E62" s="226"/>
      <c r="F62" s="232"/>
      <c r="G62" s="894"/>
      <c r="H62" s="219"/>
    </row>
    <row r="63" spans="1:8" ht="20.100000000000001" customHeight="1">
      <c r="A63" s="627" t="s">
        <v>329</v>
      </c>
      <c r="B63" s="226"/>
      <c r="C63" s="226"/>
      <c r="D63" s="226"/>
      <c r="E63" s="226"/>
      <c r="F63" s="232"/>
      <c r="G63" s="895">
        <f>SUM(G44:G61)</f>
        <v>53842010</v>
      </c>
      <c r="H63" s="219"/>
    </row>
    <row r="64" spans="1:8" ht="20.100000000000001" customHeight="1">
      <c r="A64" s="625"/>
      <c r="B64" s="226"/>
      <c r="C64" s="226"/>
      <c r="D64" s="226"/>
      <c r="E64" s="226"/>
      <c r="F64" s="232"/>
      <c r="G64" s="238"/>
      <c r="H64" s="219"/>
    </row>
    <row r="65" spans="1:8" ht="20.100000000000001" customHeight="1">
      <c r="A65" s="1060" t="s">
        <v>330</v>
      </c>
      <c r="B65" s="1061"/>
      <c r="C65" s="1061"/>
      <c r="D65" s="1061"/>
      <c r="E65" s="1061"/>
      <c r="F65" s="1062"/>
      <c r="G65" s="896"/>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v>1800000</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4"/>
      <c r="H70" s="219"/>
    </row>
    <row r="71" spans="1:8" ht="20.100000000000001" customHeight="1">
      <c r="A71" s="627" t="s">
        <v>337</v>
      </c>
      <c r="B71" s="226"/>
      <c r="C71" s="226"/>
      <c r="D71" s="226"/>
      <c r="E71" s="226"/>
      <c r="F71" s="232"/>
      <c r="G71" s="276">
        <f>SUM(G67:G69)</f>
        <v>1800000</v>
      </c>
      <c r="H71" s="219"/>
    </row>
    <row r="72" spans="1:8" ht="20.100000000000001" customHeight="1">
      <c r="A72" s="897"/>
      <c r="B72" s="708"/>
      <c r="C72" s="708"/>
      <c r="D72" s="708"/>
      <c r="E72" s="708"/>
      <c r="F72" s="709"/>
      <c r="G72" s="898"/>
      <c r="H72" s="219"/>
    </row>
    <row r="73" spans="1:8" ht="20.100000000000001" customHeight="1">
      <c r="A73" s="1060" t="s">
        <v>338</v>
      </c>
      <c r="B73" s="1061"/>
      <c r="C73" s="1061"/>
      <c r="D73" s="1061"/>
      <c r="E73" s="1061"/>
      <c r="F73" s="1062"/>
      <c r="G73" s="776"/>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58747439.630400002</v>
      </c>
      <c r="H75" s="219"/>
    </row>
    <row r="76" spans="1:8" ht="20.100000000000001" customHeight="1">
      <c r="A76" s="625" t="s">
        <v>799</v>
      </c>
      <c r="B76" s="226"/>
      <c r="C76" s="226"/>
      <c r="D76" s="226"/>
      <c r="E76" s="226"/>
      <c r="F76" s="235">
        <v>42130</v>
      </c>
      <c r="G76" s="652">
        <f>200000+1472143</f>
        <v>1672143</v>
      </c>
      <c r="H76" s="219"/>
    </row>
    <row r="77" spans="1:8" ht="20.100000000000001" customHeight="1">
      <c r="A77" s="628" t="s">
        <v>341</v>
      </c>
      <c r="B77" s="629"/>
      <c r="C77" s="629"/>
      <c r="D77" s="629"/>
      <c r="E77" s="629"/>
      <c r="F77" s="248" t="s">
        <v>342</v>
      </c>
      <c r="G77" s="653">
        <f>2187716-600000</f>
        <v>1587716</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10000</v>
      </c>
      <c r="H79" s="219"/>
    </row>
    <row r="80" spans="1:8" ht="20.100000000000001" customHeight="1">
      <c r="A80" s="625" t="s">
        <v>347</v>
      </c>
      <c r="B80" s="226"/>
      <c r="C80" s="226"/>
      <c r="D80" s="226"/>
      <c r="E80" s="226"/>
      <c r="F80" s="232" t="s">
        <v>348</v>
      </c>
      <c r="G80" s="652">
        <v>600000</v>
      </c>
      <c r="H80" s="219"/>
    </row>
    <row r="81" spans="1:10" ht="20.100000000000001" customHeight="1">
      <c r="A81" s="625" t="s">
        <v>349</v>
      </c>
      <c r="B81" s="226"/>
      <c r="C81" s="226"/>
      <c r="D81" s="226"/>
      <c r="E81" s="226"/>
      <c r="F81" s="232" t="s">
        <v>350</v>
      </c>
      <c r="G81" s="651">
        <f>'CHECK SHEET'!D104</f>
        <v>12285532</v>
      </c>
      <c r="H81" s="219"/>
    </row>
    <row r="82" spans="1:10" ht="20.100000000000001" customHeight="1">
      <c r="A82" s="630" t="s">
        <v>351</v>
      </c>
      <c r="B82" s="631"/>
      <c r="C82" s="631"/>
      <c r="D82" s="631"/>
      <c r="E82" s="631"/>
      <c r="F82" s="247" t="s">
        <v>352</v>
      </c>
      <c r="G82" s="652">
        <v>0</v>
      </c>
      <c r="H82" s="219"/>
    </row>
    <row r="83" spans="1:10" ht="20.100000000000001" customHeight="1">
      <c r="A83" s="625" t="s">
        <v>353</v>
      </c>
      <c r="B83" s="226"/>
      <c r="C83" s="226"/>
      <c r="D83" s="226"/>
      <c r="E83" s="226"/>
      <c r="F83" s="232" t="s">
        <v>354</v>
      </c>
      <c r="G83" s="652">
        <v>10000</v>
      </c>
      <c r="H83" s="219"/>
    </row>
    <row r="84" spans="1:10" ht="20.100000000000001" customHeight="1">
      <c r="A84" s="625"/>
      <c r="B84" s="226"/>
      <c r="C84" s="226"/>
      <c r="D84" s="226"/>
      <c r="E84" s="226"/>
      <c r="F84" s="232"/>
      <c r="G84" s="899"/>
      <c r="H84" s="219"/>
    </row>
    <row r="85" spans="1:10" ht="20.100000000000001" customHeight="1">
      <c r="A85" s="627" t="s">
        <v>355</v>
      </c>
      <c r="B85" s="226"/>
      <c r="C85" s="226"/>
      <c r="D85" s="226"/>
      <c r="E85" s="226"/>
      <c r="F85" s="232"/>
      <c r="G85" s="277">
        <f>SUM(G75:G83)</f>
        <v>74912830.630400002</v>
      </c>
      <c r="H85" s="219"/>
    </row>
    <row r="86" spans="1:10" ht="20.100000000000001" customHeight="1">
      <c r="A86" s="897"/>
      <c r="B86" s="708"/>
      <c r="C86" s="708"/>
      <c r="D86" s="708"/>
      <c r="E86" s="708"/>
      <c r="F86" s="709"/>
      <c r="G86" s="898"/>
      <c r="H86" s="219"/>
    </row>
    <row r="87" spans="1:10" ht="20.100000000000001" customHeight="1">
      <c r="A87" s="1063" t="s">
        <v>356</v>
      </c>
      <c r="B87" s="1064"/>
      <c r="C87" s="1064"/>
      <c r="D87" s="1064"/>
      <c r="E87" s="1064"/>
      <c r="F87" s="1065"/>
      <c r="G87" s="776"/>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50000</v>
      </c>
      <c r="H89" s="219"/>
    </row>
    <row r="90" spans="1:10" ht="20.100000000000001" customHeight="1">
      <c r="A90" s="626" t="s">
        <v>359</v>
      </c>
      <c r="B90" s="229"/>
      <c r="C90" s="229"/>
      <c r="D90" s="229"/>
      <c r="E90" s="229"/>
      <c r="F90" s="1236">
        <v>43518</v>
      </c>
      <c r="G90" s="654">
        <v>0</v>
      </c>
      <c r="H90" s="219"/>
      <c r="J90" s="249"/>
    </row>
    <row r="91" spans="1:10" ht="20.100000000000001" customHeight="1">
      <c r="A91" s="626" t="s">
        <v>360</v>
      </c>
      <c r="B91" s="229"/>
      <c r="C91" s="229"/>
      <c r="D91" s="229"/>
      <c r="E91" s="229"/>
      <c r="F91" s="1236">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v>1501500</v>
      </c>
      <c r="H94" s="219"/>
    </row>
    <row r="95" spans="1:10" ht="20.100000000000001" customHeight="1">
      <c r="A95" s="752"/>
      <c r="B95" s="710"/>
      <c r="C95" s="710"/>
      <c r="D95" s="710"/>
      <c r="E95" s="710"/>
      <c r="F95" s="727"/>
      <c r="G95" s="899"/>
      <c r="H95" s="219"/>
    </row>
    <row r="96" spans="1:10" ht="20.100000000000001" customHeight="1">
      <c r="A96" s="627" t="s">
        <v>363</v>
      </c>
      <c r="B96" s="226"/>
      <c r="C96" s="226"/>
      <c r="D96" s="226"/>
      <c r="E96" s="226"/>
      <c r="F96" s="250"/>
      <c r="G96" s="900">
        <f>SUM(G89:G94)</f>
        <v>1551500</v>
      </c>
      <c r="H96" s="219"/>
    </row>
    <row r="97" spans="1:8" ht="20.100000000000001" customHeight="1">
      <c r="A97" s="625"/>
      <c r="B97" s="226"/>
      <c r="C97" s="226"/>
      <c r="D97" s="226"/>
      <c r="E97" s="226"/>
      <c r="F97" s="232"/>
      <c r="G97" s="251"/>
      <c r="H97" s="219"/>
    </row>
    <row r="98" spans="1:8" ht="20.100000000000001" customHeight="1">
      <c r="A98" s="1066" t="s">
        <v>364</v>
      </c>
      <c r="B98" s="1067"/>
      <c r="C98" s="1067"/>
      <c r="D98" s="1067"/>
      <c r="E98" s="1067"/>
      <c r="F98" s="1068"/>
      <c r="G98" s="901"/>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0</v>
      </c>
      <c r="H100" s="219"/>
    </row>
    <row r="101" spans="1:8" ht="20.100000000000001" customHeight="1">
      <c r="A101" s="625" t="s">
        <v>367</v>
      </c>
      <c r="B101" s="226"/>
      <c r="C101" s="226"/>
      <c r="D101" s="226"/>
      <c r="E101" s="226"/>
      <c r="F101" s="232" t="s">
        <v>368</v>
      </c>
      <c r="G101" s="570">
        <v>0</v>
      </c>
      <c r="H101" s="219"/>
    </row>
    <row r="102" spans="1:8" ht="20.100000000000001" customHeight="1">
      <c r="A102" s="626" t="s">
        <v>369</v>
      </c>
      <c r="B102" s="229"/>
      <c r="C102" s="229"/>
      <c r="D102" s="229"/>
      <c r="E102" s="229"/>
      <c r="F102" s="252">
        <v>44400</v>
      </c>
      <c r="G102" s="571">
        <v>10000</v>
      </c>
      <c r="H102" s="219"/>
    </row>
    <row r="103" spans="1:8" ht="20.100000000000001" customHeight="1">
      <c r="A103" s="625" t="s">
        <v>370</v>
      </c>
      <c r="B103" s="226"/>
      <c r="C103" s="226"/>
      <c r="D103" s="226"/>
      <c r="E103" s="226"/>
      <c r="F103" s="232" t="s">
        <v>371</v>
      </c>
      <c r="G103" s="570">
        <v>190000</v>
      </c>
      <c r="H103" s="219"/>
    </row>
    <row r="104" spans="1:8" ht="20.100000000000001" customHeight="1">
      <c r="A104" s="625"/>
      <c r="B104" s="226"/>
      <c r="C104" s="226"/>
      <c r="D104" s="226"/>
      <c r="E104" s="226"/>
      <c r="F104" s="232"/>
      <c r="G104" s="902"/>
      <c r="H104" s="219"/>
    </row>
    <row r="105" spans="1:8" ht="20.100000000000001" customHeight="1">
      <c r="A105" s="627" t="s">
        <v>372</v>
      </c>
      <c r="B105" s="226"/>
      <c r="C105" s="226"/>
      <c r="D105" s="226"/>
      <c r="E105" s="226"/>
      <c r="F105" s="232"/>
      <c r="G105" s="900">
        <f>SUM(G100:G103)</f>
        <v>200000</v>
      </c>
      <c r="H105" s="219"/>
    </row>
    <row r="106" spans="1:8" ht="20.100000000000001" customHeight="1">
      <c r="A106" s="625"/>
      <c r="B106" s="226"/>
      <c r="C106" s="226"/>
      <c r="D106" s="226"/>
      <c r="E106" s="226"/>
      <c r="F106" s="232"/>
      <c r="G106" s="251"/>
      <c r="H106" s="219"/>
    </row>
    <row r="107" spans="1:8" ht="20.100000000000001" customHeight="1">
      <c r="A107" s="1060" t="s">
        <v>373</v>
      </c>
      <c r="B107" s="1061"/>
      <c r="C107" s="1061"/>
      <c r="D107" s="1061"/>
      <c r="E107" s="1061"/>
      <c r="F107" s="1062"/>
      <c r="G107" s="903"/>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0</v>
      </c>
      <c r="H109" s="219"/>
    </row>
    <row r="110" spans="1:8" ht="20.100000000000001" customHeight="1">
      <c r="A110" s="625" t="s">
        <v>376</v>
      </c>
      <c r="B110" s="226"/>
      <c r="C110" s="226"/>
      <c r="D110" s="226"/>
      <c r="E110" s="226"/>
      <c r="F110" s="232" t="s">
        <v>377</v>
      </c>
      <c r="G110" s="570">
        <v>200000</v>
      </c>
      <c r="H110" s="219"/>
    </row>
    <row r="111" spans="1:8" ht="20.100000000000001" customHeight="1">
      <c r="A111" s="625" t="s">
        <v>378</v>
      </c>
      <c r="B111" s="226"/>
      <c r="C111" s="226"/>
      <c r="D111" s="226"/>
      <c r="E111" s="226"/>
      <c r="F111" s="232" t="s">
        <v>379</v>
      </c>
      <c r="G111" s="570">
        <v>866000</v>
      </c>
      <c r="H111" s="219"/>
    </row>
    <row r="112" spans="1:8" ht="20.100000000000001" customHeight="1">
      <c r="A112" s="625" t="s">
        <v>380</v>
      </c>
      <c r="B112" s="226"/>
      <c r="C112" s="226"/>
      <c r="D112" s="226"/>
      <c r="E112" s="226"/>
      <c r="F112" s="232" t="s">
        <v>381</v>
      </c>
      <c r="G112" s="570">
        <v>134000</v>
      </c>
      <c r="H112" s="219"/>
    </row>
    <row r="113" spans="1:8" ht="20.100000000000001" customHeight="1">
      <c r="A113" s="625" t="s">
        <v>382</v>
      </c>
      <c r="B113" s="226"/>
      <c r="C113" s="226"/>
      <c r="D113" s="226"/>
      <c r="E113" s="226"/>
      <c r="F113" s="232" t="s">
        <v>383</v>
      </c>
      <c r="G113" s="1336">
        <v>0</v>
      </c>
      <c r="H113" s="219"/>
    </row>
    <row r="114" spans="1:8" ht="20.100000000000001" customHeight="1">
      <c r="A114" s="625"/>
      <c r="B114" s="226"/>
      <c r="C114" s="226"/>
      <c r="D114" s="226"/>
      <c r="E114" s="226"/>
      <c r="F114" s="232"/>
      <c r="G114" s="902"/>
      <c r="H114" s="219"/>
    </row>
    <row r="115" spans="1:8" ht="20.100000000000001" customHeight="1">
      <c r="A115" s="904" t="s">
        <v>384</v>
      </c>
      <c r="B115" s="905"/>
      <c r="C115" s="905"/>
      <c r="D115" s="905"/>
      <c r="E115" s="905"/>
      <c r="F115" s="906"/>
      <c r="G115" s="900">
        <f>SUM(G109:G113)</f>
        <v>1200000</v>
      </c>
      <c r="H115" s="219"/>
    </row>
    <row r="116" spans="1:8" ht="20.100000000000001" customHeight="1">
      <c r="A116" s="625"/>
      <c r="B116" s="226"/>
      <c r="C116" s="226"/>
      <c r="D116" s="226"/>
      <c r="E116" s="226"/>
      <c r="F116" s="632"/>
      <c r="G116" s="633"/>
      <c r="H116" s="219"/>
    </row>
    <row r="117" spans="1:8" ht="20.100000000000001" customHeight="1">
      <c r="A117" s="907" t="s">
        <v>385</v>
      </c>
      <c r="B117" s="711"/>
      <c r="C117" s="711"/>
      <c r="D117" s="711"/>
      <c r="E117" s="711"/>
      <c r="F117" s="712" t="s">
        <v>386</v>
      </c>
      <c r="G117" s="908">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900">
        <f>G117</f>
        <v>0</v>
      </c>
      <c r="H119" s="219"/>
    </row>
    <row r="120" spans="1:8" ht="20.100000000000001" customHeight="1">
      <c r="A120" s="634"/>
      <c r="B120" s="219"/>
      <c r="C120" s="219"/>
      <c r="D120" s="219"/>
      <c r="E120" s="219"/>
      <c r="F120" s="253"/>
      <c r="G120" s="251"/>
      <c r="H120" s="219"/>
    </row>
    <row r="121" spans="1:8" ht="20.100000000000001" customHeight="1">
      <c r="A121" s="1066" t="s">
        <v>388</v>
      </c>
      <c r="B121" s="1067"/>
      <c r="C121" s="1067"/>
      <c r="D121" s="1067"/>
      <c r="E121" s="1067"/>
      <c r="F121" s="1068"/>
      <c r="G121" s="901"/>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30000</v>
      </c>
      <c r="H123" s="219"/>
    </row>
    <row r="124" spans="1:8" ht="20.100000000000001" customHeight="1">
      <c r="A124" s="625" t="s">
        <v>391</v>
      </c>
      <c r="B124" s="226"/>
      <c r="C124" s="226"/>
      <c r="D124" s="226"/>
      <c r="E124" s="226"/>
      <c r="F124" s="232" t="s">
        <v>392</v>
      </c>
      <c r="G124" s="570">
        <v>170000</v>
      </c>
      <c r="H124" s="219"/>
    </row>
    <row r="125" spans="1:8" ht="20.100000000000001" customHeight="1">
      <c r="A125" s="625" t="s">
        <v>393</v>
      </c>
      <c r="B125" s="226"/>
      <c r="C125" s="226"/>
      <c r="D125" s="226"/>
      <c r="E125" s="226"/>
      <c r="F125" s="232" t="s">
        <v>394</v>
      </c>
      <c r="G125" s="570">
        <v>118000</v>
      </c>
      <c r="H125" s="219"/>
    </row>
    <row r="126" spans="1:8" ht="20.100000000000001" customHeight="1">
      <c r="A126" s="625" t="s">
        <v>395</v>
      </c>
      <c r="B126" s="226"/>
      <c r="C126" s="226"/>
      <c r="D126" s="226"/>
      <c r="E126" s="226"/>
      <c r="F126" s="232" t="s">
        <v>396</v>
      </c>
      <c r="G126" s="570">
        <v>272000</v>
      </c>
      <c r="H126" s="219"/>
    </row>
    <row r="127" spans="1:8" ht="20.100000000000001" customHeight="1">
      <c r="A127" s="625"/>
      <c r="B127" s="226"/>
      <c r="C127" s="226"/>
      <c r="D127" s="226"/>
      <c r="E127" s="226"/>
      <c r="F127" s="232"/>
      <c r="G127" s="902"/>
      <c r="H127" s="219"/>
    </row>
    <row r="128" spans="1:8" ht="20.100000000000001" customHeight="1">
      <c r="A128" s="627" t="s">
        <v>397</v>
      </c>
      <c r="B128" s="226"/>
      <c r="C128" s="226"/>
      <c r="D128" s="226"/>
      <c r="E128" s="226"/>
      <c r="F128" s="232"/>
      <c r="G128" s="900">
        <f>SUM(G123:G126)</f>
        <v>590000</v>
      </c>
      <c r="H128" s="219"/>
    </row>
    <row r="129" spans="1:8" ht="20.100000000000001" customHeight="1">
      <c r="A129" s="625"/>
      <c r="B129" s="226"/>
      <c r="C129" s="226"/>
      <c r="D129" s="226"/>
      <c r="E129" s="226"/>
      <c r="F129" s="232"/>
      <c r="G129" s="251"/>
      <c r="H129" s="219"/>
    </row>
    <row r="130" spans="1:8" ht="20.100000000000001" customHeight="1">
      <c r="A130" s="1060" t="s">
        <v>398</v>
      </c>
      <c r="B130" s="1061"/>
      <c r="C130" s="1061"/>
      <c r="D130" s="1061"/>
      <c r="E130" s="1061"/>
      <c r="F130" s="1062"/>
      <c r="G130" s="903"/>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600000</v>
      </c>
      <c r="H133" s="219"/>
    </row>
    <row r="134" spans="1:8" ht="20.100000000000001" customHeight="1">
      <c r="A134" s="626" t="s">
        <v>403</v>
      </c>
      <c r="B134" s="229"/>
      <c r="C134" s="229"/>
      <c r="D134" s="637"/>
      <c r="E134" s="243"/>
      <c r="F134" s="255">
        <v>49230</v>
      </c>
      <c r="G134" s="571">
        <v>0</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100000</v>
      </c>
      <c r="H136" s="219"/>
    </row>
    <row r="137" spans="1:8" ht="20.100000000000001" customHeight="1">
      <c r="A137" s="625" t="s">
        <v>407</v>
      </c>
      <c r="B137" s="226"/>
      <c r="C137" s="226"/>
      <c r="D137" s="226"/>
      <c r="E137" s="226"/>
      <c r="F137" s="235">
        <v>49520</v>
      </c>
      <c r="G137" s="570">
        <v>170000</v>
      </c>
      <c r="H137" s="219"/>
    </row>
    <row r="138" spans="1:8" ht="20.100000000000001" customHeight="1">
      <c r="A138" s="1253" t="s">
        <v>735</v>
      </c>
      <c r="B138" s="226"/>
      <c r="C138" s="226"/>
      <c r="D138" s="226"/>
      <c r="E138" s="226"/>
      <c r="F138" s="1254" t="s">
        <v>734</v>
      </c>
      <c r="G138" s="570">
        <v>0</v>
      </c>
      <c r="H138" s="219"/>
    </row>
    <row r="139" spans="1:8" ht="20.100000000000001" customHeight="1">
      <c r="A139" s="625" t="s">
        <v>408</v>
      </c>
      <c r="B139" s="226"/>
      <c r="C139" s="226"/>
      <c r="D139" s="226"/>
      <c r="E139" s="226"/>
      <c r="F139" s="232" t="s">
        <v>409</v>
      </c>
      <c r="G139" s="570">
        <v>0</v>
      </c>
      <c r="H139" s="219"/>
    </row>
    <row r="140" spans="1:8" ht="20.100000000000001" customHeight="1">
      <c r="A140" s="625" t="s">
        <v>410</v>
      </c>
      <c r="B140" s="226"/>
      <c r="C140" s="226"/>
      <c r="D140" s="226"/>
      <c r="E140" s="226"/>
      <c r="F140" s="232" t="s">
        <v>411</v>
      </c>
      <c r="G140" s="570">
        <v>0</v>
      </c>
      <c r="H140" s="219"/>
    </row>
    <row r="141" spans="1:8" ht="20.100000000000001" customHeight="1">
      <c r="A141" s="625"/>
      <c r="B141" s="226"/>
      <c r="C141" s="226"/>
      <c r="D141" s="226"/>
      <c r="E141" s="226"/>
      <c r="F141" s="232"/>
      <c r="G141" s="902"/>
      <c r="H141" s="219"/>
    </row>
    <row r="142" spans="1:8" ht="20.100000000000001" customHeight="1">
      <c r="A142" s="627" t="s">
        <v>412</v>
      </c>
      <c r="B142" s="226"/>
      <c r="C142" s="226"/>
      <c r="D142" s="226"/>
      <c r="E142" s="226"/>
      <c r="F142" s="232"/>
      <c r="G142" s="900">
        <f>SUM(G132:G140)</f>
        <v>870000</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134966340.6304</v>
      </c>
      <c r="H144" s="219"/>
    </row>
    <row r="145" spans="1:8" ht="20.100000000000001" customHeight="1" thickTop="1">
      <c r="A145" s="897"/>
      <c r="B145" s="708"/>
      <c r="C145" s="708"/>
      <c r="D145" s="708"/>
      <c r="E145" s="708"/>
      <c r="F145" s="777"/>
      <c r="G145" s="778"/>
      <c r="H145" s="219"/>
    </row>
    <row r="146" spans="1:8" ht="20.100000000000001" customHeight="1">
      <c r="A146" s="1060" t="s">
        <v>414</v>
      </c>
      <c r="B146" s="1061"/>
      <c r="C146" s="1061"/>
      <c r="D146" s="1061"/>
      <c r="E146" s="1061"/>
      <c r="F146" s="1062"/>
      <c r="G146" s="909"/>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1957000</v>
      </c>
      <c r="H148" s="219"/>
    </row>
    <row r="149" spans="1:8" ht="20.100000000000001" customHeight="1">
      <c r="A149" s="625" t="s">
        <v>417</v>
      </c>
      <c r="B149" s="219"/>
      <c r="C149" s="219"/>
      <c r="D149" s="219"/>
      <c r="E149" s="219"/>
      <c r="F149" s="232" t="s">
        <v>418</v>
      </c>
      <c r="G149" s="574">
        <v>2440000</v>
      </c>
      <c r="H149" s="219"/>
    </row>
    <row r="150" spans="1:8" ht="20.100000000000001" customHeight="1">
      <c r="A150" s="625" t="s">
        <v>419</v>
      </c>
      <c r="B150" s="219"/>
      <c r="C150" s="219"/>
      <c r="D150" s="219"/>
      <c r="E150" s="219"/>
      <c r="F150" s="232" t="s">
        <v>420</v>
      </c>
      <c r="G150" s="574">
        <v>1508000</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0</v>
      </c>
      <c r="H152" s="219"/>
    </row>
    <row r="153" spans="1:8" ht="20.100000000000001" customHeight="1">
      <c r="A153" s="625" t="s">
        <v>425</v>
      </c>
      <c r="B153" s="226"/>
      <c r="C153" s="226"/>
      <c r="D153" s="226"/>
      <c r="E153" s="226"/>
      <c r="F153" s="232" t="s">
        <v>426</v>
      </c>
      <c r="G153" s="574">
        <v>24020732</v>
      </c>
      <c r="H153" s="219"/>
    </row>
    <row r="154" spans="1:8" ht="20.100000000000001" customHeight="1">
      <c r="A154" s="625" t="s">
        <v>427</v>
      </c>
      <c r="B154" s="226"/>
      <c r="C154" s="226"/>
      <c r="D154" s="226"/>
      <c r="E154" s="226"/>
      <c r="F154" s="232" t="s">
        <v>428</v>
      </c>
      <c r="G154" s="574">
        <v>3700000</v>
      </c>
      <c r="H154" s="219"/>
    </row>
    <row r="155" spans="1:8" ht="20.100000000000001" customHeight="1">
      <c r="A155" s="625" t="s">
        <v>429</v>
      </c>
      <c r="B155" s="226"/>
      <c r="C155" s="226"/>
      <c r="D155" s="226"/>
      <c r="E155" s="226"/>
      <c r="F155" s="232" t="s">
        <v>430</v>
      </c>
      <c r="G155" s="574">
        <v>2000</v>
      </c>
      <c r="H155" s="219"/>
    </row>
    <row r="156" spans="1:8" ht="20.100000000000001" customHeight="1">
      <c r="A156" s="625" t="s">
        <v>431</v>
      </c>
      <c r="B156" s="226"/>
      <c r="C156" s="226"/>
      <c r="D156" s="226"/>
      <c r="E156" s="226"/>
      <c r="F156" s="232" t="s">
        <v>432</v>
      </c>
      <c r="G156" s="574">
        <v>900000</v>
      </c>
      <c r="H156" s="219"/>
    </row>
    <row r="157" spans="1:8" ht="20.100000000000001" customHeight="1">
      <c r="A157" s="625" t="s">
        <v>433</v>
      </c>
      <c r="B157" s="226"/>
      <c r="C157" s="226"/>
      <c r="D157" s="226"/>
      <c r="E157" s="226"/>
      <c r="F157" s="232" t="s">
        <v>434</v>
      </c>
      <c r="G157" s="574">
        <v>0</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0</v>
      </c>
      <c r="H162" s="219"/>
    </row>
    <row r="163" spans="1:8" ht="20.100000000000001" customHeight="1">
      <c r="A163" s="625" t="s">
        <v>444</v>
      </c>
      <c r="B163" s="226"/>
      <c r="C163" s="226"/>
      <c r="D163" s="226"/>
      <c r="E163" s="226"/>
      <c r="F163" s="232" t="s">
        <v>445</v>
      </c>
      <c r="G163" s="574">
        <v>16675000</v>
      </c>
      <c r="H163" s="219"/>
    </row>
    <row r="164" spans="1:8" ht="20.100000000000001" customHeight="1">
      <c r="A164" s="625" t="s">
        <v>446</v>
      </c>
      <c r="B164" s="226"/>
      <c r="C164" s="226"/>
      <c r="D164" s="226"/>
      <c r="E164" s="226"/>
      <c r="F164" s="232" t="s">
        <v>447</v>
      </c>
      <c r="G164" s="574">
        <v>0</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0</v>
      </c>
      <c r="H166" s="219"/>
    </row>
    <row r="167" spans="1:8" ht="20.100000000000001" customHeight="1">
      <c r="A167" s="625" t="s">
        <v>452</v>
      </c>
      <c r="B167" s="226"/>
      <c r="C167" s="226"/>
      <c r="D167" s="226"/>
      <c r="E167" s="226"/>
      <c r="F167" s="232" t="s">
        <v>453</v>
      </c>
      <c r="G167" s="574">
        <v>900000</v>
      </c>
      <c r="H167" s="219"/>
    </row>
    <row r="168" spans="1:8" ht="20.100000000000001" customHeight="1">
      <c r="A168" s="625" t="s">
        <v>454</v>
      </c>
      <c r="B168" s="226"/>
      <c r="C168" s="226"/>
      <c r="D168" s="226"/>
      <c r="E168" s="226"/>
      <c r="F168" s="232" t="s">
        <v>455</v>
      </c>
      <c r="G168" s="574">
        <v>13000000</v>
      </c>
      <c r="H168" s="219"/>
    </row>
    <row r="169" spans="1:8" ht="20.100000000000001" customHeight="1">
      <c r="A169" s="625" t="s">
        <v>456</v>
      </c>
      <c r="B169" s="226"/>
      <c r="C169" s="226"/>
      <c r="D169" s="226"/>
      <c r="E169" s="226"/>
      <c r="F169" s="232" t="s">
        <v>457</v>
      </c>
      <c r="G169" s="574">
        <v>300000</v>
      </c>
      <c r="H169" s="219"/>
    </row>
    <row r="170" spans="1:8" ht="20.100000000000001" customHeight="1">
      <c r="A170" s="625" t="s">
        <v>458</v>
      </c>
      <c r="B170" s="226"/>
      <c r="C170" s="226"/>
      <c r="D170" s="226"/>
      <c r="E170" s="226"/>
      <c r="F170" s="232" t="s">
        <v>459</v>
      </c>
      <c r="G170" s="574">
        <v>600000</v>
      </c>
      <c r="H170" s="219"/>
    </row>
    <row r="171" spans="1:8" ht="20.100000000000001" customHeight="1">
      <c r="A171" s="625" t="s">
        <v>460</v>
      </c>
      <c r="B171" s="226"/>
      <c r="C171" s="226"/>
      <c r="D171" s="226"/>
      <c r="E171" s="226"/>
      <c r="F171" s="232" t="s">
        <v>461</v>
      </c>
      <c r="G171" s="574">
        <v>0</v>
      </c>
      <c r="H171" s="219"/>
    </row>
    <row r="172" spans="1:8" ht="20.100000000000001" customHeight="1">
      <c r="A172" s="625" t="s">
        <v>462</v>
      </c>
      <c r="B172" s="226"/>
      <c r="C172" s="226"/>
      <c r="D172" s="226"/>
      <c r="E172" s="226"/>
      <c r="F172" s="232" t="s">
        <v>463</v>
      </c>
      <c r="G172" s="574">
        <v>12125000</v>
      </c>
      <c r="H172" s="219"/>
    </row>
    <row r="173" spans="1:8" ht="20.100000000000001" customHeight="1">
      <c r="A173" s="625" t="s">
        <v>464</v>
      </c>
      <c r="B173" s="226"/>
      <c r="C173" s="226"/>
      <c r="D173" s="226"/>
      <c r="E173" s="226"/>
      <c r="F173" s="235">
        <v>56001</v>
      </c>
      <c r="G173" s="574">
        <v>0</v>
      </c>
      <c r="H173" s="219"/>
    </row>
    <row r="174" spans="1:8" ht="20.100000000000001" customHeight="1">
      <c r="A174" s="625" t="s">
        <v>465</v>
      </c>
      <c r="B174" s="226"/>
      <c r="C174" s="226"/>
      <c r="D174" s="226"/>
      <c r="E174" s="226"/>
      <c r="F174" s="235">
        <v>56002</v>
      </c>
      <c r="G174" s="574">
        <v>0</v>
      </c>
      <c r="H174" s="219"/>
    </row>
    <row r="175" spans="1:8" ht="20.100000000000001" customHeight="1">
      <c r="A175" s="625" t="s">
        <v>466</v>
      </c>
      <c r="B175" s="226"/>
      <c r="C175" s="226"/>
      <c r="D175" s="226"/>
      <c r="E175" s="226"/>
      <c r="F175" s="235">
        <v>56003</v>
      </c>
      <c r="G175" s="574">
        <v>0</v>
      </c>
      <c r="H175" s="219"/>
    </row>
    <row r="176" spans="1:8" ht="20.100000000000001" customHeight="1">
      <c r="A176" s="625" t="s">
        <v>467</v>
      </c>
      <c r="B176" s="226"/>
      <c r="C176" s="226"/>
      <c r="D176" s="226"/>
      <c r="E176" s="226"/>
      <c r="F176" s="257" t="s">
        <v>468</v>
      </c>
      <c r="G176" s="574">
        <v>0</v>
      </c>
      <c r="H176" s="219"/>
    </row>
    <row r="177" spans="1:8" ht="20.100000000000001" customHeight="1">
      <c r="A177" s="625" t="s">
        <v>469</v>
      </c>
      <c r="B177" s="226"/>
      <c r="C177" s="226"/>
      <c r="D177" s="226"/>
      <c r="E177" s="226"/>
      <c r="F177" s="232" t="s">
        <v>470</v>
      </c>
      <c r="G177" s="574">
        <v>2000</v>
      </c>
      <c r="H177" s="219"/>
    </row>
    <row r="178" spans="1:8" ht="20.100000000000001" customHeight="1">
      <c r="A178" s="634" t="s">
        <v>471</v>
      </c>
      <c r="B178" s="219"/>
      <c r="C178" s="219"/>
      <c r="D178" s="219"/>
      <c r="E178" s="219"/>
      <c r="F178" s="253" t="s">
        <v>472</v>
      </c>
      <c r="G178" s="574">
        <v>1200000</v>
      </c>
      <c r="H178" s="219"/>
    </row>
    <row r="179" spans="1:8" ht="20.100000000000001" customHeight="1">
      <c r="A179" s="625" t="s">
        <v>473</v>
      </c>
      <c r="B179" s="226"/>
      <c r="C179" s="226"/>
      <c r="D179" s="226"/>
      <c r="E179" s="226"/>
      <c r="F179" s="232" t="s">
        <v>474</v>
      </c>
      <c r="G179" s="574">
        <v>500000</v>
      </c>
      <c r="H179" s="219"/>
    </row>
    <row r="180" spans="1:8" ht="20.100000000000001" customHeight="1">
      <c r="A180" s="625" t="s">
        <v>475</v>
      </c>
      <c r="B180" s="226"/>
      <c r="C180" s="226"/>
      <c r="D180" s="226"/>
      <c r="E180" s="226"/>
      <c r="F180" s="232" t="s">
        <v>476</v>
      </c>
      <c r="G180" s="574">
        <v>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v>200000</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0</v>
      </c>
      <c r="H185" s="219"/>
    </row>
    <row r="186" spans="1:8" ht="20.100000000000001" customHeight="1">
      <c r="A186" s="625" t="s">
        <v>487</v>
      </c>
      <c r="B186" s="226"/>
      <c r="C186" s="226"/>
      <c r="D186" s="226"/>
      <c r="E186" s="226"/>
      <c r="F186" s="232" t="s">
        <v>488</v>
      </c>
      <c r="G186" s="574">
        <v>5086309</v>
      </c>
      <c r="H186" s="219"/>
    </row>
    <row r="187" spans="1:8" ht="20.100000000000001" customHeight="1">
      <c r="A187" s="625" t="s">
        <v>489</v>
      </c>
      <c r="B187" s="226"/>
      <c r="C187" s="226"/>
      <c r="D187" s="226"/>
      <c r="E187" s="226"/>
      <c r="F187" s="232" t="s">
        <v>490</v>
      </c>
      <c r="G187" s="574">
        <v>7933707</v>
      </c>
      <c r="H187" s="219"/>
    </row>
    <row r="188" spans="1:8" ht="20.100000000000001" customHeight="1">
      <c r="A188" s="625" t="s">
        <v>491</v>
      </c>
      <c r="B188" s="226"/>
      <c r="C188" s="226"/>
      <c r="D188" s="226"/>
      <c r="E188" s="226"/>
      <c r="F188" s="232" t="s">
        <v>492</v>
      </c>
      <c r="G188" s="574">
        <v>0</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v>85500</v>
      </c>
      <c r="H190" s="219"/>
    </row>
    <row r="191" spans="1:8" ht="20.100000000000001" customHeight="1">
      <c r="A191" s="625" t="s">
        <v>497</v>
      </c>
      <c r="B191" s="226"/>
      <c r="C191" s="226"/>
      <c r="D191" s="226"/>
      <c r="E191" s="226"/>
      <c r="F191" s="258">
        <v>59600</v>
      </c>
      <c r="G191" s="574">
        <v>0</v>
      </c>
      <c r="H191" s="219"/>
    </row>
    <row r="192" spans="1:8" ht="20.100000000000001" customHeight="1">
      <c r="A192" s="625" t="s">
        <v>498</v>
      </c>
      <c r="B192" s="226"/>
      <c r="C192" s="226"/>
      <c r="D192" s="226"/>
      <c r="E192" s="226"/>
      <c r="F192" s="232" t="s">
        <v>499</v>
      </c>
      <c r="G192" s="574">
        <v>9082525</v>
      </c>
      <c r="H192" s="219"/>
    </row>
    <row r="193" spans="1:8" ht="20.100000000000001" customHeight="1">
      <c r="A193" s="625" t="s">
        <v>500</v>
      </c>
      <c r="B193" s="226"/>
      <c r="C193" s="226"/>
      <c r="D193" s="226"/>
      <c r="E193" s="226"/>
      <c r="F193" s="232" t="s">
        <v>501</v>
      </c>
      <c r="G193" s="574">
        <v>340886</v>
      </c>
      <c r="H193" s="219"/>
    </row>
    <row r="194" spans="1:8" ht="20.100000000000001" customHeight="1">
      <c r="A194" s="625" t="s">
        <v>502</v>
      </c>
      <c r="B194" s="226"/>
      <c r="C194" s="226"/>
      <c r="D194" s="226"/>
      <c r="E194" s="226"/>
      <c r="F194" s="232" t="s">
        <v>503</v>
      </c>
      <c r="G194" s="574">
        <v>2000000</v>
      </c>
      <c r="H194" s="219"/>
    </row>
    <row r="195" spans="1:8" ht="20.100000000000001" customHeight="1">
      <c r="A195" s="625"/>
      <c r="B195" s="226"/>
      <c r="C195" s="226"/>
      <c r="D195" s="226"/>
      <c r="E195" s="226"/>
      <c r="F195" s="232"/>
      <c r="G195" s="910"/>
      <c r="H195" s="219"/>
    </row>
    <row r="196" spans="1:8" ht="20.100000000000001" customHeight="1">
      <c r="A196" s="641" t="s">
        <v>504</v>
      </c>
      <c r="B196" s="642"/>
      <c r="C196" s="642"/>
      <c r="D196" s="642"/>
      <c r="E196" s="642"/>
      <c r="F196" s="655"/>
      <c r="G196" s="656">
        <f>SUM(G148:G194)</f>
        <v>104558659</v>
      </c>
      <c r="H196" s="219"/>
    </row>
    <row r="197" spans="1:8" ht="20.100000000000001" customHeight="1">
      <c r="A197" s="638"/>
      <c r="B197" s="259"/>
      <c r="C197" s="259"/>
      <c r="D197" s="259"/>
      <c r="E197" s="259"/>
      <c r="F197" s="278"/>
      <c r="G197" s="260"/>
      <c r="H197" s="219"/>
    </row>
    <row r="198" spans="1:8" ht="20.100000000000001" customHeight="1">
      <c r="A198" s="911" t="s">
        <v>505</v>
      </c>
      <c r="B198" s="753"/>
      <c r="C198" s="753"/>
      <c r="D198" s="753"/>
      <c r="E198" s="753"/>
      <c r="F198" s="896"/>
      <c r="G198" s="912"/>
      <c r="H198" s="219"/>
    </row>
    <row r="199" spans="1:8" ht="20.100000000000001" customHeight="1">
      <c r="A199" s="625"/>
      <c r="B199" s="226"/>
      <c r="C199" s="226"/>
      <c r="D199" s="226"/>
      <c r="E199" s="226"/>
      <c r="F199" s="232"/>
      <c r="G199" s="256"/>
      <c r="H199" s="219"/>
    </row>
    <row r="200" spans="1:8" ht="20.100000000000001" customHeight="1">
      <c r="A200" s="625" t="s">
        <v>506</v>
      </c>
      <c r="B200" s="226"/>
      <c r="C200" s="226"/>
      <c r="D200" s="226"/>
      <c r="E200" s="226"/>
      <c r="F200" s="232" t="s">
        <v>507</v>
      </c>
      <c r="G200" s="574">
        <v>559636</v>
      </c>
      <c r="H200" s="219"/>
    </row>
    <row r="201" spans="1:8" ht="20.100000000000001" customHeight="1">
      <c r="A201" s="625" t="s">
        <v>508</v>
      </c>
      <c r="B201" s="226"/>
      <c r="C201" s="226"/>
      <c r="D201" s="226"/>
      <c r="E201" s="226"/>
      <c r="F201" s="232" t="s">
        <v>509</v>
      </c>
      <c r="G201" s="574">
        <v>79371</v>
      </c>
      <c r="H201" s="219"/>
    </row>
    <row r="202" spans="1:8" ht="20.100000000000001" customHeight="1">
      <c r="A202" s="625" t="s">
        <v>510</v>
      </c>
      <c r="B202" s="226"/>
      <c r="C202" s="226"/>
      <c r="D202" s="226"/>
      <c r="E202" s="226"/>
      <c r="F202" s="232" t="s">
        <v>511</v>
      </c>
      <c r="G202" s="574">
        <v>264394</v>
      </c>
      <c r="H202" s="219"/>
    </row>
    <row r="203" spans="1:8" ht="20.100000000000001" customHeight="1">
      <c r="A203" s="625" t="s">
        <v>512</v>
      </c>
      <c r="B203" s="226"/>
      <c r="C203" s="226"/>
      <c r="D203" s="226"/>
      <c r="E203" s="226"/>
      <c r="F203" s="232" t="s">
        <v>513</v>
      </c>
      <c r="G203" s="574">
        <v>136983</v>
      </c>
      <c r="H203" s="219"/>
    </row>
    <row r="204" spans="1:8" ht="20.100000000000001" customHeight="1">
      <c r="A204" s="625" t="s">
        <v>514</v>
      </c>
      <c r="B204" s="226"/>
      <c r="C204" s="226"/>
      <c r="D204" s="226"/>
      <c r="E204" s="226"/>
      <c r="F204" s="232" t="s">
        <v>515</v>
      </c>
      <c r="G204" s="574">
        <v>1933488</v>
      </c>
      <c r="H204" s="219"/>
    </row>
    <row r="205" spans="1:8" ht="20.100000000000001" customHeight="1">
      <c r="A205" s="625" t="s">
        <v>516</v>
      </c>
      <c r="B205" s="226"/>
      <c r="C205" s="226"/>
      <c r="D205" s="226"/>
      <c r="E205" s="226"/>
      <c r="F205" s="232" t="s">
        <v>517</v>
      </c>
      <c r="G205" s="574">
        <v>159614</v>
      </c>
      <c r="H205" s="219"/>
    </row>
    <row r="206" spans="1:8" ht="20.100000000000001" customHeight="1">
      <c r="A206" s="625" t="s">
        <v>733</v>
      </c>
      <c r="B206" s="226"/>
      <c r="C206" s="226"/>
      <c r="D206" s="226"/>
      <c r="E206" s="226"/>
      <c r="F206" s="1249">
        <v>63100</v>
      </c>
      <c r="G206" s="574">
        <v>0</v>
      </c>
      <c r="H206" s="219"/>
    </row>
    <row r="207" spans="1:8" ht="20.100000000000001" customHeight="1">
      <c r="A207" s="625" t="s">
        <v>518</v>
      </c>
      <c r="B207" s="226"/>
      <c r="C207" s="226"/>
      <c r="D207" s="226"/>
      <c r="E207" s="226"/>
      <c r="F207" s="232" t="s">
        <v>519</v>
      </c>
      <c r="G207" s="574">
        <v>2855529</v>
      </c>
      <c r="H207" s="219"/>
    </row>
    <row r="208" spans="1:8" ht="20.100000000000001" customHeight="1">
      <c r="A208" s="625" t="s">
        <v>520</v>
      </c>
      <c r="B208" s="226"/>
      <c r="C208" s="226"/>
      <c r="D208" s="226"/>
      <c r="E208" s="226"/>
      <c r="F208" s="232" t="s">
        <v>521</v>
      </c>
      <c r="G208" s="574">
        <v>0</v>
      </c>
      <c r="H208" s="219"/>
    </row>
    <row r="209" spans="1:8" ht="20.100000000000001" customHeight="1">
      <c r="A209" s="625" t="s">
        <v>522</v>
      </c>
      <c r="B209" s="226"/>
      <c r="C209" s="226"/>
      <c r="D209" s="226"/>
      <c r="E209" s="226"/>
      <c r="F209" s="232" t="s">
        <v>523</v>
      </c>
      <c r="G209" s="574">
        <v>20752</v>
      </c>
      <c r="H209" s="219"/>
    </row>
    <row r="210" spans="1:8" ht="20.100000000000001" customHeight="1">
      <c r="A210" s="625" t="s">
        <v>524</v>
      </c>
      <c r="B210" s="226"/>
      <c r="C210" s="226"/>
      <c r="D210" s="226"/>
      <c r="E210" s="226"/>
      <c r="F210" s="232" t="s">
        <v>525</v>
      </c>
      <c r="G210" s="574">
        <v>469000</v>
      </c>
      <c r="H210" s="219"/>
    </row>
    <row r="211" spans="1:8" ht="20.100000000000001" customHeight="1">
      <c r="A211" s="625" t="s">
        <v>526</v>
      </c>
      <c r="B211" s="226"/>
      <c r="C211" s="226"/>
      <c r="D211" s="226"/>
      <c r="E211" s="226"/>
      <c r="F211" s="232" t="s">
        <v>527</v>
      </c>
      <c r="G211" s="574">
        <v>2326620</v>
      </c>
      <c r="H211" s="219"/>
    </row>
    <row r="212" spans="1:8" ht="20.100000000000001" customHeight="1">
      <c r="A212" s="625" t="s">
        <v>528</v>
      </c>
      <c r="B212" s="226"/>
      <c r="C212" s="226"/>
      <c r="D212" s="226"/>
      <c r="E212" s="226"/>
      <c r="F212" s="232" t="s">
        <v>529</v>
      </c>
      <c r="G212" s="574">
        <v>143752</v>
      </c>
      <c r="H212" s="219"/>
    </row>
    <row r="213" spans="1:8" ht="20.100000000000001" customHeight="1">
      <c r="A213" s="625" t="s">
        <v>530</v>
      </c>
      <c r="B213" s="226"/>
      <c r="C213" s="226"/>
      <c r="D213" s="226"/>
      <c r="E213" s="226"/>
      <c r="F213" s="232" t="s">
        <v>531</v>
      </c>
      <c r="G213" s="574">
        <v>88032</v>
      </c>
      <c r="H213" s="219"/>
    </row>
    <row r="214" spans="1:8" ht="20.100000000000001" customHeight="1">
      <c r="A214" s="625" t="s">
        <v>532</v>
      </c>
      <c r="B214" s="219"/>
      <c r="C214" s="219"/>
      <c r="D214" s="219"/>
      <c r="E214" s="219"/>
      <c r="F214" s="232" t="s">
        <v>533</v>
      </c>
      <c r="G214" s="574">
        <v>28046</v>
      </c>
      <c r="H214" s="219"/>
    </row>
    <row r="215" spans="1:8" ht="20.100000000000001" customHeight="1">
      <c r="A215" s="625" t="s">
        <v>534</v>
      </c>
      <c r="B215" s="219"/>
      <c r="C215" s="219"/>
      <c r="D215" s="219"/>
      <c r="E215" s="219"/>
      <c r="F215" s="235">
        <v>64007</v>
      </c>
      <c r="G215" s="574">
        <v>0</v>
      </c>
      <c r="H215" s="219"/>
    </row>
    <row r="216" spans="1:8" ht="20.100000000000001" customHeight="1">
      <c r="A216" s="625" t="s">
        <v>535</v>
      </c>
      <c r="B216" s="226"/>
      <c r="C216" s="226"/>
      <c r="D216" s="226"/>
      <c r="E216" s="226"/>
      <c r="F216" s="232" t="s">
        <v>536</v>
      </c>
      <c r="G216" s="574">
        <v>5962990</v>
      </c>
      <c r="H216" s="219"/>
    </row>
    <row r="217" spans="1:8" ht="20.100000000000001" customHeight="1">
      <c r="A217" s="625" t="s">
        <v>724</v>
      </c>
      <c r="B217" s="226"/>
      <c r="C217" s="226"/>
      <c r="D217" s="226"/>
      <c r="E217" s="226"/>
      <c r="F217" s="232" t="s">
        <v>537</v>
      </c>
      <c r="G217" s="574">
        <v>0</v>
      </c>
      <c r="H217" s="219"/>
    </row>
    <row r="218" spans="1:8" ht="20.100000000000001" customHeight="1">
      <c r="A218" s="625" t="s">
        <v>538</v>
      </c>
      <c r="B218" s="226"/>
      <c r="C218" s="226"/>
      <c r="D218" s="226"/>
      <c r="E218" s="226"/>
      <c r="F218" s="232" t="s">
        <v>539</v>
      </c>
      <c r="G218" s="574">
        <v>0</v>
      </c>
      <c r="H218" s="219"/>
    </row>
    <row r="219" spans="1:8" ht="20.100000000000001" customHeight="1">
      <c r="A219" s="625" t="s">
        <v>540</v>
      </c>
      <c r="B219" s="226"/>
      <c r="C219" s="226"/>
      <c r="D219" s="226"/>
      <c r="E219" s="226"/>
      <c r="F219" s="232" t="s">
        <v>541</v>
      </c>
      <c r="G219" s="574">
        <v>1383550</v>
      </c>
      <c r="H219" s="219"/>
    </row>
    <row r="220" spans="1:8" ht="20.100000000000001" customHeight="1">
      <c r="A220" s="625" t="s">
        <v>542</v>
      </c>
      <c r="B220" s="226"/>
      <c r="C220" s="226"/>
      <c r="D220" s="226"/>
      <c r="E220" s="226"/>
      <c r="F220" s="232" t="s">
        <v>543</v>
      </c>
      <c r="G220" s="574">
        <v>2199826</v>
      </c>
      <c r="H220" s="219"/>
    </row>
    <row r="221" spans="1:8" ht="20.100000000000001" customHeight="1">
      <c r="A221" s="625" t="s">
        <v>544</v>
      </c>
      <c r="B221" s="219"/>
      <c r="C221" s="219"/>
      <c r="D221" s="219"/>
      <c r="E221" s="219"/>
      <c r="F221" s="253" t="s">
        <v>545</v>
      </c>
      <c r="G221" s="574">
        <v>3445947</v>
      </c>
      <c r="H221" s="219"/>
    </row>
    <row r="222" spans="1:8" ht="20.100000000000001" customHeight="1">
      <c r="A222" s="625" t="s">
        <v>546</v>
      </c>
      <c r="B222" s="226"/>
      <c r="C222" s="226"/>
      <c r="D222" s="226"/>
      <c r="E222" s="226"/>
      <c r="F222" s="232" t="s">
        <v>547</v>
      </c>
      <c r="G222" s="574">
        <v>393739</v>
      </c>
      <c r="H222" s="219"/>
    </row>
    <row r="223" spans="1:8" ht="20.100000000000001" customHeight="1">
      <c r="A223" s="625" t="s">
        <v>548</v>
      </c>
      <c r="B223" s="226"/>
      <c r="C223" s="226"/>
      <c r="D223" s="226"/>
      <c r="E223" s="226"/>
      <c r="F223" s="232" t="s">
        <v>549</v>
      </c>
      <c r="G223" s="574">
        <f>789810+1472143</f>
        <v>2261953</v>
      </c>
      <c r="H223" s="219"/>
    </row>
    <row r="224" spans="1:8" ht="20.100000000000001" customHeight="1">
      <c r="A224" s="626" t="s">
        <v>550</v>
      </c>
      <c r="B224" s="229"/>
      <c r="C224" s="229"/>
      <c r="D224" s="229"/>
      <c r="E224" s="229"/>
      <c r="F224" s="245" t="s">
        <v>551</v>
      </c>
      <c r="G224" s="574">
        <v>622746</v>
      </c>
      <c r="H224" s="219"/>
    </row>
    <row r="225" spans="1:9" ht="20.100000000000001" customHeight="1">
      <c r="A225" s="625" t="s">
        <v>552</v>
      </c>
      <c r="B225" s="226"/>
      <c r="C225" s="226"/>
      <c r="D225" s="226"/>
      <c r="E225" s="226"/>
      <c r="F225" s="250" t="s">
        <v>553</v>
      </c>
      <c r="G225" s="574">
        <v>45902</v>
      </c>
      <c r="H225" s="219"/>
    </row>
    <row r="226" spans="1:9" ht="20.100000000000001" customHeight="1">
      <c r="A226" s="625" t="s">
        <v>554</v>
      </c>
      <c r="B226" s="226"/>
      <c r="C226" s="226"/>
      <c r="D226" s="226"/>
      <c r="E226" s="226"/>
      <c r="F226" s="232" t="s">
        <v>555</v>
      </c>
      <c r="G226" s="574">
        <v>0</v>
      </c>
      <c r="H226" s="219"/>
    </row>
    <row r="227" spans="1:9" ht="20.100000000000001" customHeight="1">
      <c r="A227" s="625" t="s">
        <v>556</v>
      </c>
      <c r="B227" s="226"/>
      <c r="C227" s="226"/>
      <c r="D227" s="226"/>
      <c r="E227" s="226"/>
      <c r="F227" s="232" t="s">
        <v>557</v>
      </c>
      <c r="G227" s="574">
        <v>0</v>
      </c>
      <c r="H227" s="219"/>
    </row>
    <row r="228" spans="1:9" ht="20.100000000000001" customHeight="1">
      <c r="A228" s="625" t="s">
        <v>558</v>
      </c>
      <c r="B228" s="226"/>
      <c r="C228" s="226"/>
      <c r="D228" s="226"/>
      <c r="E228" s="226"/>
      <c r="F228" s="232" t="s">
        <v>559</v>
      </c>
      <c r="G228" s="574">
        <v>2565047</v>
      </c>
      <c r="H228" s="219"/>
    </row>
    <row r="229" spans="1:9" ht="20.100000000000001" customHeight="1">
      <c r="A229" s="625" t="s">
        <v>560</v>
      </c>
      <c r="B229" s="226"/>
      <c r="C229" s="226"/>
      <c r="D229" s="226"/>
      <c r="E229" s="226"/>
      <c r="F229" s="232" t="s">
        <v>561</v>
      </c>
      <c r="G229" s="574">
        <v>0</v>
      </c>
      <c r="H229" s="219"/>
    </row>
    <row r="230" spans="1:9" ht="20.100000000000001" customHeight="1">
      <c r="A230" s="625" t="s">
        <v>562</v>
      </c>
      <c r="B230" s="226"/>
      <c r="C230" s="226"/>
      <c r="D230" s="226"/>
      <c r="E230" s="226"/>
      <c r="F230" s="232" t="s">
        <v>563</v>
      </c>
      <c r="G230" s="574">
        <v>0</v>
      </c>
      <c r="H230" s="219"/>
    </row>
    <row r="231" spans="1:9" ht="20.100000000000001" customHeight="1">
      <c r="A231" s="639" t="s">
        <v>564</v>
      </c>
      <c r="B231" s="226"/>
      <c r="C231" s="226"/>
      <c r="D231" s="261"/>
      <c r="E231" s="226"/>
      <c r="F231" s="262" t="s">
        <v>565</v>
      </c>
      <c r="G231" s="574">
        <v>0</v>
      </c>
      <c r="H231" s="219"/>
    </row>
    <row r="232" spans="1:9" ht="20.100000000000001" customHeight="1">
      <c r="A232" s="639" t="s">
        <v>566</v>
      </c>
      <c r="B232" s="263"/>
      <c r="C232" s="263"/>
      <c r="D232" s="264"/>
      <c r="E232" s="263"/>
      <c r="F232" s="265" t="s">
        <v>567</v>
      </c>
      <c r="G232" s="574">
        <v>0</v>
      </c>
      <c r="H232" s="219"/>
    </row>
    <row r="233" spans="1:9" ht="20.100000000000001" customHeight="1">
      <c r="A233" s="639" t="s">
        <v>568</v>
      </c>
      <c r="B233" s="263"/>
      <c r="C233" s="263"/>
      <c r="D233" s="264"/>
      <c r="E233" s="263"/>
      <c r="F233" s="265" t="s">
        <v>569</v>
      </c>
      <c r="G233" s="574">
        <v>0</v>
      </c>
      <c r="H233" s="219"/>
    </row>
    <row r="234" spans="1:9" ht="20.100000000000001" customHeight="1">
      <c r="A234" s="639" t="s">
        <v>570</v>
      </c>
      <c r="B234" s="263"/>
      <c r="C234" s="263"/>
      <c r="D234" s="264"/>
      <c r="E234" s="263"/>
      <c r="F234" s="266" t="s">
        <v>571</v>
      </c>
      <c r="G234" s="574">
        <v>0</v>
      </c>
      <c r="H234" s="219"/>
    </row>
    <row r="235" spans="1:9" ht="20.100000000000001" customHeight="1">
      <c r="A235" s="639" t="s">
        <v>572</v>
      </c>
      <c r="B235" s="263"/>
      <c r="C235" s="263"/>
      <c r="D235" s="264"/>
      <c r="E235" s="263"/>
      <c r="F235" s="267">
        <v>69270</v>
      </c>
      <c r="G235" s="574">
        <v>0</v>
      </c>
      <c r="H235" s="219"/>
    </row>
    <row r="236" spans="1:9" ht="20.100000000000001" customHeight="1">
      <c r="A236" s="625" t="s">
        <v>573</v>
      </c>
      <c r="B236" s="226"/>
      <c r="C236" s="226"/>
      <c r="D236" s="226"/>
      <c r="E236" s="226"/>
      <c r="F236" s="232" t="s">
        <v>574</v>
      </c>
      <c r="G236" s="574">
        <v>960765</v>
      </c>
      <c r="H236" s="219"/>
      <c r="I236" s="268"/>
    </row>
    <row r="237" spans="1:9" ht="20.100000000000001" customHeight="1">
      <c r="A237" s="625" t="s">
        <v>575</v>
      </c>
      <c r="B237" s="226"/>
      <c r="C237" s="226"/>
      <c r="D237" s="226"/>
      <c r="E237" s="226"/>
      <c r="F237" s="232" t="s">
        <v>576</v>
      </c>
      <c r="G237" s="574">
        <v>0</v>
      </c>
      <c r="H237" s="219"/>
    </row>
    <row r="238" spans="1:9" ht="20.100000000000001" customHeight="1">
      <c r="A238" s="625" t="s">
        <v>577</v>
      </c>
      <c r="B238" s="226"/>
      <c r="C238" s="226"/>
      <c r="D238" s="226"/>
      <c r="E238" s="226"/>
      <c r="F238" s="232" t="s">
        <v>578</v>
      </c>
      <c r="G238" s="1337">
        <v>500000</v>
      </c>
      <c r="H238" s="219"/>
    </row>
    <row r="239" spans="1:9" ht="20.100000000000001" customHeight="1">
      <c r="A239" s="625"/>
      <c r="B239" s="226"/>
      <c r="C239" s="226"/>
      <c r="D239" s="226"/>
      <c r="E239" s="226"/>
      <c r="F239" s="232"/>
      <c r="G239" s="269"/>
      <c r="H239" s="219"/>
    </row>
    <row r="240" spans="1:9" ht="20.100000000000001" customHeight="1">
      <c r="A240" s="907" t="s">
        <v>579</v>
      </c>
      <c r="B240" s="708"/>
      <c r="C240" s="708"/>
      <c r="D240" s="708"/>
      <c r="E240" s="708"/>
      <c r="F240" s="709"/>
      <c r="G240" s="779">
        <f>SUM(G200:G238)</f>
        <v>29407682</v>
      </c>
      <c r="H240" s="219"/>
    </row>
    <row r="241" spans="1:10" ht="20.100000000000001" customHeight="1">
      <c r="A241" s="638"/>
      <c r="B241" s="259"/>
      <c r="C241" s="259"/>
      <c r="D241" s="259"/>
      <c r="E241" s="259"/>
      <c r="F241" s="713"/>
      <c r="G241" s="714"/>
      <c r="H241" s="219"/>
    </row>
    <row r="242" spans="1:10" ht="20.100000000000001" customHeight="1">
      <c r="A242" s="1060" t="s">
        <v>165</v>
      </c>
      <c r="B242" s="1061"/>
      <c r="C242" s="1061"/>
      <c r="D242" s="1061"/>
      <c r="E242" s="1061"/>
      <c r="F242" s="1062"/>
      <c r="G242" s="913"/>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0</v>
      </c>
      <c r="H244" s="219"/>
    </row>
    <row r="245" spans="1:10" ht="20.100000000000001" customHeight="1">
      <c r="A245" s="626" t="s">
        <v>582</v>
      </c>
      <c r="B245" s="229"/>
      <c r="C245" s="229"/>
      <c r="D245" s="229"/>
      <c r="E245" s="229"/>
      <c r="F245" s="245" t="s">
        <v>583</v>
      </c>
      <c r="G245" s="574">
        <v>0</v>
      </c>
      <c r="H245" s="219"/>
    </row>
    <row r="246" spans="1:10" ht="20.100000000000001" customHeight="1">
      <c r="A246" s="625" t="s">
        <v>584</v>
      </c>
      <c r="B246" s="226"/>
      <c r="C246" s="226"/>
      <c r="D246" s="226"/>
      <c r="E246" s="226"/>
      <c r="F246" s="232" t="s">
        <v>585</v>
      </c>
      <c r="G246" s="574">
        <v>1000000</v>
      </c>
      <c r="H246" s="219"/>
    </row>
    <row r="247" spans="1:10" ht="20.100000000000001" customHeight="1">
      <c r="A247" s="626" t="s">
        <v>586</v>
      </c>
      <c r="B247" s="229"/>
      <c r="C247" s="229"/>
      <c r="D247" s="229"/>
      <c r="E247" s="229"/>
      <c r="F247" s="1295" t="s">
        <v>587</v>
      </c>
      <c r="G247" s="574">
        <v>0</v>
      </c>
      <c r="H247" s="662"/>
      <c r="I247" s="222"/>
    </row>
    <row r="248" spans="1:10" ht="20.100000000000001" customHeight="1">
      <c r="A248" s="1309" t="s">
        <v>764</v>
      </c>
      <c r="B248" s="1310"/>
      <c r="C248" s="1310"/>
      <c r="D248" s="1310"/>
      <c r="E248" s="1310"/>
      <c r="F248" s="1338">
        <v>73001</v>
      </c>
      <c r="G248" s="574">
        <v>0</v>
      </c>
      <c r="H248" s="662"/>
      <c r="I248" s="222"/>
    </row>
    <row r="249" spans="1:10" ht="20.100000000000001" customHeight="1">
      <c r="A249" s="1309" t="s">
        <v>765</v>
      </c>
      <c r="B249" s="1310"/>
      <c r="C249" s="1310"/>
      <c r="D249" s="1310"/>
      <c r="E249" s="1310"/>
      <c r="F249" s="1338">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732</v>
      </c>
      <c r="B251" s="229"/>
      <c r="C251" s="229"/>
      <c r="D251" s="229"/>
      <c r="E251" s="229"/>
      <c r="F251" s="252">
        <v>73100</v>
      </c>
      <c r="G251" s="574">
        <v>0</v>
      </c>
      <c r="H251" s="662"/>
      <c r="I251" s="222"/>
    </row>
    <row r="252" spans="1:10" ht="20.100000000000001" customHeight="1">
      <c r="A252" s="626" t="s">
        <v>589</v>
      </c>
      <c r="B252" s="229"/>
      <c r="C252" s="229"/>
      <c r="D252" s="229"/>
      <c r="E252" s="229"/>
      <c r="F252" s="245" t="s">
        <v>590</v>
      </c>
      <c r="G252" s="574">
        <v>0</v>
      </c>
      <c r="H252" s="662"/>
      <c r="I252" s="222"/>
    </row>
    <row r="253" spans="1:10" ht="20.100000000000001" customHeight="1">
      <c r="A253" s="626" t="s">
        <v>591</v>
      </c>
      <c r="B253" s="229"/>
      <c r="C253" s="229"/>
      <c r="D253" s="229"/>
      <c r="E253" s="229"/>
      <c r="F253" s="245" t="s">
        <v>592</v>
      </c>
      <c r="G253" s="574">
        <v>0</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0</v>
      </c>
      <c r="H255" s="662"/>
      <c r="I255" s="222"/>
      <c r="J255" s="222"/>
    </row>
    <row r="256" spans="1:10" ht="20.100000000000001" customHeight="1">
      <c r="A256" s="626" t="s">
        <v>597</v>
      </c>
      <c r="B256" s="229"/>
      <c r="C256" s="229"/>
      <c r="D256" s="229"/>
      <c r="E256" s="229"/>
      <c r="F256" s="245" t="s">
        <v>598</v>
      </c>
      <c r="G256" s="574">
        <v>0</v>
      </c>
      <c r="H256" s="662"/>
      <c r="I256" s="222"/>
    </row>
    <row r="257" spans="1:9" ht="20.100000000000001" customHeight="1">
      <c r="A257" s="626"/>
      <c r="B257" s="229"/>
      <c r="C257" s="229"/>
      <c r="D257" s="229"/>
      <c r="E257" s="229"/>
      <c r="F257" s="245"/>
      <c r="G257" s="914"/>
      <c r="H257" s="662"/>
      <c r="I257" s="222"/>
    </row>
    <row r="258" spans="1:9" ht="20.100000000000001" customHeight="1">
      <c r="A258" s="907" t="s">
        <v>599</v>
      </c>
      <c r="B258" s="708"/>
      <c r="C258" s="708"/>
      <c r="D258" s="708"/>
      <c r="E258" s="708"/>
      <c r="F258" s="709"/>
      <c r="G258" s="779">
        <f>SUM(G244:G256)</f>
        <v>1000000</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134966341</v>
      </c>
      <c r="H260" s="219"/>
    </row>
    <row r="261" spans="1:9" ht="20.100000000000001" customHeight="1" thickTop="1">
      <c r="A261" s="915"/>
      <c r="B261" s="916"/>
      <c r="C261" s="916"/>
      <c r="D261" s="916"/>
      <c r="E261" s="916"/>
      <c r="F261" s="917"/>
      <c r="G261" s="918"/>
      <c r="H261" s="219"/>
    </row>
    <row r="262" spans="1:9" ht="20.100000000000001" customHeight="1">
      <c r="A262" s="1069"/>
      <c r="B262" s="1070"/>
      <c r="C262" s="1070"/>
      <c r="D262" s="1070"/>
      <c r="E262" s="1070"/>
      <c r="F262" s="1071"/>
      <c r="G262" s="919"/>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0</v>
      </c>
      <c r="H271" s="219"/>
    </row>
    <row r="272" spans="1:9" ht="20.100000000000001" customHeight="1">
      <c r="A272" s="625" t="s">
        <v>609</v>
      </c>
      <c r="B272" s="226"/>
      <c r="C272" s="226"/>
      <c r="D272" s="226"/>
      <c r="E272" s="226"/>
      <c r="F272" s="270">
        <v>31100</v>
      </c>
      <c r="G272" s="763">
        <v>18802000</v>
      </c>
      <c r="H272" s="219"/>
    </row>
    <row r="273" spans="1:12" ht="20.100000000000001" customHeight="1">
      <c r="A273" s="625"/>
      <c r="B273" s="226"/>
      <c r="C273" s="226"/>
      <c r="D273" s="226"/>
      <c r="E273" s="226"/>
      <c r="F273" s="270"/>
      <c r="G273" s="920"/>
      <c r="H273" s="219"/>
    </row>
    <row r="274" spans="1:12" ht="20.100000000000001" customHeight="1">
      <c r="A274" s="627" t="s">
        <v>610</v>
      </c>
      <c r="B274" s="226"/>
      <c r="C274" s="226"/>
      <c r="D274" s="226"/>
      <c r="E274" s="226"/>
      <c r="F274" s="270"/>
      <c r="G274" s="921">
        <f>SUM(G264:G272)</f>
        <v>18802000</v>
      </c>
      <c r="H274" s="219"/>
    </row>
    <row r="275" spans="1:12" ht="20.100000000000001" customHeight="1">
      <c r="A275" s="627"/>
      <c r="B275" s="226"/>
      <c r="C275" s="226"/>
      <c r="D275" s="226"/>
      <c r="E275" s="226"/>
      <c r="F275" s="270"/>
      <c r="G275" s="269"/>
      <c r="H275" s="219"/>
    </row>
    <row r="276" spans="1:12" ht="20.100000000000001" customHeight="1" thickBot="1">
      <c r="A276" s="640" t="s">
        <v>766</v>
      </c>
      <c r="B276" s="219"/>
      <c r="C276" s="219"/>
      <c r="D276" s="219"/>
      <c r="E276" s="219"/>
      <c r="F276" s="253">
        <v>30800</v>
      </c>
      <c r="G276" s="575">
        <v>-46500000</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-27698000</v>
      </c>
      <c r="H278" s="664"/>
    </row>
    <row r="279" spans="1:12">
      <c r="A279" s="271"/>
      <c r="B279" s="271"/>
      <c r="C279" s="271"/>
      <c r="D279" s="271"/>
      <c r="E279" s="271"/>
      <c r="F279" s="272"/>
      <c r="G279" s="273"/>
      <c r="H279" s="274"/>
      <c r="I279" s="274"/>
      <c r="J279" s="274"/>
      <c r="K279" s="274"/>
      <c r="L279" s="274"/>
    </row>
    <row r="280" spans="1:12" s="222" customFormat="1" ht="13.5" customHeight="1">
      <c r="A280" s="1057"/>
      <c r="B280" s="1057"/>
      <c r="C280" s="1057"/>
      <c r="D280" s="1057"/>
      <c r="E280" s="1057"/>
      <c r="F280" s="1057"/>
      <c r="G280" s="1057"/>
      <c r="H280" s="1057"/>
      <c r="I280" s="275"/>
      <c r="J280" s="275"/>
      <c r="K280" s="275"/>
      <c r="L280" s="275"/>
    </row>
    <row r="281" spans="1:12" s="222" customFormat="1">
      <c r="A281" s="1057"/>
      <c r="B281" s="1057"/>
      <c r="C281" s="1057"/>
      <c r="D281" s="1057"/>
      <c r="E281" s="1057"/>
      <c r="F281" s="1057"/>
      <c r="G281" s="1057"/>
      <c r="H281" s="1057"/>
      <c r="I281" s="275"/>
      <c r="J281" s="275"/>
      <c r="K281" s="275"/>
      <c r="L281" s="275"/>
    </row>
    <row r="282" spans="1:12" s="222" customFormat="1">
      <c r="A282" s="1057"/>
      <c r="B282" s="1057"/>
      <c r="C282" s="1057"/>
      <c r="D282" s="1057"/>
      <c r="E282" s="1057"/>
      <c r="F282" s="1057"/>
      <c r="G282" s="1057"/>
      <c r="H282" s="1057"/>
    </row>
  </sheetData>
  <sheetProtection algorithmName="SHA-512" hashValue="IGW91J+U9V2F3AF9wxXMpyOo9yo9Uatj1gUSHf7KKCZZ0DTtEJ2KUSat0sSRRyQs00JpSVG+VAT/czV2NxSvJA==" saltValue="FXZlMYYrB4g65r2QncIMaQ=="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 right="0" top="0.5" bottom="0.5" header="0.5" footer="0.5"/>
  <pageSetup scale="45" orientation="portrait" r:id="rId1"/>
  <headerFooter alignWithMargins="0"/>
  <rowBreaks count="3" manualBreakCount="3">
    <brk id="72" max="6" man="1"/>
    <brk id="129" max="6" man="1"/>
    <brk id="197" max="6" man="1"/>
  </rowBreaks>
  <ignoredErrors>
    <ignoredError sqref="A257:A261 F139:F140 F123:F126 F117 F109:F113 F11:F17 F192:F194 F21:F33 A239:H239 F159:F172 F148:F157 A269:A273 B254:H257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topLeftCell="A55" zoomScale="80" zoomScaleNormal="80" zoomScalePageLayoutView="80" workbookViewId="0">
      <selection activeCell="C18" sqref="C18"/>
    </sheetView>
  </sheetViews>
  <sheetFormatPr defaultColWidth="9.140625" defaultRowHeight="23.25"/>
  <cols>
    <col min="1" max="1" width="47.7109375" style="419" customWidth="1"/>
    <col min="2" max="2" width="20.7109375" style="419" customWidth="1"/>
    <col min="3" max="4" width="17.42578125" style="419" customWidth="1"/>
    <col min="5" max="5" width="19.85546875" style="419" customWidth="1"/>
    <col min="6" max="6" width="7.42578125" style="419" customWidth="1"/>
    <col min="7" max="16384" width="9.14062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6" t="s">
        <v>183</v>
      </c>
      <c r="B3" s="1133" t="str">
        <f>'CHECK SHEET'!D7</f>
        <v>Palm Beach State College</v>
      </c>
      <c r="C3" s="1133"/>
      <c r="D3" s="1133"/>
      <c r="E3" s="1133"/>
      <c r="F3" s="431"/>
      <c r="G3" s="424"/>
    </row>
    <row r="4" spans="1:8" ht="24" customHeight="1">
      <c r="A4" s="1129" t="s">
        <v>613</v>
      </c>
      <c r="B4" s="1129"/>
      <c r="C4" s="1129"/>
      <c r="D4" s="1129"/>
      <c r="E4" s="1129"/>
      <c r="F4" s="463"/>
    </row>
    <row r="5" spans="1:8" ht="24" customHeight="1">
      <c r="A5" s="1129" t="s">
        <v>614</v>
      </c>
      <c r="B5" s="1129"/>
      <c r="C5" s="1129"/>
      <c r="D5" s="1129"/>
      <c r="E5" s="1129"/>
      <c r="F5" s="463"/>
    </row>
    <row r="6" spans="1:8" ht="24" customHeight="1">
      <c r="A6" s="1152" t="s">
        <v>756</v>
      </c>
      <c r="B6" s="1152"/>
      <c r="C6" s="1152"/>
      <c r="D6" s="1152"/>
      <c r="E6" s="1152"/>
      <c r="F6" s="464"/>
    </row>
    <row r="7" spans="1:8" ht="20.100000000000001" customHeight="1">
      <c r="A7" s="1150"/>
      <c r="B7" s="1150"/>
      <c r="C7" s="1150"/>
      <c r="D7" s="1151"/>
      <c r="E7" s="1151"/>
      <c r="F7" s="423"/>
    </row>
    <row r="8" spans="1:8" ht="24" customHeight="1" thickBot="1">
      <c r="A8" s="1072" t="s">
        <v>615</v>
      </c>
      <c r="B8" s="1072"/>
      <c r="C8" s="1072"/>
      <c r="D8" s="423"/>
      <c r="E8" s="423"/>
      <c r="F8" s="423"/>
      <c r="H8" s="425"/>
    </row>
    <row r="9" spans="1:8" s="37" customFormat="1" ht="64.349999999999994" customHeight="1" thickBot="1">
      <c r="A9" s="370" t="s">
        <v>616</v>
      </c>
      <c r="B9" s="1045" t="s">
        <v>617</v>
      </c>
      <c r="C9" s="389" t="s">
        <v>618</v>
      </c>
      <c r="D9" s="389" t="s">
        <v>619</v>
      </c>
      <c r="E9" s="459" t="s">
        <v>50</v>
      </c>
      <c r="F9" s="465"/>
      <c r="H9" s="456"/>
    </row>
    <row r="10" spans="1:8" s="37" customFormat="1" ht="20.100000000000001" customHeight="1">
      <c r="A10" s="479" t="s">
        <v>620</v>
      </c>
      <c r="B10" s="576">
        <v>49125598</v>
      </c>
      <c r="C10" s="577">
        <v>2833679</v>
      </c>
      <c r="D10" s="577">
        <v>375000</v>
      </c>
      <c r="E10" s="480">
        <f>SUM(B10:D10)</f>
        <v>52334277</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v>0</v>
      </c>
      <c r="C12" s="567">
        <v>0</v>
      </c>
      <c r="D12" s="567">
        <v>0</v>
      </c>
      <c r="E12" s="481">
        <f>SUM(B12:D12)</f>
        <v>0</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v>10563542</v>
      </c>
      <c r="C14" s="579">
        <v>1197741</v>
      </c>
      <c r="D14" s="579">
        <v>175000</v>
      </c>
      <c r="E14" s="481">
        <f t="shared" ref="E14:E20" si="0">SUM(B14:D14)</f>
        <v>11936283</v>
      </c>
      <c r="F14" s="457"/>
    </row>
    <row r="15" spans="1:8" s="37" customFormat="1" ht="20.100000000000001" customHeight="1">
      <c r="A15" s="479" t="s">
        <v>625</v>
      </c>
      <c r="B15" s="578">
        <v>1743497</v>
      </c>
      <c r="C15" s="567">
        <v>911336</v>
      </c>
      <c r="D15" s="567">
        <v>0</v>
      </c>
      <c r="E15" s="481">
        <f>SUM(B15:D15)</f>
        <v>2654833</v>
      </c>
      <c r="F15" s="457"/>
    </row>
    <row r="16" spans="1:8" s="37" customFormat="1" ht="20.100000000000001" customHeight="1">
      <c r="A16" s="479" t="s">
        <v>626</v>
      </c>
      <c r="B16" s="578">
        <v>13640302</v>
      </c>
      <c r="C16" s="567">
        <v>1846047</v>
      </c>
      <c r="D16" s="567">
        <v>125000</v>
      </c>
      <c r="E16" s="481">
        <f t="shared" si="0"/>
        <v>15611349</v>
      </c>
      <c r="F16" s="457"/>
    </row>
    <row r="17" spans="1:6" s="37" customFormat="1" ht="20.100000000000001" customHeight="1">
      <c r="A17" s="479" t="s">
        <v>627</v>
      </c>
      <c r="B17" s="578">
        <v>18768234</v>
      </c>
      <c r="C17" s="567">
        <f>8579190+1472143</f>
        <v>10051333</v>
      </c>
      <c r="D17" s="567">
        <v>200000</v>
      </c>
      <c r="E17" s="481">
        <f t="shared" si="0"/>
        <v>29019567</v>
      </c>
      <c r="F17" s="457"/>
    </row>
    <row r="18" spans="1:6" s="37" customFormat="1" ht="20.100000000000001" customHeight="1">
      <c r="A18" s="479" t="s">
        <v>628</v>
      </c>
      <c r="B18" s="578">
        <v>8614927</v>
      </c>
      <c r="C18" s="567">
        <v>9502546</v>
      </c>
      <c r="D18" s="567">
        <v>125000</v>
      </c>
      <c r="E18" s="481">
        <f t="shared" si="0"/>
        <v>18242473</v>
      </c>
      <c r="F18" s="457"/>
    </row>
    <row r="19" spans="1:6" s="37" customFormat="1" ht="20.100000000000001" customHeight="1">
      <c r="A19" s="479" t="s">
        <v>629</v>
      </c>
      <c r="B19" s="578">
        <v>102559</v>
      </c>
      <c r="C19" s="567">
        <v>2565000</v>
      </c>
      <c r="D19" s="567">
        <v>0</v>
      </c>
      <c r="E19" s="481">
        <f t="shared" si="0"/>
        <v>2667559</v>
      </c>
      <c r="F19" s="457"/>
    </row>
    <row r="20" spans="1:6" s="37" customFormat="1" ht="20.100000000000001" customHeight="1" thickBot="1">
      <c r="A20" s="479" t="s">
        <v>630</v>
      </c>
      <c r="B20" s="578">
        <v>2000000</v>
      </c>
      <c r="C20" s="568">
        <v>500000</v>
      </c>
      <c r="D20" s="568">
        <v>0</v>
      </c>
      <c r="E20" s="481">
        <f t="shared" si="0"/>
        <v>2500000</v>
      </c>
      <c r="F20" s="457"/>
    </row>
    <row r="21" spans="1:6" s="37" customFormat="1" ht="24" customHeight="1" thickBot="1">
      <c r="A21" s="377" t="s">
        <v>50</v>
      </c>
      <c r="B21" s="458">
        <f>SUM(B10:B20)</f>
        <v>104558659</v>
      </c>
      <c r="C21" s="461">
        <f>SUM(C10:C20)</f>
        <v>29407682</v>
      </c>
      <c r="D21" s="461">
        <f>SUM(D10:D20)</f>
        <v>1000000</v>
      </c>
      <c r="E21" s="460">
        <f>SUM(E10:E20)</f>
        <v>134966341</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rintOptions horizontalCentered="1"/>
  <pageMargins left="0.25" right="0.25" top="1" bottom="1" header="0.5" footer="0.5"/>
  <pageSetup scale="75" orientation="portrait" r:id="rId1"/>
  <headerFooter alignWithMargins="0">
    <oddFooter>&amp;R]</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topLeftCell="A19" zoomScale="120" zoomScaleNormal="120" zoomScalePageLayoutView="70" workbookViewId="0"/>
  </sheetViews>
  <sheetFormatPr defaultColWidth="8.85546875" defaultRowHeight="12.75"/>
  <cols>
    <col min="1" max="1" width="78.7109375" customWidth="1"/>
  </cols>
  <sheetData>
    <row r="1" spans="1:7" ht="26.1" customHeight="1">
      <c r="A1" s="623" t="s">
        <v>631</v>
      </c>
      <c r="B1" s="622"/>
      <c r="C1" s="622"/>
      <c r="D1" s="622"/>
      <c r="E1" s="622"/>
      <c r="F1" s="622"/>
      <c r="G1" s="622"/>
    </row>
    <row r="2" spans="1:7" ht="26.25">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581025</xdr:colOff>
                <xdr:row>50</xdr:row>
                <xdr:rowOff>95250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206"/>
  <sheetViews>
    <sheetView showGridLines="0" zoomScale="60" zoomScaleNormal="60" zoomScaleSheetLayoutView="50" zoomScalePageLayoutView="60" workbookViewId="0">
      <selection activeCell="A3" sqref="A3"/>
    </sheetView>
  </sheetViews>
  <sheetFormatPr defaultColWidth="12.42578125" defaultRowHeight="15.75"/>
  <cols>
    <col min="1" max="1" width="26.42578125" style="281" customWidth="1"/>
    <col min="2" max="2" width="94.28515625" style="281" customWidth="1"/>
    <col min="3" max="3" width="66.85546875" style="281" customWidth="1"/>
    <col min="4" max="5" width="25.85546875" style="329" customWidth="1"/>
    <col min="6" max="6" width="33.7109375" style="329" customWidth="1"/>
    <col min="7" max="7" width="3.140625" style="281" customWidth="1"/>
    <col min="8" max="16384" width="12.42578125" style="281"/>
  </cols>
  <sheetData>
    <row r="1" spans="1:224" ht="30" customHeight="1" thickBot="1">
      <c r="A1" s="1129" t="s">
        <v>183</v>
      </c>
      <c r="B1" s="1153" t="str">
        <f>'CHECK SHEET'!D7</f>
        <v>Palm Beach State College</v>
      </c>
      <c r="C1" s="1153"/>
      <c r="D1" s="1153"/>
      <c r="E1" s="1153"/>
      <c r="F1" s="1153"/>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4" t="s">
        <v>634</v>
      </c>
      <c r="B2" s="1154"/>
      <c r="C2" s="1154"/>
      <c r="D2" s="1154"/>
      <c r="E2" s="1154"/>
      <c r="F2" s="1154"/>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5" t="s">
        <v>635</v>
      </c>
      <c r="B3" s="1155"/>
      <c r="C3" s="1155"/>
      <c r="D3" s="1155"/>
      <c r="E3" s="1155"/>
      <c r="F3" s="1155"/>
    </row>
    <row r="4" spans="1:224" ht="30" customHeight="1">
      <c r="A4" s="1154" t="s">
        <v>756</v>
      </c>
      <c r="B4" s="1154"/>
      <c r="C4" s="1154"/>
      <c r="D4" s="1154"/>
      <c r="E4" s="1154"/>
      <c r="F4" s="1154"/>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1"/>
      <c r="B5" s="1091"/>
      <c r="C5" s="1091"/>
      <c r="D5" s="1091"/>
      <c r="E5" s="1091"/>
      <c r="F5" s="1091"/>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89" t="s">
        <v>615</v>
      </c>
      <c r="B7" s="1090"/>
      <c r="C7" s="1083" t="s">
        <v>738</v>
      </c>
      <c r="D7" s="1084"/>
      <c r="E7" s="1084"/>
      <c r="F7" s="1085"/>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5" t="s">
        <v>636</v>
      </c>
      <c r="B8" s="1216"/>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1" t="s">
        <v>414</v>
      </c>
      <c r="B9" s="1086"/>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2" t="s">
        <v>417</v>
      </c>
      <c r="B11" s="923"/>
      <c r="C11" s="924" t="s">
        <v>418</v>
      </c>
      <c r="D11" s="925">
        <v>88298</v>
      </c>
      <c r="E11" s="925">
        <v>0</v>
      </c>
      <c r="F11" s="926">
        <f t="shared" si="0"/>
        <v>88298</v>
      </c>
      <c r="G11" s="305"/>
      <c r="H11" s="306"/>
      <c r="I11" s="297"/>
      <c r="J11" s="290"/>
      <c r="K11" s="298"/>
      <c r="L11" s="298"/>
      <c r="M11" s="298"/>
      <c r="N11" s="298"/>
      <c r="O11" s="306"/>
      <c r="P11" s="306"/>
      <c r="Q11" s="306"/>
      <c r="R11" s="307"/>
      <c r="S11" s="307"/>
      <c r="T11" s="307"/>
      <c r="U11" s="307"/>
    </row>
    <row r="12" spans="1:224" s="308" customFormat="1" ht="30" customHeight="1">
      <c r="A12" s="922" t="s">
        <v>419</v>
      </c>
      <c r="B12" s="923"/>
      <c r="C12" s="924" t="s">
        <v>420</v>
      </c>
      <c r="D12" s="925">
        <v>0</v>
      </c>
      <c r="E12" s="925">
        <v>0</v>
      </c>
      <c r="F12" s="926">
        <f t="shared" si="0"/>
        <v>0</v>
      </c>
      <c r="G12" s="305"/>
      <c r="H12" s="306"/>
      <c r="I12" s="297"/>
      <c r="J12" s="290"/>
      <c r="K12" s="298"/>
      <c r="L12" s="298"/>
      <c r="M12" s="298"/>
      <c r="N12" s="298"/>
      <c r="O12" s="306"/>
      <c r="P12" s="306"/>
      <c r="Q12" s="306"/>
      <c r="R12" s="307"/>
      <c r="S12" s="307"/>
      <c r="T12" s="307"/>
      <c r="U12" s="307"/>
    </row>
    <row r="13" spans="1:224" s="308" customFormat="1" ht="30" customHeight="1">
      <c r="A13" s="922" t="s">
        <v>421</v>
      </c>
      <c r="B13" s="923"/>
      <c r="C13" s="924" t="s">
        <v>422</v>
      </c>
      <c r="D13" s="925">
        <v>0</v>
      </c>
      <c r="E13" s="925">
        <v>0</v>
      </c>
      <c r="F13" s="926">
        <f t="shared" si="0"/>
        <v>0</v>
      </c>
      <c r="G13" s="305"/>
      <c r="H13" s="306"/>
      <c r="I13" s="297"/>
      <c r="J13" s="290"/>
      <c r="K13" s="298"/>
      <c r="L13" s="298"/>
      <c r="M13" s="298"/>
      <c r="N13" s="298"/>
      <c r="O13" s="306"/>
      <c r="P13" s="306"/>
      <c r="Q13" s="306"/>
      <c r="R13" s="307"/>
      <c r="S13" s="307"/>
      <c r="T13" s="307"/>
      <c r="U13" s="307"/>
    </row>
    <row r="14" spans="1:224" s="308" customFormat="1" ht="30" customHeight="1">
      <c r="A14" s="922" t="s">
        <v>423</v>
      </c>
      <c r="B14" s="923"/>
      <c r="C14" s="924" t="s">
        <v>424</v>
      </c>
      <c r="D14" s="925">
        <v>0</v>
      </c>
      <c r="E14" s="925">
        <v>0</v>
      </c>
      <c r="F14" s="926">
        <f t="shared" si="0"/>
        <v>0</v>
      </c>
      <c r="G14" s="305"/>
      <c r="H14" s="306"/>
      <c r="I14" s="297"/>
      <c r="J14" s="290"/>
      <c r="K14" s="298"/>
      <c r="L14" s="298"/>
      <c r="M14" s="298"/>
      <c r="N14" s="298"/>
      <c r="O14" s="306"/>
      <c r="P14" s="306"/>
      <c r="Q14" s="306"/>
      <c r="R14" s="307"/>
      <c r="S14" s="307"/>
      <c r="T14" s="307"/>
      <c r="U14" s="307"/>
    </row>
    <row r="15" spans="1:224" s="308" customFormat="1" ht="30" customHeight="1">
      <c r="A15" s="922" t="s">
        <v>425</v>
      </c>
      <c r="B15" s="923"/>
      <c r="C15" s="924" t="s">
        <v>426</v>
      </c>
      <c r="D15" s="925">
        <f>678932+100000</f>
        <v>778932</v>
      </c>
      <c r="E15" s="925">
        <v>0</v>
      </c>
      <c r="F15" s="926">
        <f t="shared" si="0"/>
        <v>778932</v>
      </c>
      <c r="G15" s="305"/>
      <c r="H15" s="306"/>
      <c r="I15" s="297"/>
      <c r="J15" s="290"/>
      <c r="K15" s="309"/>
      <c r="L15" s="309"/>
      <c r="M15" s="309"/>
      <c r="N15" s="309"/>
      <c r="O15" s="306"/>
      <c r="P15" s="306"/>
      <c r="Q15" s="306"/>
      <c r="R15" s="307"/>
      <c r="S15" s="307"/>
      <c r="T15" s="307"/>
      <c r="U15" s="307"/>
    </row>
    <row r="16" spans="1:224" s="308" customFormat="1" ht="30" customHeight="1">
      <c r="A16" s="922" t="s">
        <v>427</v>
      </c>
      <c r="B16" s="923"/>
      <c r="C16" s="924" t="s">
        <v>428</v>
      </c>
      <c r="D16" s="925">
        <v>122241</v>
      </c>
      <c r="E16" s="925">
        <v>0</v>
      </c>
      <c r="F16" s="926">
        <f t="shared" si="0"/>
        <v>122241</v>
      </c>
      <c r="G16" s="305"/>
      <c r="H16" s="306"/>
      <c r="I16" s="306"/>
      <c r="J16" s="306"/>
      <c r="K16" s="306"/>
      <c r="L16" s="306"/>
      <c r="M16" s="306"/>
      <c r="N16" s="306"/>
      <c r="O16" s="306"/>
      <c r="P16" s="306"/>
      <c r="Q16" s="306"/>
      <c r="R16" s="307"/>
      <c r="S16" s="307"/>
      <c r="T16" s="307"/>
      <c r="U16" s="307"/>
    </row>
    <row r="17" spans="1:21" s="308" customFormat="1" ht="30" customHeight="1">
      <c r="A17" s="922" t="s">
        <v>429</v>
      </c>
      <c r="B17" s="923"/>
      <c r="C17" s="924" t="s">
        <v>430</v>
      </c>
      <c r="D17" s="925">
        <v>0</v>
      </c>
      <c r="E17" s="925">
        <v>0</v>
      </c>
      <c r="F17" s="926">
        <f t="shared" si="0"/>
        <v>0</v>
      </c>
      <c r="G17" s="305"/>
      <c r="H17" s="306"/>
      <c r="I17" s="306"/>
      <c r="J17" s="306"/>
      <c r="K17" s="306"/>
      <c r="L17" s="306"/>
      <c r="M17" s="306"/>
      <c r="N17" s="306"/>
      <c r="O17" s="306"/>
      <c r="P17" s="306"/>
      <c r="Q17" s="306"/>
      <c r="R17" s="307"/>
      <c r="S17" s="307"/>
      <c r="T17" s="307"/>
      <c r="U17" s="307"/>
    </row>
    <row r="18" spans="1:21" s="308" customFormat="1" ht="30" customHeight="1">
      <c r="A18" s="922" t="s">
        <v>431</v>
      </c>
      <c r="B18" s="923"/>
      <c r="C18" s="924" t="s">
        <v>432</v>
      </c>
      <c r="D18" s="925">
        <v>0</v>
      </c>
      <c r="E18" s="925">
        <v>0</v>
      </c>
      <c r="F18" s="926">
        <f t="shared" si="0"/>
        <v>0</v>
      </c>
      <c r="G18" s="305"/>
      <c r="H18" s="306"/>
      <c r="I18" s="306"/>
      <c r="J18" s="306"/>
      <c r="K18" s="306"/>
      <c r="L18" s="306"/>
      <c r="M18" s="306"/>
      <c r="N18" s="306"/>
      <c r="O18" s="306"/>
      <c r="P18" s="306"/>
      <c r="Q18" s="306"/>
      <c r="R18" s="307"/>
      <c r="S18" s="307"/>
      <c r="T18" s="307"/>
      <c r="U18" s="307"/>
    </row>
    <row r="19" spans="1:21" s="308" customFormat="1" ht="30" customHeight="1">
      <c r="A19" s="922" t="s">
        <v>805</v>
      </c>
      <c r="B19" s="923"/>
      <c r="C19" s="924" t="s">
        <v>434</v>
      </c>
      <c r="D19" s="925">
        <v>0</v>
      </c>
      <c r="E19" s="925">
        <v>0</v>
      </c>
      <c r="F19" s="926">
        <f t="shared" si="0"/>
        <v>0</v>
      </c>
      <c r="G19" s="305"/>
      <c r="H19" s="306"/>
      <c r="I19" s="306"/>
      <c r="J19" s="306"/>
      <c r="K19" s="306"/>
      <c r="L19" s="306"/>
      <c r="M19" s="306"/>
      <c r="N19" s="306"/>
      <c r="O19" s="306"/>
      <c r="P19" s="306"/>
      <c r="Q19" s="306"/>
      <c r="R19" s="307"/>
      <c r="S19" s="307"/>
      <c r="T19" s="307"/>
      <c r="U19" s="307"/>
    </row>
    <row r="20" spans="1:21" s="308" customFormat="1" ht="30" customHeight="1">
      <c r="A20" s="922" t="s">
        <v>435</v>
      </c>
      <c r="B20" s="923"/>
      <c r="C20" s="924">
        <v>52500</v>
      </c>
      <c r="D20" s="925">
        <v>0</v>
      </c>
      <c r="E20" s="925">
        <v>0</v>
      </c>
      <c r="F20" s="926">
        <f>+D20+E20</f>
        <v>0</v>
      </c>
      <c r="G20" s="305"/>
      <c r="H20" s="306"/>
      <c r="I20" s="306"/>
      <c r="J20" s="306"/>
      <c r="K20" s="306"/>
      <c r="L20" s="306"/>
      <c r="M20" s="306"/>
      <c r="N20" s="306"/>
      <c r="O20" s="306"/>
      <c r="P20" s="306"/>
      <c r="Q20" s="306"/>
      <c r="R20" s="307"/>
      <c r="S20" s="307"/>
      <c r="T20" s="307"/>
      <c r="U20" s="307"/>
    </row>
    <row r="21" spans="1:21" s="308" customFormat="1" ht="30" customHeight="1">
      <c r="A21" s="922" t="s">
        <v>436</v>
      </c>
      <c r="B21" s="923"/>
      <c r="C21" s="924" t="s">
        <v>437</v>
      </c>
      <c r="D21" s="925">
        <v>0</v>
      </c>
      <c r="E21" s="925">
        <v>0</v>
      </c>
      <c r="F21" s="926">
        <f t="shared" si="0"/>
        <v>0</v>
      </c>
      <c r="G21" s="305"/>
      <c r="H21" s="306"/>
      <c r="I21" s="306"/>
      <c r="J21" s="306"/>
      <c r="K21" s="306"/>
      <c r="L21" s="306"/>
      <c r="M21" s="306"/>
      <c r="N21" s="306"/>
      <c r="O21" s="306"/>
      <c r="P21" s="306"/>
      <c r="Q21" s="306"/>
      <c r="R21" s="307"/>
      <c r="S21" s="307"/>
      <c r="T21" s="307"/>
      <c r="U21" s="307"/>
    </row>
    <row r="22" spans="1:21" s="308" customFormat="1" ht="30" customHeight="1">
      <c r="A22" s="922" t="s">
        <v>438</v>
      </c>
      <c r="B22" s="923"/>
      <c r="C22" s="924" t="s">
        <v>439</v>
      </c>
      <c r="D22" s="925">
        <v>0</v>
      </c>
      <c r="E22" s="925">
        <v>0</v>
      </c>
      <c r="F22" s="926">
        <f t="shared" si="0"/>
        <v>0</v>
      </c>
      <c r="G22" s="305"/>
      <c r="H22" s="306"/>
      <c r="I22" s="306"/>
      <c r="J22" s="306"/>
      <c r="K22" s="306"/>
      <c r="L22" s="306"/>
      <c r="M22" s="306"/>
      <c r="N22" s="306"/>
      <c r="O22" s="306"/>
      <c r="P22" s="306"/>
      <c r="Q22" s="306"/>
      <c r="R22" s="307"/>
      <c r="S22" s="307"/>
      <c r="T22" s="307"/>
      <c r="U22" s="307"/>
    </row>
    <row r="23" spans="1:21" s="308" customFormat="1" ht="30" customHeight="1">
      <c r="A23" s="922" t="s">
        <v>440</v>
      </c>
      <c r="B23" s="923"/>
      <c r="C23" s="924" t="s">
        <v>441</v>
      </c>
      <c r="D23" s="925">
        <v>0</v>
      </c>
      <c r="E23" s="925">
        <v>0</v>
      </c>
      <c r="F23" s="926">
        <f t="shared" si="0"/>
        <v>0</v>
      </c>
      <c r="G23" s="305"/>
      <c r="H23" s="306"/>
      <c r="I23" s="306"/>
      <c r="J23" s="306"/>
      <c r="K23" s="306"/>
      <c r="L23" s="306"/>
      <c r="M23" s="306"/>
      <c r="N23" s="306"/>
      <c r="O23" s="306"/>
      <c r="P23" s="306"/>
      <c r="Q23" s="306"/>
      <c r="R23" s="307"/>
      <c r="S23" s="307"/>
      <c r="T23" s="307"/>
      <c r="U23" s="307"/>
    </row>
    <row r="24" spans="1:21" s="308" customFormat="1" ht="30" customHeight="1">
      <c r="A24" s="922" t="s">
        <v>442</v>
      </c>
      <c r="B24" s="923"/>
      <c r="C24" s="924" t="s">
        <v>443</v>
      </c>
      <c r="D24" s="925">
        <v>0</v>
      </c>
      <c r="E24" s="925">
        <v>0</v>
      </c>
      <c r="F24" s="926">
        <f t="shared" si="0"/>
        <v>0</v>
      </c>
      <c r="G24" s="305"/>
      <c r="H24" s="306"/>
      <c r="I24" s="306"/>
      <c r="J24" s="306"/>
      <c r="K24" s="306"/>
      <c r="L24" s="306"/>
      <c r="M24" s="306"/>
      <c r="N24" s="306"/>
      <c r="O24" s="306"/>
      <c r="P24" s="306"/>
      <c r="Q24" s="306"/>
      <c r="R24" s="307"/>
      <c r="S24" s="307"/>
      <c r="T24" s="307"/>
      <c r="U24" s="307"/>
    </row>
    <row r="25" spans="1:21" s="308" customFormat="1" ht="30" customHeight="1">
      <c r="A25" s="922" t="s">
        <v>444</v>
      </c>
      <c r="B25" s="923"/>
      <c r="C25" s="924" t="s">
        <v>445</v>
      </c>
      <c r="D25" s="925">
        <f>564843+100000</f>
        <v>664843</v>
      </c>
      <c r="E25" s="925">
        <v>0</v>
      </c>
      <c r="F25" s="926">
        <f t="shared" si="0"/>
        <v>664843</v>
      </c>
      <c r="G25" s="305"/>
      <c r="H25" s="306"/>
      <c r="I25" s="306"/>
      <c r="J25" s="306"/>
      <c r="K25" s="306"/>
      <c r="L25" s="306"/>
      <c r="M25" s="306"/>
      <c r="N25" s="306"/>
      <c r="O25" s="306"/>
      <c r="P25" s="306"/>
      <c r="Q25" s="306"/>
      <c r="R25" s="307"/>
      <c r="S25" s="307"/>
      <c r="T25" s="307"/>
      <c r="U25" s="307"/>
    </row>
    <row r="26" spans="1:21" s="308" customFormat="1" ht="30" customHeight="1">
      <c r="A26" s="922" t="s">
        <v>446</v>
      </c>
      <c r="B26" s="923"/>
      <c r="C26" s="924" t="s">
        <v>447</v>
      </c>
      <c r="D26" s="925">
        <v>0</v>
      </c>
      <c r="E26" s="925">
        <v>0</v>
      </c>
      <c r="F26" s="926">
        <f t="shared" si="0"/>
        <v>0</v>
      </c>
      <c r="G26" s="305"/>
      <c r="H26" s="306"/>
      <c r="I26" s="306"/>
      <c r="J26" s="306"/>
      <c r="K26" s="306"/>
      <c r="L26" s="306"/>
      <c r="M26" s="306"/>
      <c r="N26" s="306"/>
      <c r="O26" s="306"/>
      <c r="P26" s="306"/>
      <c r="Q26" s="306"/>
      <c r="R26" s="307"/>
      <c r="S26" s="307"/>
      <c r="T26" s="307"/>
      <c r="U26" s="307"/>
    </row>
    <row r="27" spans="1:21" s="308" customFormat="1" ht="30" customHeight="1">
      <c r="A27" s="922" t="s">
        <v>448</v>
      </c>
      <c r="B27" s="923"/>
      <c r="C27" s="924" t="s">
        <v>449</v>
      </c>
      <c r="D27" s="925">
        <v>0</v>
      </c>
      <c r="E27" s="925">
        <v>0</v>
      </c>
      <c r="F27" s="926">
        <f t="shared" si="0"/>
        <v>0</v>
      </c>
      <c r="G27" s="305"/>
      <c r="H27" s="306"/>
      <c r="I27" s="306"/>
      <c r="J27" s="306"/>
      <c r="K27" s="306"/>
      <c r="L27" s="306"/>
      <c r="M27" s="306"/>
      <c r="N27" s="306"/>
      <c r="O27" s="306"/>
      <c r="P27" s="306"/>
      <c r="Q27" s="306"/>
      <c r="R27" s="307"/>
      <c r="S27" s="307"/>
      <c r="T27" s="307"/>
      <c r="U27" s="307"/>
    </row>
    <row r="28" spans="1:21" s="308" customFormat="1" ht="30" customHeight="1">
      <c r="A28" s="922" t="s">
        <v>450</v>
      </c>
      <c r="B28" s="923"/>
      <c r="C28" s="924" t="s">
        <v>451</v>
      </c>
      <c r="D28" s="925">
        <v>0</v>
      </c>
      <c r="E28" s="925">
        <v>0</v>
      </c>
      <c r="F28" s="926">
        <f t="shared" si="0"/>
        <v>0</v>
      </c>
      <c r="G28" s="305"/>
      <c r="H28" s="306"/>
      <c r="I28" s="306"/>
      <c r="J28" s="306"/>
      <c r="K28" s="306"/>
      <c r="L28" s="306"/>
      <c r="M28" s="306"/>
      <c r="N28" s="306"/>
      <c r="O28" s="306"/>
      <c r="P28" s="306"/>
      <c r="Q28" s="306"/>
      <c r="R28" s="307"/>
      <c r="S28" s="307"/>
      <c r="T28" s="307"/>
      <c r="U28" s="307"/>
    </row>
    <row r="29" spans="1:21" s="308" customFormat="1" ht="30" customHeight="1">
      <c r="A29" s="922" t="s">
        <v>452</v>
      </c>
      <c r="B29" s="923"/>
      <c r="C29" s="924" t="s">
        <v>453</v>
      </c>
      <c r="D29" s="925">
        <v>0</v>
      </c>
      <c r="E29" s="925">
        <v>0</v>
      </c>
      <c r="F29" s="926">
        <f t="shared" si="0"/>
        <v>0</v>
      </c>
      <c r="G29" s="305"/>
      <c r="H29" s="306"/>
      <c r="I29" s="306"/>
      <c r="J29" s="306"/>
      <c r="K29" s="306"/>
      <c r="L29" s="306"/>
      <c r="M29" s="306"/>
      <c r="N29" s="306"/>
      <c r="O29" s="306"/>
      <c r="P29" s="306"/>
      <c r="Q29" s="306"/>
      <c r="R29" s="307"/>
      <c r="S29" s="307"/>
      <c r="T29" s="307"/>
      <c r="U29" s="307"/>
    </row>
    <row r="30" spans="1:21" s="308" customFormat="1" ht="30" customHeight="1">
      <c r="A30" s="922" t="s">
        <v>454</v>
      </c>
      <c r="B30" s="923"/>
      <c r="C30" s="924" t="s">
        <v>455</v>
      </c>
      <c r="D30" s="925">
        <v>74796</v>
      </c>
      <c r="E30" s="925">
        <v>0</v>
      </c>
      <c r="F30" s="926">
        <f t="shared" si="0"/>
        <v>74796</v>
      </c>
      <c r="G30" s="305"/>
      <c r="H30" s="306"/>
      <c r="I30" s="306"/>
      <c r="J30" s="306"/>
      <c r="K30" s="306"/>
      <c r="L30" s="306"/>
      <c r="M30" s="306"/>
      <c r="N30" s="306"/>
      <c r="O30" s="306"/>
      <c r="P30" s="306"/>
      <c r="Q30" s="306"/>
      <c r="R30" s="307"/>
      <c r="S30" s="307"/>
      <c r="T30" s="307"/>
      <c r="U30" s="307"/>
    </row>
    <row r="31" spans="1:21" s="308" customFormat="1" ht="30" customHeight="1">
      <c r="A31" s="922" t="s">
        <v>456</v>
      </c>
      <c r="B31" s="923"/>
      <c r="C31" s="924" t="s">
        <v>457</v>
      </c>
      <c r="D31" s="925">
        <v>10857</v>
      </c>
      <c r="E31" s="925">
        <v>0</v>
      </c>
      <c r="F31" s="926">
        <f t="shared" si="0"/>
        <v>10857</v>
      </c>
      <c r="G31" s="305"/>
      <c r="H31" s="306"/>
      <c r="I31" s="306"/>
      <c r="J31" s="306"/>
      <c r="K31" s="306"/>
      <c r="L31" s="306"/>
      <c r="M31" s="306"/>
      <c r="N31" s="306"/>
      <c r="O31" s="306"/>
      <c r="P31" s="306"/>
      <c r="Q31" s="306"/>
      <c r="R31" s="307"/>
      <c r="S31" s="307"/>
      <c r="T31" s="307"/>
      <c r="U31" s="307"/>
    </row>
    <row r="32" spans="1:21" s="308" customFormat="1" ht="30" customHeight="1">
      <c r="A32" s="922" t="s">
        <v>458</v>
      </c>
      <c r="B32" s="923"/>
      <c r="C32" s="924" t="s">
        <v>459</v>
      </c>
      <c r="D32" s="925">
        <v>0</v>
      </c>
      <c r="E32" s="925">
        <v>0</v>
      </c>
      <c r="F32" s="926">
        <f>+D32+E32</f>
        <v>0</v>
      </c>
      <c r="G32" s="305"/>
      <c r="H32" s="306"/>
      <c r="I32" s="306"/>
      <c r="J32" s="306"/>
      <c r="K32" s="306"/>
      <c r="L32" s="306"/>
      <c r="M32" s="306"/>
      <c r="N32" s="306"/>
      <c r="O32" s="306"/>
      <c r="P32" s="306"/>
      <c r="Q32" s="306"/>
      <c r="R32" s="307"/>
      <c r="S32" s="307"/>
      <c r="T32" s="307"/>
      <c r="U32" s="307"/>
    </row>
    <row r="33" spans="1:21" s="308" customFormat="1" ht="30" customHeight="1">
      <c r="A33" s="922" t="s">
        <v>460</v>
      </c>
      <c r="B33" s="923"/>
      <c r="C33" s="924" t="s">
        <v>461</v>
      </c>
      <c r="D33" s="925">
        <v>0</v>
      </c>
      <c r="E33" s="925">
        <v>0</v>
      </c>
      <c r="F33" s="926">
        <f t="shared" si="0"/>
        <v>0</v>
      </c>
      <c r="G33" s="305"/>
      <c r="H33" s="306"/>
      <c r="I33" s="306"/>
      <c r="J33" s="306"/>
      <c r="K33" s="306"/>
      <c r="L33" s="306"/>
      <c r="M33" s="306"/>
      <c r="N33" s="306"/>
      <c r="O33" s="306"/>
      <c r="P33" s="306"/>
      <c r="Q33" s="306"/>
      <c r="R33" s="307"/>
      <c r="S33" s="307"/>
      <c r="T33" s="307"/>
      <c r="U33" s="307"/>
    </row>
    <row r="34" spans="1:21" s="308" customFormat="1" ht="30" customHeight="1">
      <c r="A34" s="922" t="s">
        <v>462</v>
      </c>
      <c r="B34" s="923"/>
      <c r="C34" s="924" t="s">
        <v>463</v>
      </c>
      <c r="D34" s="925">
        <f>458449+100000</f>
        <v>558449</v>
      </c>
      <c r="E34" s="925">
        <v>0</v>
      </c>
      <c r="F34" s="926">
        <f t="shared" si="0"/>
        <v>558449</v>
      </c>
      <c r="G34" s="305"/>
      <c r="H34" s="306"/>
      <c r="I34" s="306"/>
      <c r="J34" s="306"/>
      <c r="K34" s="306"/>
      <c r="L34" s="306"/>
      <c r="M34" s="306"/>
      <c r="N34" s="306"/>
      <c r="O34" s="306"/>
      <c r="P34" s="306"/>
      <c r="Q34" s="306"/>
      <c r="R34" s="307"/>
      <c r="S34" s="307"/>
      <c r="T34" s="307"/>
      <c r="U34" s="307"/>
    </row>
    <row r="35" spans="1:21" s="308" customFormat="1" ht="30" customHeight="1">
      <c r="A35" s="922" t="s">
        <v>464</v>
      </c>
      <c r="B35" s="923"/>
      <c r="C35" s="924">
        <v>56001</v>
      </c>
      <c r="D35" s="925">
        <v>0</v>
      </c>
      <c r="E35" s="925">
        <v>0</v>
      </c>
      <c r="F35" s="926">
        <f>+D35+E35</f>
        <v>0</v>
      </c>
      <c r="G35" s="305"/>
      <c r="H35" s="306"/>
      <c r="I35" s="306"/>
      <c r="J35" s="306"/>
      <c r="K35" s="306"/>
      <c r="L35" s="306"/>
      <c r="M35" s="306"/>
      <c r="N35" s="306"/>
      <c r="O35" s="306"/>
      <c r="P35" s="306"/>
      <c r="Q35" s="306"/>
      <c r="R35" s="307"/>
      <c r="S35" s="307"/>
      <c r="T35" s="307"/>
      <c r="U35" s="307"/>
    </row>
    <row r="36" spans="1:21" s="308" customFormat="1" ht="30" customHeight="1">
      <c r="A36" s="922" t="s">
        <v>465</v>
      </c>
      <c r="B36" s="923"/>
      <c r="C36" s="924">
        <v>56002</v>
      </c>
      <c r="D36" s="925">
        <v>0</v>
      </c>
      <c r="E36" s="925">
        <v>0</v>
      </c>
      <c r="F36" s="926">
        <f>+D36+E36</f>
        <v>0</v>
      </c>
      <c r="G36" s="305"/>
      <c r="H36" s="306"/>
      <c r="I36" s="306"/>
      <c r="J36" s="306"/>
      <c r="K36" s="306"/>
      <c r="L36" s="306"/>
      <c r="M36" s="306"/>
      <c r="N36" s="306"/>
      <c r="O36" s="306"/>
      <c r="P36" s="306"/>
      <c r="Q36" s="306"/>
      <c r="R36" s="307"/>
      <c r="S36" s="307"/>
      <c r="T36" s="307"/>
      <c r="U36" s="307"/>
    </row>
    <row r="37" spans="1:21" s="308" customFormat="1" ht="30" customHeight="1">
      <c r="A37" s="922" t="s">
        <v>466</v>
      </c>
      <c r="B37" s="923"/>
      <c r="C37" s="924">
        <v>56003</v>
      </c>
      <c r="D37" s="925">
        <v>0</v>
      </c>
      <c r="E37" s="925">
        <v>0</v>
      </c>
      <c r="F37" s="926">
        <f>+D37+E37</f>
        <v>0</v>
      </c>
      <c r="G37" s="305"/>
      <c r="H37" s="306"/>
      <c r="I37" s="306"/>
      <c r="J37" s="306"/>
      <c r="K37" s="306"/>
      <c r="L37" s="306"/>
      <c r="M37" s="306"/>
      <c r="N37" s="306"/>
      <c r="O37" s="306"/>
      <c r="P37" s="306"/>
      <c r="Q37" s="306"/>
      <c r="R37" s="307"/>
      <c r="S37" s="307"/>
      <c r="T37" s="307"/>
      <c r="U37" s="307"/>
    </row>
    <row r="38" spans="1:21" s="308" customFormat="1" ht="30" customHeight="1">
      <c r="A38" s="922" t="s">
        <v>467</v>
      </c>
      <c r="B38" s="923"/>
      <c r="C38" s="924" t="s">
        <v>468</v>
      </c>
      <c r="D38" s="925">
        <v>0</v>
      </c>
      <c r="E38" s="925">
        <v>0</v>
      </c>
      <c r="F38" s="926">
        <f>+D38+E38</f>
        <v>0</v>
      </c>
      <c r="G38" s="305"/>
      <c r="H38" s="306"/>
      <c r="I38" s="306"/>
      <c r="J38" s="306"/>
      <c r="K38" s="306"/>
      <c r="L38" s="306"/>
      <c r="M38" s="306"/>
      <c r="N38" s="306"/>
      <c r="O38" s="306"/>
      <c r="P38" s="306"/>
      <c r="Q38" s="306"/>
      <c r="R38" s="307"/>
      <c r="S38" s="307"/>
      <c r="T38" s="307"/>
      <c r="U38" s="307"/>
    </row>
    <row r="39" spans="1:21" s="308" customFormat="1" ht="30" customHeight="1">
      <c r="A39" s="922" t="s">
        <v>469</v>
      </c>
      <c r="B39" s="923"/>
      <c r="C39" s="924" t="s">
        <v>470</v>
      </c>
      <c r="D39" s="925">
        <v>0</v>
      </c>
      <c r="E39" s="925">
        <v>0</v>
      </c>
      <c r="F39" s="926">
        <f t="shared" si="0"/>
        <v>0</v>
      </c>
      <c r="G39" s="305"/>
      <c r="H39" s="306"/>
      <c r="I39" s="306"/>
      <c r="J39" s="306"/>
      <c r="K39" s="306"/>
      <c r="L39" s="306"/>
      <c r="M39" s="306"/>
      <c r="N39" s="306"/>
      <c r="O39" s="306"/>
      <c r="P39" s="306"/>
      <c r="Q39" s="306"/>
      <c r="R39" s="307"/>
      <c r="S39" s="307"/>
      <c r="T39" s="307"/>
      <c r="U39" s="307"/>
    </row>
    <row r="40" spans="1:21" s="308" customFormat="1" ht="30" customHeight="1">
      <c r="A40" s="922" t="s">
        <v>471</v>
      </c>
      <c r="B40" s="923"/>
      <c r="C40" s="924" t="s">
        <v>472</v>
      </c>
      <c r="D40" s="925">
        <v>0</v>
      </c>
      <c r="E40" s="925">
        <v>0</v>
      </c>
      <c r="F40" s="926">
        <f t="shared" si="0"/>
        <v>0</v>
      </c>
      <c r="G40" s="305"/>
      <c r="H40" s="306"/>
      <c r="I40" s="306"/>
      <c r="J40" s="306"/>
      <c r="K40" s="306"/>
      <c r="L40" s="306"/>
      <c r="M40" s="306"/>
      <c r="N40" s="306"/>
      <c r="O40" s="306"/>
      <c r="P40" s="306"/>
      <c r="Q40" s="306"/>
      <c r="R40" s="307"/>
      <c r="S40" s="307"/>
      <c r="T40" s="307"/>
      <c r="U40" s="307"/>
    </row>
    <row r="41" spans="1:21" s="308" customFormat="1" ht="30" customHeight="1">
      <c r="A41" s="922" t="s">
        <v>473</v>
      </c>
      <c r="B41" s="923"/>
      <c r="C41" s="924" t="s">
        <v>474</v>
      </c>
      <c r="D41" s="925">
        <v>0</v>
      </c>
      <c r="E41" s="925">
        <v>0</v>
      </c>
      <c r="F41" s="926">
        <f t="shared" si="0"/>
        <v>0</v>
      </c>
      <c r="G41" s="305"/>
      <c r="H41" s="306"/>
      <c r="I41" s="306"/>
      <c r="J41" s="306"/>
      <c r="K41" s="306"/>
      <c r="L41" s="306"/>
      <c r="M41" s="306"/>
      <c r="N41" s="306"/>
      <c r="O41" s="306"/>
      <c r="P41" s="306"/>
      <c r="Q41" s="306"/>
      <c r="R41" s="307"/>
      <c r="S41" s="307"/>
      <c r="T41" s="307"/>
      <c r="U41" s="307"/>
    </row>
    <row r="42" spans="1:21" s="308" customFormat="1" ht="30" customHeight="1">
      <c r="A42" s="922" t="s">
        <v>475</v>
      </c>
      <c r="B42" s="923"/>
      <c r="C42" s="924" t="s">
        <v>476</v>
      </c>
      <c r="D42" s="925">
        <v>0</v>
      </c>
      <c r="E42" s="925">
        <v>0</v>
      </c>
      <c r="F42" s="926">
        <f t="shared" si="0"/>
        <v>0</v>
      </c>
      <c r="G42" s="305"/>
      <c r="H42" s="306"/>
      <c r="I42" s="306"/>
      <c r="J42" s="306"/>
      <c r="K42" s="306"/>
      <c r="L42" s="306"/>
      <c r="M42" s="306"/>
      <c r="N42" s="306"/>
      <c r="O42" s="306"/>
      <c r="P42" s="306"/>
      <c r="Q42" s="306"/>
      <c r="R42" s="307"/>
      <c r="S42" s="307"/>
      <c r="T42" s="307"/>
      <c r="U42" s="307"/>
    </row>
    <row r="43" spans="1:21" s="308" customFormat="1" ht="30" customHeight="1">
      <c r="A43" s="922" t="s">
        <v>477</v>
      </c>
      <c r="B43" s="923"/>
      <c r="C43" s="924" t="s">
        <v>478</v>
      </c>
      <c r="D43" s="925">
        <v>0</v>
      </c>
      <c r="E43" s="925">
        <v>0</v>
      </c>
      <c r="F43" s="926">
        <f t="shared" si="0"/>
        <v>0</v>
      </c>
      <c r="G43" s="305"/>
      <c r="H43" s="306"/>
      <c r="I43" s="306"/>
      <c r="J43" s="306"/>
      <c r="K43" s="306"/>
      <c r="L43" s="306"/>
      <c r="M43" s="306"/>
      <c r="N43" s="306"/>
      <c r="O43" s="306"/>
      <c r="P43" s="306"/>
      <c r="Q43" s="306"/>
      <c r="R43" s="307"/>
      <c r="S43" s="307"/>
      <c r="T43" s="307"/>
      <c r="U43" s="307"/>
    </row>
    <row r="44" spans="1:21" s="308" customFormat="1" ht="30" customHeight="1">
      <c r="A44" s="922" t="s">
        <v>479</v>
      </c>
      <c r="B44" s="923"/>
      <c r="C44" s="924" t="s">
        <v>480</v>
      </c>
      <c r="D44" s="925">
        <v>0</v>
      </c>
      <c r="E44" s="925">
        <v>0</v>
      </c>
      <c r="F44" s="926">
        <f t="shared" si="0"/>
        <v>0</v>
      </c>
      <c r="G44" s="305"/>
      <c r="H44" s="306"/>
      <c r="I44" s="306"/>
      <c r="J44" s="306"/>
      <c r="K44" s="306"/>
      <c r="L44" s="306"/>
      <c r="M44" s="306"/>
      <c r="N44" s="306"/>
      <c r="O44" s="306"/>
      <c r="P44" s="306"/>
      <c r="Q44" s="306"/>
      <c r="R44" s="307"/>
      <c r="S44" s="307"/>
      <c r="T44" s="307"/>
      <c r="U44" s="307"/>
    </row>
    <row r="45" spans="1:21" s="308" customFormat="1" ht="30" customHeight="1">
      <c r="A45" s="922" t="s">
        <v>481</v>
      </c>
      <c r="B45" s="923"/>
      <c r="C45" s="924" t="s">
        <v>482</v>
      </c>
      <c r="D45" s="925">
        <v>0</v>
      </c>
      <c r="E45" s="925">
        <v>0</v>
      </c>
      <c r="F45" s="926">
        <f t="shared" si="0"/>
        <v>0</v>
      </c>
      <c r="G45" s="305"/>
      <c r="H45" s="306"/>
      <c r="I45" s="306"/>
      <c r="J45" s="306"/>
      <c r="K45" s="306"/>
      <c r="L45" s="306"/>
      <c r="M45" s="306"/>
      <c r="N45" s="306"/>
      <c r="O45" s="306"/>
      <c r="P45" s="306"/>
      <c r="Q45" s="306"/>
      <c r="R45" s="307"/>
      <c r="S45" s="307"/>
      <c r="T45" s="307"/>
      <c r="U45" s="307"/>
    </row>
    <row r="46" spans="1:21" s="308" customFormat="1" ht="30" customHeight="1">
      <c r="A46" s="922" t="s">
        <v>483</v>
      </c>
      <c r="B46" s="923"/>
      <c r="C46" s="924" t="s">
        <v>484</v>
      </c>
      <c r="D46" s="925">
        <v>0</v>
      </c>
      <c r="E46" s="925">
        <v>0</v>
      </c>
      <c r="F46" s="926">
        <f t="shared" si="0"/>
        <v>0</v>
      </c>
      <c r="G46" s="305"/>
      <c r="H46" s="306"/>
      <c r="I46" s="306"/>
      <c r="J46" s="306"/>
      <c r="K46" s="306"/>
      <c r="L46" s="306"/>
      <c r="M46" s="306"/>
      <c r="N46" s="306"/>
      <c r="O46" s="306"/>
      <c r="P46" s="306"/>
      <c r="Q46" s="306"/>
      <c r="R46" s="307"/>
      <c r="S46" s="307"/>
      <c r="T46" s="307"/>
      <c r="U46" s="307"/>
    </row>
    <row r="47" spans="1:21" s="308" customFormat="1" ht="30" customHeight="1">
      <c r="A47" s="922" t="s">
        <v>485</v>
      </c>
      <c r="B47" s="923"/>
      <c r="C47" s="924" t="s">
        <v>486</v>
      </c>
      <c r="D47" s="925">
        <v>0</v>
      </c>
      <c r="E47" s="925">
        <v>0</v>
      </c>
      <c r="F47" s="926">
        <f t="shared" si="0"/>
        <v>0</v>
      </c>
      <c r="G47" s="305"/>
      <c r="H47" s="306"/>
      <c r="I47" s="306"/>
      <c r="J47" s="306"/>
      <c r="K47" s="306"/>
      <c r="L47" s="306"/>
      <c r="M47" s="306"/>
      <c r="N47" s="306"/>
      <c r="O47" s="306"/>
      <c r="P47" s="306"/>
      <c r="Q47" s="306"/>
      <c r="R47" s="307"/>
      <c r="S47" s="307"/>
      <c r="T47" s="307"/>
      <c r="U47" s="307"/>
    </row>
    <row r="48" spans="1:21" s="308" customFormat="1" ht="30" customHeight="1">
      <c r="A48" s="922" t="s">
        <v>487</v>
      </c>
      <c r="B48" s="923"/>
      <c r="C48" s="924" t="s">
        <v>488</v>
      </c>
      <c r="D48" s="925">
        <f>121385+50000</f>
        <v>171385</v>
      </c>
      <c r="E48" s="925">
        <v>0</v>
      </c>
      <c r="F48" s="926">
        <f t="shared" si="0"/>
        <v>171385</v>
      </c>
      <c r="G48" s="305"/>
      <c r="H48" s="306"/>
      <c r="I48" s="306"/>
      <c r="J48" s="306"/>
      <c r="K48" s="306"/>
      <c r="L48" s="306"/>
      <c r="M48" s="306"/>
      <c r="N48" s="306"/>
      <c r="O48" s="306"/>
      <c r="P48" s="306"/>
      <c r="Q48" s="306"/>
      <c r="R48" s="307"/>
      <c r="S48" s="307"/>
      <c r="T48" s="307"/>
      <c r="U48" s="307"/>
    </row>
    <row r="49" spans="1:21" s="308" customFormat="1" ht="30" customHeight="1">
      <c r="A49" s="922" t="s">
        <v>489</v>
      </c>
      <c r="B49" s="923"/>
      <c r="C49" s="924" t="s">
        <v>490</v>
      </c>
      <c r="D49" s="925">
        <f>154984+50000</f>
        <v>204984</v>
      </c>
      <c r="E49" s="925">
        <v>0</v>
      </c>
      <c r="F49" s="926">
        <f t="shared" si="0"/>
        <v>204984</v>
      </c>
      <c r="G49" s="305"/>
      <c r="H49" s="306"/>
      <c r="I49" s="306"/>
      <c r="J49" s="306"/>
      <c r="K49" s="306"/>
      <c r="L49" s="306"/>
      <c r="M49" s="306"/>
      <c r="N49" s="306"/>
      <c r="O49" s="306"/>
      <c r="P49" s="306"/>
      <c r="Q49" s="306"/>
      <c r="R49" s="307"/>
      <c r="S49" s="307"/>
      <c r="T49" s="307"/>
      <c r="U49" s="307"/>
    </row>
    <row r="50" spans="1:21" s="308" customFormat="1" ht="30" customHeight="1">
      <c r="A50" s="922" t="s">
        <v>491</v>
      </c>
      <c r="B50" s="923"/>
      <c r="C50" s="924" t="s">
        <v>492</v>
      </c>
      <c r="D50" s="925">
        <v>0</v>
      </c>
      <c r="E50" s="925">
        <v>0</v>
      </c>
      <c r="F50" s="926">
        <f t="shared" si="0"/>
        <v>0</v>
      </c>
      <c r="G50" s="305"/>
      <c r="H50" s="306"/>
      <c r="I50" s="306"/>
      <c r="J50" s="306"/>
      <c r="K50" s="306"/>
      <c r="L50" s="306"/>
      <c r="M50" s="306"/>
      <c r="N50" s="306"/>
      <c r="O50" s="306"/>
      <c r="P50" s="306"/>
      <c r="Q50" s="306"/>
      <c r="R50" s="307"/>
      <c r="S50" s="307"/>
      <c r="T50" s="307"/>
      <c r="U50" s="307"/>
    </row>
    <row r="51" spans="1:21" s="308" customFormat="1" ht="30" customHeight="1">
      <c r="A51" s="922" t="s">
        <v>493</v>
      </c>
      <c r="B51" s="923"/>
      <c r="C51" s="924" t="s">
        <v>494</v>
      </c>
      <c r="D51" s="925">
        <v>0</v>
      </c>
      <c r="E51" s="925">
        <v>0</v>
      </c>
      <c r="F51" s="926">
        <f t="shared" si="0"/>
        <v>0</v>
      </c>
      <c r="G51" s="305"/>
      <c r="H51" s="306"/>
      <c r="I51" s="306"/>
      <c r="J51" s="306"/>
      <c r="K51" s="306"/>
      <c r="L51" s="306"/>
      <c r="M51" s="306"/>
      <c r="N51" s="306"/>
      <c r="O51" s="306"/>
      <c r="P51" s="306"/>
      <c r="Q51" s="306"/>
      <c r="R51" s="307"/>
      <c r="S51" s="307"/>
      <c r="T51" s="307"/>
      <c r="U51" s="307"/>
    </row>
    <row r="52" spans="1:21" s="308" customFormat="1" ht="30" customHeight="1">
      <c r="A52" s="922" t="s">
        <v>495</v>
      </c>
      <c r="B52" s="923"/>
      <c r="C52" s="924" t="s">
        <v>496</v>
      </c>
      <c r="D52" s="925">
        <v>1483</v>
      </c>
      <c r="E52" s="925">
        <v>0</v>
      </c>
      <c r="F52" s="926">
        <f t="shared" si="0"/>
        <v>1483</v>
      </c>
      <c r="G52" s="305"/>
      <c r="H52" s="306"/>
      <c r="I52" s="306"/>
      <c r="J52" s="306"/>
      <c r="K52" s="306"/>
      <c r="L52" s="306"/>
      <c r="M52" s="306"/>
      <c r="N52" s="306"/>
      <c r="O52" s="306"/>
      <c r="P52" s="306"/>
      <c r="Q52" s="306"/>
      <c r="R52" s="307"/>
      <c r="S52" s="307"/>
      <c r="T52" s="307"/>
      <c r="U52" s="307"/>
    </row>
    <row r="53" spans="1:21" s="308" customFormat="1" ht="30" customHeight="1">
      <c r="A53" s="922" t="s">
        <v>640</v>
      </c>
      <c r="B53" s="923"/>
      <c r="C53" s="924" t="s">
        <v>641</v>
      </c>
      <c r="D53" s="925">
        <v>0</v>
      </c>
      <c r="E53" s="925">
        <v>0</v>
      </c>
      <c r="F53" s="926">
        <f>+D53+E53</f>
        <v>0</v>
      </c>
      <c r="G53" s="305"/>
      <c r="H53" s="306"/>
      <c r="I53" s="306"/>
      <c r="J53" s="306"/>
      <c r="K53" s="306"/>
      <c r="L53" s="306"/>
      <c r="M53" s="306"/>
      <c r="N53" s="306"/>
      <c r="O53" s="306"/>
      <c r="P53" s="306"/>
      <c r="Q53" s="306"/>
      <c r="R53" s="307"/>
      <c r="S53" s="307"/>
      <c r="T53" s="307"/>
      <c r="U53" s="307"/>
    </row>
    <row r="54" spans="1:21" s="308" customFormat="1" ht="30" customHeight="1">
      <c r="A54" s="922" t="s">
        <v>498</v>
      </c>
      <c r="B54" s="923"/>
      <c r="C54" s="924" t="s">
        <v>499</v>
      </c>
      <c r="D54" s="925">
        <f>168668+50405</f>
        <v>219073</v>
      </c>
      <c r="E54" s="925">
        <v>0</v>
      </c>
      <c r="F54" s="926">
        <f t="shared" si="0"/>
        <v>219073</v>
      </c>
      <c r="G54" s="305"/>
      <c r="H54" s="306"/>
      <c r="I54" s="306"/>
      <c r="J54" s="306"/>
      <c r="K54" s="306"/>
      <c r="L54" s="306"/>
      <c r="M54" s="306"/>
      <c r="N54" s="306"/>
      <c r="O54" s="306"/>
      <c r="P54" s="306"/>
      <c r="Q54" s="306"/>
      <c r="R54" s="307"/>
      <c r="S54" s="307"/>
      <c r="T54" s="307"/>
      <c r="U54" s="307"/>
    </row>
    <row r="55" spans="1:21" s="308" customFormat="1" ht="30" customHeight="1">
      <c r="A55" s="922" t="s">
        <v>500</v>
      </c>
      <c r="B55" s="923"/>
      <c r="C55" s="924" t="s">
        <v>501</v>
      </c>
      <c r="D55" s="925">
        <v>0</v>
      </c>
      <c r="E55" s="925">
        <v>0</v>
      </c>
      <c r="F55" s="926">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7" t="s">
        <v>502</v>
      </c>
      <c r="B56" s="928"/>
      <c r="C56" s="929" t="s">
        <v>503</v>
      </c>
      <c r="D56" s="925">
        <v>0</v>
      </c>
      <c r="E56" s="930">
        <v>0</v>
      </c>
      <c r="F56" s="931">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2895341</v>
      </c>
      <c r="E57" s="346">
        <f>SUM(E10:E56)</f>
        <v>0</v>
      </c>
      <c r="F57" s="346">
        <f t="shared" si="0"/>
        <v>2895341</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3" t="str">
        <f>C7</f>
        <v>2022-23</v>
      </c>
      <c r="D61" s="1084"/>
      <c r="E61" s="1084"/>
      <c r="F61" s="1085"/>
      <c r="G61" s="305"/>
      <c r="H61" s="306"/>
      <c r="I61" s="306"/>
      <c r="J61" s="306"/>
      <c r="K61" s="306"/>
      <c r="L61" s="306"/>
      <c r="M61" s="306"/>
      <c r="N61" s="306"/>
      <c r="O61" s="306"/>
      <c r="P61" s="306"/>
      <c r="Q61" s="306"/>
      <c r="R61" s="307"/>
      <c r="S61" s="307"/>
      <c r="T61" s="307"/>
      <c r="U61" s="307"/>
    </row>
    <row r="62" spans="1:21" s="308" customFormat="1" ht="111.6" customHeight="1" thickBot="1">
      <c r="A62" s="1215" t="s">
        <v>636</v>
      </c>
      <c r="B62" s="1216"/>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7" t="s">
        <v>164</v>
      </c>
      <c r="B63" s="1088"/>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9189</v>
      </c>
      <c r="E64" s="580">
        <v>0</v>
      </c>
      <c r="F64" s="304">
        <f t="shared" si="0"/>
        <v>9189</v>
      </c>
      <c r="G64" s="305"/>
      <c r="H64" s="306"/>
      <c r="I64" s="306"/>
      <c r="J64" s="306"/>
      <c r="K64" s="306"/>
      <c r="L64" s="306"/>
      <c r="M64" s="306"/>
      <c r="N64" s="306"/>
      <c r="O64" s="306"/>
      <c r="P64" s="306"/>
      <c r="Q64" s="306"/>
      <c r="R64" s="307"/>
      <c r="S64" s="307"/>
      <c r="T64" s="307"/>
      <c r="U64" s="307"/>
    </row>
    <row r="65" spans="1:21" s="308" customFormat="1" ht="30" customHeight="1">
      <c r="A65" s="922" t="s">
        <v>508</v>
      </c>
      <c r="B65" s="923"/>
      <c r="C65" s="932" t="s">
        <v>509</v>
      </c>
      <c r="D65" s="925">
        <v>0</v>
      </c>
      <c r="E65" s="925">
        <v>0</v>
      </c>
      <c r="F65" s="926">
        <f t="shared" si="0"/>
        <v>0</v>
      </c>
      <c r="G65" s="305"/>
      <c r="H65" s="306"/>
      <c r="I65" s="306"/>
      <c r="J65" s="306"/>
      <c r="K65" s="306"/>
      <c r="L65" s="306"/>
      <c r="M65" s="306"/>
      <c r="N65" s="306"/>
      <c r="O65" s="306"/>
      <c r="P65" s="306"/>
      <c r="Q65" s="306"/>
      <c r="R65" s="307"/>
      <c r="S65" s="307"/>
      <c r="T65" s="307"/>
      <c r="U65" s="307"/>
    </row>
    <row r="66" spans="1:21" s="308" customFormat="1" ht="30" customHeight="1">
      <c r="A66" s="922" t="s">
        <v>510</v>
      </c>
      <c r="B66" s="923"/>
      <c r="C66" s="932" t="s">
        <v>511</v>
      </c>
      <c r="D66" s="925">
        <v>1050</v>
      </c>
      <c r="E66" s="925">
        <v>0</v>
      </c>
      <c r="F66" s="926">
        <f t="shared" si="0"/>
        <v>1050</v>
      </c>
      <c r="G66" s="305"/>
      <c r="H66" s="306"/>
      <c r="I66" s="306"/>
      <c r="J66" s="306"/>
      <c r="K66" s="306"/>
      <c r="L66" s="306"/>
      <c r="M66" s="306"/>
      <c r="N66" s="306"/>
      <c r="O66" s="306"/>
      <c r="P66" s="306"/>
      <c r="Q66" s="306"/>
      <c r="R66" s="307"/>
      <c r="S66" s="307"/>
      <c r="T66" s="307"/>
      <c r="U66" s="307"/>
    </row>
    <row r="67" spans="1:21" s="308" customFormat="1" ht="30" customHeight="1">
      <c r="A67" s="922" t="s">
        <v>512</v>
      </c>
      <c r="B67" s="923"/>
      <c r="C67" s="932" t="s">
        <v>513</v>
      </c>
      <c r="D67" s="925">
        <v>1984</v>
      </c>
      <c r="E67" s="925">
        <v>0</v>
      </c>
      <c r="F67" s="926">
        <f t="shared" si="0"/>
        <v>1984</v>
      </c>
      <c r="G67" s="305"/>
      <c r="H67" s="306"/>
      <c r="I67" s="306"/>
      <c r="J67" s="306"/>
      <c r="K67" s="306"/>
      <c r="L67" s="306"/>
      <c r="M67" s="306"/>
      <c r="N67" s="306"/>
      <c r="O67" s="306"/>
      <c r="P67" s="306"/>
      <c r="Q67" s="306"/>
      <c r="R67" s="307"/>
      <c r="S67" s="307"/>
      <c r="T67" s="307"/>
      <c r="U67" s="307"/>
    </row>
    <row r="68" spans="1:21" s="308" customFormat="1" ht="30" customHeight="1">
      <c r="A68" s="922" t="s">
        <v>642</v>
      </c>
      <c r="B68" s="923"/>
      <c r="C68" s="932" t="s">
        <v>515</v>
      </c>
      <c r="D68" s="925">
        <v>0</v>
      </c>
      <c r="E68" s="925">
        <v>0</v>
      </c>
      <c r="F68" s="926">
        <f t="shared" si="0"/>
        <v>0</v>
      </c>
      <c r="G68" s="305"/>
      <c r="H68" s="306"/>
      <c r="I68" s="306"/>
      <c r="J68" s="306"/>
      <c r="K68" s="306"/>
      <c r="L68" s="306"/>
      <c r="M68" s="306"/>
      <c r="N68" s="306"/>
      <c r="O68" s="306"/>
      <c r="P68" s="306"/>
      <c r="Q68" s="306"/>
      <c r="R68" s="307"/>
      <c r="S68" s="307"/>
      <c r="T68" s="307"/>
      <c r="U68" s="307"/>
    </row>
    <row r="69" spans="1:21" s="308" customFormat="1" ht="30" customHeight="1">
      <c r="A69" s="922" t="s">
        <v>516</v>
      </c>
      <c r="B69" s="923"/>
      <c r="C69" s="932" t="s">
        <v>517</v>
      </c>
      <c r="D69" s="925">
        <v>0</v>
      </c>
      <c r="E69" s="925">
        <v>0</v>
      </c>
      <c r="F69" s="926">
        <f t="shared" si="0"/>
        <v>0</v>
      </c>
      <c r="G69" s="305"/>
      <c r="H69" s="306"/>
      <c r="I69" s="306"/>
      <c r="J69" s="306"/>
      <c r="K69" s="306"/>
      <c r="L69" s="306"/>
      <c r="M69" s="306"/>
      <c r="N69" s="306"/>
      <c r="O69" s="306"/>
      <c r="P69" s="306"/>
      <c r="Q69" s="306"/>
      <c r="R69" s="307"/>
      <c r="S69" s="307"/>
      <c r="T69" s="307"/>
      <c r="U69" s="307"/>
    </row>
    <row r="70" spans="1:21" s="308" customFormat="1" ht="30" customHeight="1">
      <c r="A70" s="1250" t="s">
        <v>733</v>
      </c>
      <c r="B70" s="923"/>
      <c r="C70" s="1245">
        <v>63100</v>
      </c>
      <c r="D70" s="1246">
        <v>0</v>
      </c>
      <c r="E70" s="1246">
        <v>0</v>
      </c>
      <c r="F70" s="1247">
        <v>0</v>
      </c>
      <c r="G70" s="305"/>
      <c r="H70" s="306"/>
      <c r="I70" s="306"/>
      <c r="J70" s="306"/>
      <c r="K70" s="306"/>
      <c r="L70" s="306"/>
      <c r="M70" s="306"/>
      <c r="N70" s="306"/>
      <c r="O70" s="306"/>
      <c r="P70" s="306"/>
      <c r="Q70" s="306"/>
      <c r="R70" s="307"/>
      <c r="S70" s="307"/>
      <c r="T70" s="307"/>
      <c r="U70" s="307"/>
    </row>
    <row r="71" spans="1:21" s="308" customFormat="1" ht="30" customHeight="1">
      <c r="A71" s="922" t="s">
        <v>518</v>
      </c>
      <c r="B71" s="923"/>
      <c r="C71" s="932" t="s">
        <v>519</v>
      </c>
      <c r="D71" s="925">
        <v>0</v>
      </c>
      <c r="E71" s="925">
        <v>0</v>
      </c>
      <c r="F71" s="926">
        <f t="shared" si="0"/>
        <v>0</v>
      </c>
      <c r="G71" s="305"/>
      <c r="H71" s="306"/>
      <c r="I71" s="306"/>
      <c r="J71" s="306"/>
      <c r="K71" s="306"/>
      <c r="L71" s="306"/>
      <c r="M71" s="306"/>
      <c r="N71" s="306"/>
      <c r="O71" s="306"/>
      <c r="P71" s="306"/>
      <c r="Q71" s="306"/>
      <c r="R71" s="307"/>
      <c r="S71" s="307"/>
      <c r="T71" s="307"/>
      <c r="U71" s="307"/>
    </row>
    <row r="72" spans="1:21" s="308" customFormat="1" ht="30" customHeight="1">
      <c r="A72" s="922" t="s">
        <v>520</v>
      </c>
      <c r="B72" s="923"/>
      <c r="C72" s="932" t="s">
        <v>521</v>
      </c>
      <c r="D72" s="925">
        <v>0</v>
      </c>
      <c r="E72" s="925">
        <v>0</v>
      </c>
      <c r="F72" s="926">
        <f t="shared" si="0"/>
        <v>0</v>
      </c>
      <c r="G72" s="305"/>
      <c r="H72" s="306"/>
      <c r="I72" s="306"/>
      <c r="J72" s="306"/>
      <c r="K72" s="306"/>
      <c r="L72" s="306"/>
      <c r="M72" s="306"/>
      <c r="N72" s="306"/>
      <c r="O72" s="306"/>
      <c r="P72" s="306"/>
      <c r="Q72" s="306"/>
      <c r="R72" s="307"/>
      <c r="S72" s="307"/>
      <c r="T72" s="307"/>
      <c r="U72" s="307"/>
    </row>
    <row r="73" spans="1:21" s="308" customFormat="1" ht="30" customHeight="1">
      <c r="A73" s="922" t="s">
        <v>522</v>
      </c>
      <c r="B73" s="923"/>
      <c r="C73" s="932" t="s">
        <v>523</v>
      </c>
      <c r="D73" s="925">
        <v>0</v>
      </c>
      <c r="E73" s="925">
        <v>0</v>
      </c>
      <c r="F73" s="926">
        <f t="shared" si="0"/>
        <v>0</v>
      </c>
      <c r="G73" s="305"/>
      <c r="H73" s="306"/>
      <c r="I73" s="306"/>
      <c r="J73" s="306"/>
      <c r="K73" s="306"/>
      <c r="L73" s="306"/>
      <c r="M73" s="306"/>
      <c r="N73" s="306"/>
      <c r="O73" s="306"/>
      <c r="P73" s="306"/>
      <c r="Q73" s="306"/>
      <c r="R73" s="307"/>
      <c r="S73" s="307"/>
      <c r="T73" s="307"/>
      <c r="U73" s="307"/>
    </row>
    <row r="74" spans="1:21" s="308" customFormat="1" ht="30" customHeight="1">
      <c r="A74" s="922" t="s">
        <v>524</v>
      </c>
      <c r="B74" s="923"/>
      <c r="C74" s="932" t="s">
        <v>525</v>
      </c>
      <c r="D74" s="925">
        <v>0</v>
      </c>
      <c r="E74" s="925">
        <v>0</v>
      </c>
      <c r="F74" s="926">
        <f t="shared" si="0"/>
        <v>0</v>
      </c>
      <c r="G74" s="305"/>
      <c r="H74" s="306"/>
      <c r="I74" s="306"/>
      <c r="J74" s="306"/>
      <c r="K74" s="306"/>
      <c r="L74" s="306"/>
      <c r="M74" s="306"/>
      <c r="N74" s="306"/>
      <c r="O74" s="306"/>
      <c r="P74" s="306"/>
      <c r="Q74" s="306"/>
      <c r="R74" s="307"/>
      <c r="S74" s="307"/>
      <c r="T74" s="307"/>
      <c r="U74" s="307"/>
    </row>
    <row r="75" spans="1:21" s="308" customFormat="1" ht="30" customHeight="1">
      <c r="A75" s="922" t="s">
        <v>526</v>
      </c>
      <c r="B75" s="923"/>
      <c r="C75" s="932" t="s">
        <v>527</v>
      </c>
      <c r="D75" s="925">
        <v>0</v>
      </c>
      <c r="E75" s="925">
        <v>0</v>
      </c>
      <c r="F75" s="926">
        <f t="shared" si="0"/>
        <v>0</v>
      </c>
      <c r="G75" s="305"/>
      <c r="H75" s="306"/>
      <c r="I75" s="306"/>
      <c r="J75" s="306"/>
      <c r="K75" s="306"/>
      <c r="L75" s="306"/>
      <c r="M75" s="306"/>
      <c r="N75" s="306"/>
      <c r="O75" s="306"/>
      <c r="P75" s="306"/>
      <c r="Q75" s="306"/>
      <c r="R75" s="307"/>
      <c r="S75" s="307"/>
      <c r="T75" s="307"/>
      <c r="U75" s="307"/>
    </row>
    <row r="76" spans="1:21" s="308" customFormat="1" ht="30" customHeight="1">
      <c r="A76" s="922" t="s">
        <v>528</v>
      </c>
      <c r="B76" s="923"/>
      <c r="C76" s="932" t="s">
        <v>529</v>
      </c>
      <c r="D76" s="925">
        <v>0</v>
      </c>
      <c r="E76" s="925">
        <v>0</v>
      </c>
      <c r="F76" s="926">
        <f t="shared" si="0"/>
        <v>0</v>
      </c>
      <c r="G76" s="305"/>
      <c r="H76" s="306"/>
      <c r="I76" s="306"/>
      <c r="J76" s="306"/>
      <c r="K76" s="306"/>
      <c r="L76" s="306"/>
      <c r="M76" s="306"/>
      <c r="N76" s="306"/>
      <c r="O76" s="306"/>
      <c r="P76" s="306"/>
      <c r="Q76" s="306"/>
      <c r="R76" s="307"/>
      <c r="S76" s="307"/>
      <c r="T76" s="307"/>
      <c r="U76" s="307"/>
    </row>
    <row r="77" spans="1:21" s="308" customFormat="1" ht="30" customHeight="1">
      <c r="A77" s="922" t="s">
        <v>530</v>
      </c>
      <c r="B77" s="923"/>
      <c r="C77" s="932" t="s">
        <v>531</v>
      </c>
      <c r="D77" s="925">
        <v>0</v>
      </c>
      <c r="E77" s="925">
        <v>0</v>
      </c>
      <c r="F77" s="926">
        <f t="shared" si="0"/>
        <v>0</v>
      </c>
      <c r="G77" s="305"/>
      <c r="H77" s="306"/>
      <c r="I77" s="306"/>
      <c r="J77" s="306"/>
      <c r="K77" s="306"/>
      <c r="L77" s="306"/>
      <c r="M77" s="306"/>
      <c r="N77" s="306"/>
      <c r="O77" s="306"/>
      <c r="P77" s="306"/>
      <c r="Q77" s="306"/>
      <c r="R77" s="307"/>
      <c r="S77" s="307"/>
      <c r="T77" s="307"/>
      <c r="U77" s="307"/>
    </row>
    <row r="78" spans="1:21" s="308" customFormat="1" ht="30" customHeight="1">
      <c r="A78" s="922" t="s">
        <v>532</v>
      </c>
      <c r="B78" s="923"/>
      <c r="C78" s="932" t="s">
        <v>533</v>
      </c>
      <c r="D78" s="925">
        <v>0</v>
      </c>
      <c r="E78" s="925">
        <v>0</v>
      </c>
      <c r="F78" s="926">
        <f t="shared" si="0"/>
        <v>0</v>
      </c>
      <c r="G78" s="305"/>
      <c r="H78" s="306"/>
      <c r="I78" s="306"/>
      <c r="J78" s="306"/>
      <c r="K78" s="306"/>
      <c r="L78" s="306"/>
      <c r="M78" s="306"/>
      <c r="N78" s="306"/>
      <c r="O78" s="306"/>
      <c r="P78" s="306"/>
      <c r="Q78" s="306"/>
      <c r="R78" s="307"/>
      <c r="S78" s="307"/>
      <c r="T78" s="307"/>
      <c r="U78" s="307"/>
    </row>
    <row r="79" spans="1:21" s="308" customFormat="1" ht="30" customHeight="1">
      <c r="A79" s="922" t="s">
        <v>534</v>
      </c>
      <c r="B79" s="923"/>
      <c r="C79" s="932">
        <v>64007</v>
      </c>
      <c r="D79" s="925">
        <v>0</v>
      </c>
      <c r="E79" s="925">
        <v>0</v>
      </c>
      <c r="F79" s="926">
        <f t="shared" si="0"/>
        <v>0</v>
      </c>
      <c r="G79" s="305"/>
      <c r="H79" s="306"/>
      <c r="I79" s="306"/>
      <c r="J79" s="306"/>
      <c r="K79" s="306"/>
      <c r="L79" s="306"/>
      <c r="M79" s="306"/>
      <c r="N79" s="306"/>
      <c r="O79" s="306"/>
      <c r="P79" s="306"/>
      <c r="Q79" s="306"/>
      <c r="R79" s="307"/>
      <c r="S79" s="307"/>
      <c r="T79" s="307"/>
      <c r="U79" s="307"/>
    </row>
    <row r="80" spans="1:21" s="308" customFormat="1" ht="30" customHeight="1">
      <c r="A80" s="922" t="s">
        <v>535</v>
      </c>
      <c r="B80" s="923"/>
      <c r="C80" s="932" t="s">
        <v>536</v>
      </c>
      <c r="D80" s="925">
        <v>9161</v>
      </c>
      <c r="E80" s="925">
        <v>0</v>
      </c>
      <c r="F80" s="926">
        <f t="shared" si="0"/>
        <v>9161</v>
      </c>
      <c r="G80" s="305"/>
      <c r="H80" s="306"/>
      <c r="I80" s="306"/>
      <c r="J80" s="306"/>
      <c r="K80" s="306"/>
      <c r="L80" s="306"/>
      <c r="M80" s="306"/>
      <c r="N80" s="306"/>
      <c r="O80" s="306"/>
      <c r="P80" s="306"/>
      <c r="Q80" s="306"/>
      <c r="R80" s="307"/>
      <c r="S80" s="307"/>
      <c r="T80" s="307"/>
      <c r="U80" s="307"/>
    </row>
    <row r="81" spans="1:21" s="308" customFormat="1" ht="30" customHeight="1">
      <c r="A81" s="922" t="s">
        <v>724</v>
      </c>
      <c r="B81" s="923"/>
      <c r="C81" s="932" t="s">
        <v>537</v>
      </c>
      <c r="D81" s="925">
        <v>0</v>
      </c>
      <c r="E81" s="925">
        <v>0</v>
      </c>
      <c r="F81" s="926">
        <f t="shared" si="0"/>
        <v>0</v>
      </c>
      <c r="G81" s="305"/>
      <c r="H81" s="306"/>
      <c r="I81" s="306"/>
      <c r="J81" s="306"/>
      <c r="K81" s="306"/>
      <c r="L81" s="306"/>
      <c r="M81" s="306"/>
      <c r="N81" s="306"/>
      <c r="O81" s="306"/>
      <c r="P81" s="306"/>
      <c r="Q81" s="306"/>
      <c r="R81" s="307"/>
      <c r="S81" s="307"/>
      <c r="T81" s="307"/>
      <c r="U81" s="307"/>
    </row>
    <row r="82" spans="1:21" s="308" customFormat="1" ht="30" customHeight="1">
      <c r="A82" s="922" t="s">
        <v>538</v>
      </c>
      <c r="B82" s="923"/>
      <c r="C82" s="932" t="s">
        <v>539</v>
      </c>
      <c r="D82" s="925">
        <v>0</v>
      </c>
      <c r="E82" s="925">
        <v>0</v>
      </c>
      <c r="F82" s="926">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2" t="s">
        <v>540</v>
      </c>
      <c r="B83" s="923"/>
      <c r="C83" s="932" t="s">
        <v>541</v>
      </c>
      <c r="D83" s="925">
        <v>9628</v>
      </c>
      <c r="E83" s="925">
        <v>0</v>
      </c>
      <c r="F83" s="926">
        <f t="shared" si="1"/>
        <v>9628</v>
      </c>
      <c r="G83" s="305"/>
      <c r="H83" s="306"/>
      <c r="I83" s="306"/>
      <c r="J83" s="306"/>
      <c r="K83" s="306"/>
      <c r="L83" s="306"/>
      <c r="M83" s="306"/>
      <c r="N83" s="306"/>
      <c r="O83" s="306"/>
      <c r="P83" s="306"/>
      <c r="Q83" s="306"/>
      <c r="R83" s="307"/>
      <c r="S83" s="307"/>
      <c r="T83" s="307"/>
      <c r="U83" s="307"/>
    </row>
    <row r="84" spans="1:21" s="308" customFormat="1" ht="30" customHeight="1">
      <c r="A84" s="922" t="s">
        <v>542</v>
      </c>
      <c r="B84" s="923"/>
      <c r="C84" s="932" t="s">
        <v>543</v>
      </c>
      <c r="D84" s="925">
        <v>4687</v>
      </c>
      <c r="E84" s="925">
        <v>0</v>
      </c>
      <c r="F84" s="926">
        <f t="shared" si="1"/>
        <v>4687</v>
      </c>
      <c r="G84" s="305"/>
      <c r="H84" s="306"/>
      <c r="I84" s="306"/>
      <c r="J84" s="306"/>
      <c r="K84" s="306"/>
      <c r="L84" s="306"/>
      <c r="M84" s="306"/>
      <c r="N84" s="306"/>
      <c r="O84" s="306"/>
      <c r="P84" s="306"/>
      <c r="Q84" s="306"/>
      <c r="R84" s="307"/>
      <c r="S84" s="307"/>
      <c r="T84" s="307"/>
      <c r="U84" s="307"/>
    </row>
    <row r="85" spans="1:21" s="308" customFormat="1" ht="30" customHeight="1">
      <c r="A85" s="922" t="s">
        <v>544</v>
      </c>
      <c r="B85" s="923"/>
      <c r="C85" s="932" t="s">
        <v>545</v>
      </c>
      <c r="D85" s="925">
        <v>859</v>
      </c>
      <c r="E85" s="925">
        <v>0</v>
      </c>
      <c r="F85" s="926">
        <f t="shared" si="1"/>
        <v>859</v>
      </c>
      <c r="G85" s="305"/>
      <c r="H85" s="306"/>
      <c r="I85" s="306"/>
      <c r="J85" s="306"/>
      <c r="K85" s="306"/>
      <c r="L85" s="306"/>
      <c r="M85" s="306"/>
      <c r="N85" s="306"/>
      <c r="O85" s="306"/>
      <c r="P85" s="306"/>
      <c r="Q85" s="306"/>
      <c r="R85" s="307"/>
      <c r="S85" s="307"/>
      <c r="T85" s="307"/>
      <c r="U85" s="307"/>
    </row>
    <row r="86" spans="1:21" s="308" customFormat="1" ht="30" customHeight="1">
      <c r="A86" s="922" t="s">
        <v>546</v>
      </c>
      <c r="B86" s="923"/>
      <c r="C86" s="932" t="s">
        <v>547</v>
      </c>
      <c r="D86" s="925">
        <v>0</v>
      </c>
      <c r="E86" s="925">
        <v>0</v>
      </c>
      <c r="F86" s="926">
        <f t="shared" si="1"/>
        <v>0</v>
      </c>
      <c r="G86" s="305"/>
      <c r="H86" s="305"/>
      <c r="I86" s="305"/>
      <c r="J86" s="305"/>
      <c r="K86" s="305"/>
      <c r="L86" s="305"/>
      <c r="M86" s="305"/>
      <c r="N86" s="305"/>
      <c r="O86" s="305"/>
      <c r="P86" s="305"/>
      <c r="Q86" s="305"/>
    </row>
    <row r="87" spans="1:21" s="308" customFormat="1" ht="30" customHeight="1">
      <c r="A87" s="922" t="s">
        <v>548</v>
      </c>
      <c r="B87" s="923"/>
      <c r="C87" s="932" t="s">
        <v>549</v>
      </c>
      <c r="D87" s="925">
        <v>3182</v>
      </c>
      <c r="E87" s="925">
        <v>0</v>
      </c>
      <c r="F87" s="926">
        <f t="shared" si="1"/>
        <v>3182</v>
      </c>
      <c r="G87" s="305"/>
      <c r="H87" s="305"/>
      <c r="I87" s="305"/>
      <c r="J87" s="305"/>
      <c r="K87" s="305"/>
      <c r="L87" s="305"/>
      <c r="M87" s="305"/>
      <c r="N87" s="305"/>
      <c r="O87" s="305"/>
      <c r="P87" s="305"/>
      <c r="Q87" s="305"/>
    </row>
    <row r="88" spans="1:21" s="308" customFormat="1" ht="30" customHeight="1">
      <c r="A88" s="922" t="s">
        <v>550</v>
      </c>
      <c r="B88" s="923"/>
      <c r="C88" s="932" t="s">
        <v>551</v>
      </c>
      <c r="D88" s="925">
        <v>110250</v>
      </c>
      <c r="E88" s="925">
        <v>0</v>
      </c>
      <c r="F88" s="926">
        <f t="shared" ref="F88:F93" si="2">+D88+E88</f>
        <v>110250</v>
      </c>
      <c r="G88" s="305"/>
      <c r="H88" s="305"/>
      <c r="I88" s="305"/>
      <c r="J88" s="305"/>
      <c r="K88" s="305"/>
      <c r="L88" s="305"/>
      <c r="M88" s="305"/>
      <c r="N88" s="305"/>
      <c r="O88" s="305"/>
      <c r="P88" s="305"/>
      <c r="Q88" s="305"/>
    </row>
    <row r="89" spans="1:21" s="308" customFormat="1" ht="30" customHeight="1">
      <c r="A89" s="922" t="s">
        <v>552</v>
      </c>
      <c r="B89" s="923"/>
      <c r="C89" s="932" t="s">
        <v>553</v>
      </c>
      <c r="D89" s="925">
        <v>1349</v>
      </c>
      <c r="E89" s="925">
        <v>0</v>
      </c>
      <c r="F89" s="926">
        <f t="shared" si="2"/>
        <v>1349</v>
      </c>
      <c r="G89" s="305"/>
      <c r="H89" s="305"/>
      <c r="I89" s="305"/>
      <c r="J89" s="305"/>
      <c r="K89" s="305"/>
      <c r="L89" s="305"/>
      <c r="M89" s="305"/>
      <c r="N89" s="305"/>
      <c r="O89" s="305"/>
      <c r="P89" s="305"/>
      <c r="Q89" s="305"/>
    </row>
    <row r="90" spans="1:21" s="308" customFormat="1" ht="30" customHeight="1">
      <c r="A90" s="922" t="s">
        <v>554</v>
      </c>
      <c r="B90" s="923"/>
      <c r="C90" s="932" t="s">
        <v>555</v>
      </c>
      <c r="D90" s="925">
        <v>0</v>
      </c>
      <c r="E90" s="925">
        <v>0</v>
      </c>
      <c r="F90" s="926">
        <f t="shared" si="2"/>
        <v>0</v>
      </c>
      <c r="G90" s="305"/>
      <c r="H90" s="305"/>
      <c r="I90" s="305"/>
      <c r="J90" s="305"/>
      <c r="K90" s="305"/>
      <c r="L90" s="305"/>
      <c r="M90" s="305"/>
      <c r="N90" s="305"/>
      <c r="O90" s="305"/>
      <c r="P90" s="305"/>
      <c r="Q90" s="305"/>
    </row>
    <row r="91" spans="1:21" s="308" customFormat="1" ht="30" customHeight="1">
      <c r="A91" s="922" t="s">
        <v>556</v>
      </c>
      <c r="B91" s="923"/>
      <c r="C91" s="932" t="s">
        <v>557</v>
      </c>
      <c r="D91" s="925">
        <v>0</v>
      </c>
      <c r="E91" s="925">
        <v>0</v>
      </c>
      <c r="F91" s="926">
        <f t="shared" si="2"/>
        <v>0</v>
      </c>
      <c r="G91" s="305"/>
      <c r="H91" s="305"/>
      <c r="I91" s="305"/>
      <c r="J91" s="305"/>
      <c r="K91" s="305"/>
      <c r="L91" s="305"/>
      <c r="M91" s="305"/>
      <c r="N91" s="305"/>
      <c r="O91" s="305"/>
      <c r="P91" s="305"/>
      <c r="Q91" s="305"/>
    </row>
    <row r="92" spans="1:21" s="308" customFormat="1" ht="30" customHeight="1">
      <c r="A92" s="922" t="s">
        <v>558</v>
      </c>
      <c r="B92" s="923"/>
      <c r="C92" s="932" t="s">
        <v>559</v>
      </c>
      <c r="D92" s="925">
        <v>0</v>
      </c>
      <c r="E92" s="925">
        <v>0</v>
      </c>
      <c r="F92" s="926">
        <f t="shared" si="2"/>
        <v>0</v>
      </c>
      <c r="G92" s="305"/>
      <c r="H92" s="305"/>
      <c r="I92" s="305"/>
      <c r="J92" s="305"/>
      <c r="K92" s="305"/>
      <c r="L92" s="305"/>
      <c r="M92" s="305"/>
      <c r="N92" s="305"/>
      <c r="O92" s="305"/>
      <c r="P92" s="305"/>
      <c r="Q92" s="305"/>
    </row>
    <row r="93" spans="1:21" s="308" customFormat="1" ht="30" customHeight="1">
      <c r="A93" s="922" t="s">
        <v>560</v>
      </c>
      <c r="B93" s="923"/>
      <c r="C93" s="932" t="s">
        <v>561</v>
      </c>
      <c r="D93" s="925">
        <v>0</v>
      </c>
      <c r="E93" s="925">
        <v>0</v>
      </c>
      <c r="F93" s="926">
        <f t="shared" si="2"/>
        <v>0</v>
      </c>
      <c r="G93" s="305"/>
      <c r="H93" s="305"/>
      <c r="I93" s="305"/>
      <c r="J93" s="305"/>
      <c r="K93" s="305"/>
      <c r="L93" s="305"/>
      <c r="M93" s="305"/>
      <c r="N93" s="305"/>
      <c r="O93" s="305"/>
      <c r="P93" s="305"/>
      <c r="Q93" s="305"/>
    </row>
    <row r="94" spans="1:21" s="308" customFormat="1" ht="30" customHeight="1">
      <c r="A94" s="922" t="s">
        <v>562</v>
      </c>
      <c r="B94" s="923"/>
      <c r="C94" s="932" t="s">
        <v>563</v>
      </c>
      <c r="D94" s="925">
        <v>0</v>
      </c>
      <c r="E94" s="925">
        <v>0</v>
      </c>
      <c r="F94" s="926">
        <f t="shared" si="1"/>
        <v>0</v>
      </c>
      <c r="G94" s="305"/>
      <c r="H94" s="305"/>
      <c r="I94" s="305"/>
      <c r="J94" s="305"/>
      <c r="K94" s="305"/>
      <c r="L94" s="305"/>
      <c r="M94" s="305"/>
      <c r="N94" s="305"/>
      <c r="O94" s="305"/>
      <c r="P94" s="305"/>
      <c r="Q94" s="305"/>
    </row>
    <row r="95" spans="1:21" s="308" customFormat="1" ht="30" customHeight="1">
      <c r="A95" s="922" t="s">
        <v>643</v>
      </c>
      <c r="B95" s="923"/>
      <c r="C95" s="932" t="s">
        <v>565</v>
      </c>
      <c r="D95" s="925">
        <v>0</v>
      </c>
      <c r="E95" s="925">
        <v>0</v>
      </c>
      <c r="F95" s="926">
        <f t="shared" si="1"/>
        <v>0</v>
      </c>
      <c r="G95" s="305"/>
      <c r="H95" s="305"/>
      <c r="I95" s="305"/>
      <c r="J95" s="305"/>
      <c r="K95" s="305"/>
      <c r="L95" s="305"/>
      <c r="M95" s="305"/>
      <c r="N95" s="305"/>
      <c r="O95" s="305"/>
      <c r="P95" s="305"/>
      <c r="Q95" s="305"/>
    </row>
    <row r="96" spans="1:21" s="308" customFormat="1" ht="30" customHeight="1">
      <c r="A96" s="922" t="s">
        <v>643</v>
      </c>
      <c r="B96" s="923"/>
      <c r="C96" s="932" t="s">
        <v>567</v>
      </c>
      <c r="D96" s="925">
        <v>0</v>
      </c>
      <c r="E96" s="925">
        <v>0</v>
      </c>
      <c r="F96" s="926">
        <f t="shared" si="1"/>
        <v>0</v>
      </c>
      <c r="G96" s="305"/>
      <c r="H96" s="305"/>
      <c r="I96" s="305"/>
      <c r="J96" s="305"/>
      <c r="K96" s="305"/>
      <c r="L96" s="305"/>
      <c r="M96" s="305"/>
      <c r="N96" s="305"/>
      <c r="O96" s="305"/>
      <c r="P96" s="305"/>
      <c r="Q96" s="305"/>
    </row>
    <row r="97" spans="1:17" s="308" customFormat="1" ht="30" customHeight="1">
      <c r="A97" s="922" t="s">
        <v>643</v>
      </c>
      <c r="B97" s="923"/>
      <c r="C97" s="932" t="s">
        <v>569</v>
      </c>
      <c r="D97" s="925">
        <v>0</v>
      </c>
      <c r="E97" s="925">
        <v>0</v>
      </c>
      <c r="F97" s="926">
        <f t="shared" si="1"/>
        <v>0</v>
      </c>
      <c r="G97" s="305"/>
      <c r="H97" s="305"/>
      <c r="I97" s="305"/>
      <c r="J97" s="305"/>
      <c r="K97" s="305"/>
      <c r="L97" s="305"/>
      <c r="M97" s="305"/>
      <c r="N97" s="305"/>
      <c r="O97" s="305"/>
      <c r="P97" s="305"/>
      <c r="Q97" s="305"/>
    </row>
    <row r="98" spans="1:17" s="308" customFormat="1" ht="30" customHeight="1">
      <c r="A98" s="922" t="s">
        <v>644</v>
      </c>
      <c r="B98" s="923"/>
      <c r="C98" s="932" t="s">
        <v>571</v>
      </c>
      <c r="D98" s="925">
        <v>0</v>
      </c>
      <c r="E98" s="925">
        <v>0</v>
      </c>
      <c r="F98" s="926">
        <f t="shared" si="1"/>
        <v>0</v>
      </c>
      <c r="G98" s="305"/>
      <c r="H98" s="305"/>
      <c r="I98" s="305"/>
      <c r="J98" s="305"/>
      <c r="K98" s="305"/>
      <c r="L98" s="305"/>
      <c r="M98" s="305"/>
      <c r="N98" s="305"/>
      <c r="O98" s="305"/>
      <c r="P98" s="305"/>
      <c r="Q98" s="305"/>
    </row>
    <row r="99" spans="1:17" s="308" customFormat="1" ht="30" customHeight="1">
      <c r="A99" s="922" t="s">
        <v>644</v>
      </c>
      <c r="B99" s="923"/>
      <c r="C99" s="932">
        <v>69270</v>
      </c>
      <c r="D99" s="925">
        <v>0</v>
      </c>
      <c r="E99" s="925">
        <v>0</v>
      </c>
      <c r="F99" s="926">
        <f t="shared" si="1"/>
        <v>0</v>
      </c>
      <c r="G99" s="305"/>
      <c r="H99" s="305"/>
      <c r="I99" s="305"/>
      <c r="J99" s="305"/>
      <c r="K99" s="305"/>
      <c r="L99" s="305"/>
      <c r="M99" s="305"/>
      <c r="N99" s="305"/>
      <c r="O99" s="305"/>
      <c r="P99" s="305"/>
      <c r="Q99" s="305"/>
    </row>
    <row r="100" spans="1:17" s="308" customFormat="1" ht="30" customHeight="1">
      <c r="A100" s="922" t="s">
        <v>573</v>
      </c>
      <c r="B100" s="923"/>
      <c r="C100" s="932" t="s">
        <v>574</v>
      </c>
      <c r="D100" s="925">
        <v>0</v>
      </c>
      <c r="E100" s="925">
        <v>0</v>
      </c>
      <c r="F100" s="926">
        <f t="shared" si="1"/>
        <v>0</v>
      </c>
      <c r="G100" s="305"/>
      <c r="H100" s="305"/>
      <c r="I100" s="305"/>
      <c r="J100" s="305"/>
      <c r="K100" s="305"/>
      <c r="L100" s="305"/>
      <c r="M100" s="305"/>
      <c r="N100" s="305"/>
      <c r="O100" s="305"/>
      <c r="P100" s="305"/>
      <c r="Q100" s="305"/>
    </row>
    <row r="101" spans="1:17" s="308" customFormat="1" ht="30" customHeight="1">
      <c r="A101" s="922" t="s">
        <v>408</v>
      </c>
      <c r="B101" s="923"/>
      <c r="C101" s="932" t="s">
        <v>576</v>
      </c>
      <c r="D101" s="925">
        <v>0</v>
      </c>
      <c r="E101" s="925">
        <v>0</v>
      </c>
      <c r="F101" s="926">
        <f t="shared" si="1"/>
        <v>0</v>
      </c>
      <c r="G101" s="305"/>
      <c r="H101" s="305"/>
      <c r="I101" s="305"/>
      <c r="J101" s="305"/>
      <c r="K101" s="305"/>
      <c r="L101" s="305"/>
      <c r="M101" s="305"/>
      <c r="N101" s="305"/>
      <c r="O101" s="305"/>
      <c r="P101" s="305"/>
      <c r="Q101" s="305"/>
    </row>
    <row r="102" spans="1:17" s="308" customFormat="1" ht="30" customHeight="1" thickBot="1">
      <c r="A102" s="927" t="s">
        <v>577</v>
      </c>
      <c r="B102" s="928"/>
      <c r="C102" s="933" t="s">
        <v>578</v>
      </c>
      <c r="D102" s="925">
        <v>0</v>
      </c>
      <c r="E102" s="925">
        <v>0</v>
      </c>
      <c r="F102" s="931">
        <f t="shared" si="1"/>
        <v>0</v>
      </c>
      <c r="G102" s="305"/>
      <c r="H102" s="305"/>
      <c r="I102" s="305"/>
      <c r="J102" s="305"/>
      <c r="K102" s="305"/>
      <c r="L102" s="305"/>
      <c r="M102" s="305"/>
      <c r="N102" s="305"/>
      <c r="O102" s="305"/>
      <c r="P102" s="305"/>
      <c r="Q102" s="305"/>
    </row>
    <row r="103" spans="1:17" s="308" customFormat="1" ht="30" customHeight="1" thickBot="1">
      <c r="A103" s="1081" t="s">
        <v>645</v>
      </c>
      <c r="B103" s="1086"/>
      <c r="C103" s="343"/>
      <c r="D103" s="342">
        <f>SUM(D64:D102)</f>
        <v>151339</v>
      </c>
      <c r="E103" s="342">
        <f>SUM(E64:E102)</f>
        <v>0</v>
      </c>
      <c r="F103" s="342">
        <f t="shared" si="1"/>
        <v>151339</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3" t="str">
        <f>C7</f>
        <v>2022-23</v>
      </c>
      <c r="D106" s="1084"/>
      <c r="E106" s="1084"/>
      <c r="F106" s="1085"/>
      <c r="G106" s="305"/>
      <c r="H106" s="305"/>
      <c r="I106" s="305"/>
      <c r="J106" s="305"/>
      <c r="K106" s="305"/>
      <c r="L106" s="305"/>
      <c r="M106" s="305"/>
      <c r="N106" s="305"/>
      <c r="O106" s="305"/>
      <c r="P106" s="305"/>
      <c r="Q106" s="305"/>
    </row>
    <row r="107" spans="1:17" s="308" customFormat="1" ht="111.6" customHeight="1" thickBot="1">
      <c r="A107" s="1217" t="s">
        <v>165</v>
      </c>
      <c r="B107" s="1218"/>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2" t="s">
        <v>646</v>
      </c>
      <c r="B109" s="923"/>
      <c r="C109" s="932" t="s">
        <v>583</v>
      </c>
      <c r="D109" s="925">
        <v>0</v>
      </c>
      <c r="E109" s="925">
        <v>0</v>
      </c>
      <c r="F109" s="926">
        <f t="shared" si="1"/>
        <v>0</v>
      </c>
      <c r="G109" s="305"/>
      <c r="H109" s="305"/>
      <c r="I109" s="305"/>
      <c r="J109" s="305"/>
      <c r="K109" s="305"/>
      <c r="L109" s="305"/>
      <c r="M109" s="305"/>
      <c r="N109" s="305"/>
      <c r="O109" s="305"/>
      <c r="P109" s="305"/>
      <c r="Q109" s="305"/>
    </row>
    <row r="110" spans="1:17" s="308" customFormat="1" ht="30" customHeight="1">
      <c r="A110" s="922" t="s">
        <v>584</v>
      </c>
      <c r="B110" s="923"/>
      <c r="C110" s="932" t="s">
        <v>585</v>
      </c>
      <c r="D110" s="925">
        <v>30000</v>
      </c>
      <c r="E110" s="925">
        <v>0</v>
      </c>
      <c r="F110" s="926">
        <f t="shared" si="1"/>
        <v>30000</v>
      </c>
      <c r="G110" s="305"/>
      <c r="H110" s="305"/>
      <c r="I110" s="305"/>
      <c r="J110" s="305"/>
      <c r="K110" s="305"/>
      <c r="L110" s="305"/>
      <c r="M110" s="305"/>
      <c r="N110" s="305"/>
      <c r="O110" s="305"/>
      <c r="P110" s="305"/>
      <c r="Q110" s="305"/>
    </row>
    <row r="111" spans="1:17" s="308" customFormat="1" ht="30" customHeight="1">
      <c r="A111" s="922" t="s">
        <v>586</v>
      </c>
      <c r="B111" s="923"/>
      <c r="C111" s="932" t="s">
        <v>587</v>
      </c>
      <c r="D111" s="925">
        <v>0</v>
      </c>
      <c r="E111" s="925">
        <v>0</v>
      </c>
      <c r="F111" s="926">
        <f t="shared" si="1"/>
        <v>0</v>
      </c>
      <c r="G111" s="305"/>
      <c r="H111" s="305"/>
      <c r="I111" s="305"/>
      <c r="J111" s="305"/>
      <c r="K111" s="305"/>
      <c r="L111" s="305"/>
      <c r="M111" s="305"/>
      <c r="N111" s="305"/>
      <c r="O111" s="305"/>
      <c r="P111" s="305"/>
      <c r="Q111" s="305"/>
    </row>
    <row r="112" spans="1:17" s="308" customFormat="1" ht="30" customHeight="1">
      <c r="A112" s="922" t="s">
        <v>589</v>
      </c>
      <c r="B112" s="923"/>
      <c r="C112" s="1245" t="s">
        <v>590</v>
      </c>
      <c r="D112" s="1246">
        <v>0</v>
      </c>
      <c r="E112" s="1246">
        <v>0</v>
      </c>
      <c r="F112" s="1247">
        <f t="shared" si="1"/>
        <v>0</v>
      </c>
      <c r="G112" s="305"/>
      <c r="H112" s="305"/>
      <c r="I112" s="305"/>
      <c r="J112" s="305"/>
      <c r="K112" s="305"/>
      <c r="L112" s="305"/>
      <c r="M112" s="305"/>
      <c r="N112" s="305"/>
      <c r="O112" s="305"/>
      <c r="P112" s="305"/>
      <c r="Q112" s="305"/>
    </row>
    <row r="113" spans="1:17" s="308" customFormat="1" ht="30" customHeight="1">
      <c r="A113" s="1303" t="s">
        <v>764</v>
      </c>
      <c r="B113" s="1304"/>
      <c r="C113" s="1305">
        <v>73001</v>
      </c>
      <c r="D113" s="1301">
        <v>0</v>
      </c>
      <c r="E113" s="1301">
        <v>0</v>
      </c>
      <c r="F113" s="1299">
        <f t="shared" si="1"/>
        <v>0</v>
      </c>
      <c r="G113" s="305"/>
      <c r="H113" s="305"/>
      <c r="I113" s="305"/>
      <c r="J113" s="305"/>
      <c r="K113" s="305"/>
      <c r="L113" s="305"/>
      <c r="M113" s="305"/>
      <c r="N113" s="305"/>
      <c r="O113" s="305"/>
      <c r="P113" s="305"/>
      <c r="Q113" s="305"/>
    </row>
    <row r="114" spans="1:17" s="308" customFormat="1" ht="30" customHeight="1">
      <c r="A114" s="1306" t="s">
        <v>765</v>
      </c>
      <c r="B114" s="1307"/>
      <c r="C114" s="1308">
        <v>73002</v>
      </c>
      <c r="D114" s="1302">
        <v>0</v>
      </c>
      <c r="E114" s="1302">
        <v>0</v>
      </c>
      <c r="F114" s="1300">
        <f t="shared" si="1"/>
        <v>0</v>
      </c>
      <c r="G114" s="305"/>
      <c r="H114" s="305"/>
      <c r="I114" s="305"/>
      <c r="J114" s="305"/>
      <c r="K114" s="305"/>
      <c r="L114" s="305"/>
      <c r="M114" s="305"/>
      <c r="N114" s="305"/>
      <c r="O114" s="305"/>
      <c r="P114" s="305"/>
      <c r="Q114" s="305"/>
    </row>
    <row r="115" spans="1:17" s="308" customFormat="1" ht="30" customHeight="1">
      <c r="A115" s="922" t="s">
        <v>588</v>
      </c>
      <c r="B115" s="923"/>
      <c r="C115" s="1296">
        <v>73050</v>
      </c>
      <c r="D115" s="1297">
        <v>0</v>
      </c>
      <c r="E115" s="1297">
        <v>0</v>
      </c>
      <c r="F115" s="1298">
        <f>+D115+E115</f>
        <v>0</v>
      </c>
      <c r="G115" s="305"/>
      <c r="H115" s="305"/>
      <c r="I115" s="305"/>
      <c r="J115" s="305"/>
      <c r="K115" s="305"/>
      <c r="L115" s="305"/>
      <c r="M115" s="305"/>
      <c r="N115" s="305"/>
      <c r="O115" s="305"/>
      <c r="P115" s="305"/>
      <c r="Q115" s="305"/>
    </row>
    <row r="116" spans="1:17" s="308" customFormat="1" ht="30" customHeight="1">
      <c r="A116" s="1248" t="s">
        <v>732</v>
      </c>
      <c r="B116" s="923"/>
      <c r="C116" s="1245">
        <v>73100</v>
      </c>
      <c r="D116" s="1246">
        <v>0</v>
      </c>
      <c r="E116" s="1246">
        <v>0</v>
      </c>
      <c r="F116" s="1298">
        <f>+D116+E116</f>
        <v>0</v>
      </c>
      <c r="G116" s="305"/>
      <c r="H116" s="305"/>
      <c r="I116" s="305"/>
      <c r="J116" s="305"/>
      <c r="K116" s="305"/>
      <c r="L116" s="305"/>
      <c r="M116" s="305"/>
      <c r="N116" s="305"/>
      <c r="O116" s="305"/>
      <c r="P116" s="305"/>
      <c r="Q116" s="305"/>
    </row>
    <row r="117" spans="1:17" s="308" customFormat="1" ht="47.25" customHeight="1">
      <c r="A117" s="1340" t="s">
        <v>647</v>
      </c>
      <c r="B117" s="1341"/>
      <c r="C117" s="932" t="s">
        <v>592</v>
      </c>
      <c r="D117" s="925">
        <v>0</v>
      </c>
      <c r="E117" s="925">
        <v>0</v>
      </c>
      <c r="F117" s="926">
        <f t="shared" si="1"/>
        <v>0</v>
      </c>
      <c r="G117" s="305"/>
      <c r="H117" s="305"/>
      <c r="I117" s="305"/>
      <c r="J117" s="305"/>
      <c r="K117" s="305"/>
      <c r="L117" s="305"/>
      <c r="M117" s="305"/>
      <c r="N117" s="305"/>
      <c r="O117" s="305"/>
      <c r="P117" s="305"/>
      <c r="Q117" s="305"/>
    </row>
    <row r="118" spans="1:17" s="308" customFormat="1" ht="30" customHeight="1">
      <c r="A118" s="922" t="s">
        <v>593</v>
      </c>
      <c r="B118" s="923"/>
      <c r="C118" s="932" t="s">
        <v>594</v>
      </c>
      <c r="D118" s="925">
        <v>0</v>
      </c>
      <c r="E118" s="925">
        <v>0</v>
      </c>
      <c r="F118" s="926">
        <f t="shared" si="1"/>
        <v>0</v>
      </c>
      <c r="G118" s="305"/>
      <c r="H118" s="305"/>
      <c r="I118" s="305"/>
      <c r="J118" s="305"/>
      <c r="K118" s="305"/>
      <c r="L118" s="305"/>
      <c r="M118" s="305"/>
      <c r="N118" s="305"/>
      <c r="O118" s="305"/>
      <c r="P118" s="305"/>
      <c r="Q118" s="305"/>
    </row>
    <row r="119" spans="1:17" s="308" customFormat="1" ht="30" customHeight="1">
      <c r="A119" s="922" t="s">
        <v>595</v>
      </c>
      <c r="B119" s="923"/>
      <c r="C119" s="932" t="s">
        <v>596</v>
      </c>
      <c r="D119" s="925">
        <v>0</v>
      </c>
      <c r="E119" s="925">
        <v>0</v>
      </c>
      <c r="F119" s="926">
        <f t="shared" si="1"/>
        <v>0</v>
      </c>
      <c r="G119" s="305"/>
      <c r="H119" s="305"/>
      <c r="I119" s="305"/>
      <c r="J119" s="305"/>
      <c r="K119" s="305"/>
      <c r="L119" s="305"/>
      <c r="M119" s="305"/>
      <c r="N119" s="305"/>
      <c r="O119" s="305"/>
      <c r="P119" s="305"/>
      <c r="Q119" s="305"/>
    </row>
    <row r="120" spans="1:17" s="308" customFormat="1" ht="30" customHeight="1" thickBot="1">
      <c r="A120" s="927" t="s">
        <v>597</v>
      </c>
      <c r="B120" s="928"/>
      <c r="C120" s="933" t="s">
        <v>598</v>
      </c>
      <c r="D120" s="930">
        <v>0</v>
      </c>
      <c r="E120" s="930">
        <v>0</v>
      </c>
      <c r="F120" s="931">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30000</v>
      </c>
      <c r="E121" s="346">
        <f>SUM(E108:E120)</f>
        <v>0</v>
      </c>
      <c r="F121" s="346">
        <f>SUM(D121:E121)</f>
        <v>30000</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1" t="s">
        <v>600</v>
      </c>
      <c r="B123" s="1086"/>
      <c r="C123" s="332"/>
      <c r="D123" s="342">
        <f>+D57+D103+D121</f>
        <v>3076680</v>
      </c>
      <c r="E123" s="342">
        <f>+E57+E103+E121</f>
        <v>0</v>
      </c>
      <c r="F123" s="342">
        <f>SUM(D123:E123)</f>
        <v>3076680</v>
      </c>
    </row>
    <row r="124" spans="1:17" s="308" customFormat="1" ht="116.4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5" t="s">
        <v>648</v>
      </c>
      <c r="B126" s="1216"/>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42">
        <v>0</v>
      </c>
      <c r="G127" s="338"/>
      <c r="H127" s="338"/>
      <c r="I127" s="338"/>
      <c r="J127" s="338"/>
      <c r="K127" s="338"/>
      <c r="L127" s="338"/>
      <c r="M127" s="338"/>
      <c r="N127" s="338"/>
      <c r="O127" s="338"/>
      <c r="P127" s="338"/>
      <c r="Q127" s="338"/>
    </row>
    <row r="128" spans="1:17" s="339" customFormat="1" ht="30" customHeight="1">
      <c r="A128" s="922" t="s">
        <v>650</v>
      </c>
      <c r="B128" s="754"/>
      <c r="C128" s="934"/>
      <c r="D128" s="1339">
        <f>'EXHIBIT C'!H10</f>
        <v>2663287</v>
      </c>
      <c r="E128" s="925">
        <v>0</v>
      </c>
      <c r="F128" s="926">
        <f t="shared" ref="F128:F138" si="3">+D128+E128</f>
        <v>2663287</v>
      </c>
      <c r="G128" s="338"/>
      <c r="H128" s="338"/>
      <c r="I128" s="338"/>
      <c r="J128" s="338"/>
      <c r="K128" s="338"/>
      <c r="L128" s="338"/>
      <c r="M128" s="338"/>
      <c r="N128" s="338"/>
      <c r="O128" s="338"/>
      <c r="P128" s="338"/>
      <c r="Q128" s="338"/>
    </row>
    <row r="129" spans="1:17" s="339" customFormat="1" ht="30" customHeight="1">
      <c r="A129" s="922" t="s">
        <v>651</v>
      </c>
      <c r="B129" s="754"/>
      <c r="C129" s="934"/>
      <c r="D129" s="1339">
        <f>'EXHIBIT C'!F19</f>
        <v>413393</v>
      </c>
      <c r="E129" s="925">
        <v>0</v>
      </c>
      <c r="F129" s="926">
        <f t="shared" si="3"/>
        <v>413393</v>
      </c>
      <c r="G129" s="338"/>
      <c r="H129" s="338"/>
      <c r="I129" s="338"/>
      <c r="J129" s="338"/>
      <c r="K129" s="338"/>
      <c r="L129" s="338"/>
      <c r="M129" s="338"/>
      <c r="N129" s="338"/>
      <c r="O129" s="338"/>
      <c r="P129" s="338"/>
      <c r="Q129" s="338"/>
    </row>
    <row r="130" spans="1:17" s="339" customFormat="1" ht="50.25" customHeight="1">
      <c r="A130" s="922" t="s">
        <v>652</v>
      </c>
      <c r="B130" s="754"/>
      <c r="C130" s="934"/>
      <c r="D130" s="925">
        <v>0</v>
      </c>
      <c r="E130" s="925">
        <v>0</v>
      </c>
      <c r="F130" s="926">
        <f t="shared" si="3"/>
        <v>0</v>
      </c>
      <c r="G130" s="338"/>
      <c r="H130" s="338"/>
      <c r="I130" s="338"/>
      <c r="J130" s="338"/>
      <c r="K130" s="338"/>
      <c r="L130" s="338"/>
      <c r="M130" s="338"/>
      <c r="N130" s="338"/>
      <c r="O130" s="338"/>
      <c r="P130" s="338"/>
      <c r="Q130" s="338"/>
    </row>
    <row r="131" spans="1:17" s="339" customFormat="1" ht="30" customHeight="1">
      <c r="A131" s="922" t="s">
        <v>653</v>
      </c>
      <c r="B131" s="754"/>
      <c r="C131" s="934"/>
      <c r="D131" s="925">
        <v>0</v>
      </c>
      <c r="E131" s="925">
        <v>0</v>
      </c>
      <c r="F131" s="926">
        <f t="shared" si="3"/>
        <v>0</v>
      </c>
      <c r="G131" s="338"/>
      <c r="H131" s="338"/>
      <c r="I131" s="338"/>
      <c r="J131" s="338"/>
      <c r="K131" s="338"/>
      <c r="L131" s="338"/>
      <c r="M131" s="338"/>
      <c r="N131" s="338"/>
      <c r="O131" s="338"/>
      <c r="P131" s="338"/>
      <c r="Q131" s="338"/>
    </row>
    <row r="132" spans="1:17" s="339" customFormat="1" ht="30" customHeight="1">
      <c r="A132" s="1219" t="s">
        <v>730</v>
      </c>
      <c r="B132" s="1220"/>
      <c r="C132" s="934"/>
      <c r="D132" s="925">
        <v>0</v>
      </c>
      <c r="E132" s="925">
        <v>0</v>
      </c>
      <c r="F132" s="926">
        <f t="shared" si="3"/>
        <v>0</v>
      </c>
      <c r="G132" s="338"/>
      <c r="H132" s="338"/>
      <c r="I132" s="338"/>
      <c r="J132" s="338"/>
      <c r="K132" s="338"/>
      <c r="L132" s="338"/>
      <c r="M132" s="338"/>
      <c r="N132" s="338"/>
      <c r="O132" s="338"/>
      <c r="P132" s="338"/>
      <c r="Q132" s="338"/>
    </row>
    <row r="133" spans="1:17" s="339" customFormat="1" ht="30" customHeight="1">
      <c r="A133" s="922" t="s">
        <v>654</v>
      </c>
      <c r="B133" s="754"/>
      <c r="C133" s="934"/>
      <c r="D133" s="925">
        <v>0</v>
      </c>
      <c r="E133" s="925">
        <v>0</v>
      </c>
      <c r="F133" s="926">
        <f t="shared" si="3"/>
        <v>0</v>
      </c>
      <c r="G133" s="338"/>
      <c r="H133" s="338"/>
      <c r="I133" s="338"/>
      <c r="J133" s="338"/>
      <c r="K133" s="338"/>
      <c r="L133" s="338"/>
      <c r="M133" s="338"/>
      <c r="N133" s="338"/>
      <c r="O133" s="338"/>
      <c r="P133" s="338"/>
      <c r="Q133" s="338"/>
    </row>
    <row r="134" spans="1:17" s="339" customFormat="1" ht="30" customHeight="1">
      <c r="A134" s="922" t="s">
        <v>655</v>
      </c>
      <c r="B134" s="754"/>
      <c r="C134" s="934"/>
      <c r="D134" s="925">
        <v>0</v>
      </c>
      <c r="E134" s="925">
        <v>0</v>
      </c>
      <c r="F134" s="926">
        <f t="shared" si="3"/>
        <v>0</v>
      </c>
      <c r="G134" s="338"/>
      <c r="H134" s="338"/>
      <c r="I134" s="338"/>
      <c r="J134" s="338"/>
      <c r="K134" s="338"/>
      <c r="L134" s="338"/>
      <c r="M134" s="338"/>
      <c r="N134" s="338"/>
      <c r="O134" s="338"/>
      <c r="P134" s="338"/>
      <c r="Q134" s="338"/>
    </row>
    <row r="135" spans="1:17" s="339" customFormat="1" ht="30" customHeight="1">
      <c r="A135" s="922" t="s">
        <v>656</v>
      </c>
      <c r="B135" s="754"/>
      <c r="C135" s="934"/>
      <c r="D135" s="925">
        <v>0</v>
      </c>
      <c r="E135" s="925">
        <v>0</v>
      </c>
      <c r="F135" s="926">
        <f t="shared" si="3"/>
        <v>0</v>
      </c>
      <c r="G135" s="338"/>
      <c r="H135" s="338"/>
      <c r="I135" s="338"/>
      <c r="J135" s="338"/>
      <c r="K135" s="338"/>
      <c r="L135" s="338"/>
      <c r="M135" s="338"/>
      <c r="N135" s="338"/>
      <c r="O135" s="338"/>
      <c r="P135" s="338"/>
      <c r="Q135" s="338"/>
    </row>
    <row r="136" spans="1:17" s="339" customFormat="1" ht="30" customHeight="1">
      <c r="A136" s="922" t="s">
        <v>657</v>
      </c>
      <c r="B136" s="754"/>
      <c r="C136" s="934"/>
      <c r="D136" s="925">
        <v>0</v>
      </c>
      <c r="E136" s="925">
        <v>0</v>
      </c>
      <c r="F136" s="926">
        <f t="shared" si="3"/>
        <v>0</v>
      </c>
      <c r="G136" s="338"/>
      <c r="H136" s="338"/>
      <c r="I136" s="338"/>
      <c r="J136" s="338"/>
      <c r="K136" s="338"/>
      <c r="L136" s="338"/>
      <c r="M136" s="338"/>
      <c r="N136" s="338"/>
      <c r="O136" s="338"/>
      <c r="P136" s="338"/>
      <c r="Q136" s="338"/>
    </row>
    <row r="137" spans="1:17" ht="24.75" customHeight="1">
      <c r="A137" s="922" t="s">
        <v>658</v>
      </c>
      <c r="B137" s="754"/>
      <c r="C137" s="934"/>
      <c r="D137" s="925">
        <v>0</v>
      </c>
      <c r="E137" s="925">
        <v>0</v>
      </c>
      <c r="F137" s="926">
        <f t="shared" si="3"/>
        <v>0</v>
      </c>
      <c r="G137" s="322"/>
      <c r="H137" s="322"/>
      <c r="I137" s="322"/>
      <c r="J137" s="322"/>
      <c r="K137" s="322"/>
      <c r="L137" s="322"/>
      <c r="M137" s="322"/>
      <c r="N137" s="322"/>
      <c r="O137" s="322"/>
      <c r="P137" s="322"/>
      <c r="Q137" s="322"/>
    </row>
    <row r="138" spans="1:17" ht="22.5" customHeight="1" thickBot="1">
      <c r="A138" s="927" t="s">
        <v>659</v>
      </c>
      <c r="B138" s="935"/>
      <c r="C138" s="936"/>
      <c r="D138" s="930">
        <v>0</v>
      </c>
      <c r="E138" s="930">
        <v>0</v>
      </c>
      <c r="F138" s="931">
        <f t="shared" si="3"/>
        <v>0</v>
      </c>
      <c r="G138" s="322"/>
      <c r="H138" s="322"/>
      <c r="I138" s="322"/>
      <c r="J138" s="322"/>
      <c r="K138" s="322"/>
      <c r="L138" s="322"/>
      <c r="M138" s="322"/>
      <c r="N138" s="322"/>
      <c r="O138" s="322"/>
      <c r="P138" s="322"/>
      <c r="Q138" s="322"/>
    </row>
    <row r="139" spans="1:17" ht="110.1" customHeight="1" thickBot="1">
      <c r="A139" s="1081" t="s">
        <v>660</v>
      </c>
      <c r="B139" s="1082"/>
      <c r="C139" s="332"/>
      <c r="D139" s="333">
        <f>SUM(D127:D138)</f>
        <v>3076680</v>
      </c>
      <c r="E139" s="334">
        <f>SUM(E127:E138)</f>
        <v>0</v>
      </c>
      <c r="F139" s="335">
        <f>SUM(F127:F138)</f>
        <v>3076680</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6" t="s">
        <v>800</v>
      </c>
      <c r="B141" s="1156"/>
      <c r="C141" s="1157"/>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801</v>
      </c>
      <c r="B143" s="308"/>
      <c r="C143" s="308"/>
      <c r="D143" s="327"/>
      <c r="E143" s="327"/>
      <c r="F143" s="328"/>
      <c r="G143" s="322"/>
      <c r="H143" s="322"/>
      <c r="I143" s="322"/>
      <c r="J143" s="322"/>
      <c r="K143" s="322"/>
      <c r="L143" s="322"/>
      <c r="M143" s="322"/>
      <c r="N143" s="322"/>
      <c r="O143" s="322"/>
      <c r="P143" s="322"/>
      <c r="Q143" s="322"/>
    </row>
    <row r="144" spans="1:17" ht="30" customHeight="1">
      <c r="A144" s="1073"/>
      <c r="B144" s="1074"/>
      <c r="C144" s="1074"/>
      <c r="D144" s="1074"/>
      <c r="E144" s="1074"/>
      <c r="F144" s="1075"/>
      <c r="G144" s="322"/>
      <c r="H144" s="322"/>
      <c r="I144" s="322"/>
      <c r="J144" s="322"/>
      <c r="K144" s="322"/>
      <c r="L144" s="322"/>
      <c r="M144" s="322"/>
      <c r="N144" s="322"/>
      <c r="O144" s="322"/>
      <c r="P144" s="322"/>
      <c r="Q144" s="322"/>
    </row>
    <row r="145" spans="1:17" ht="30" customHeight="1">
      <c r="A145" s="1076"/>
      <c r="B145" s="1029"/>
      <c r="C145" s="1029"/>
      <c r="D145" s="1029"/>
      <c r="E145" s="1029"/>
      <c r="F145" s="1077"/>
      <c r="G145" s="322"/>
      <c r="H145" s="322"/>
      <c r="I145" s="322"/>
      <c r="J145" s="322"/>
      <c r="K145" s="322"/>
      <c r="L145" s="322"/>
      <c r="M145" s="322"/>
      <c r="N145" s="322"/>
      <c r="O145" s="322"/>
      <c r="P145" s="322"/>
      <c r="Q145" s="322"/>
    </row>
    <row r="146" spans="1:17" ht="30" customHeight="1">
      <c r="A146" s="1076"/>
      <c r="B146" s="1029"/>
      <c r="C146" s="1029"/>
      <c r="D146" s="1029"/>
      <c r="E146" s="1029"/>
      <c r="F146" s="1077"/>
      <c r="G146" s="322"/>
      <c r="H146" s="322"/>
      <c r="I146" s="322"/>
      <c r="J146" s="322"/>
      <c r="K146" s="322"/>
      <c r="L146" s="322"/>
      <c r="M146" s="322"/>
      <c r="N146" s="322"/>
      <c r="O146" s="322"/>
      <c r="P146" s="322"/>
      <c r="Q146" s="322"/>
    </row>
    <row r="147" spans="1:17" ht="30" customHeight="1">
      <c r="A147" s="1076"/>
      <c r="B147" s="1029"/>
      <c r="C147" s="1029"/>
      <c r="D147" s="1029"/>
      <c r="E147" s="1029"/>
      <c r="F147" s="1077"/>
      <c r="G147" s="322"/>
      <c r="H147" s="322"/>
      <c r="I147" s="322"/>
      <c r="J147" s="322"/>
      <c r="K147" s="322"/>
      <c r="L147" s="322"/>
      <c r="M147" s="322"/>
      <c r="N147" s="322"/>
      <c r="O147" s="322"/>
      <c r="P147" s="322"/>
      <c r="Q147" s="322"/>
    </row>
    <row r="148" spans="1:17" ht="30" customHeight="1">
      <c r="A148" s="1076"/>
      <c r="B148" s="1029"/>
      <c r="C148" s="1029"/>
      <c r="D148" s="1029"/>
      <c r="E148" s="1029"/>
      <c r="F148" s="1077"/>
      <c r="G148" s="322"/>
      <c r="H148" s="322"/>
      <c r="I148" s="322"/>
      <c r="J148" s="322"/>
      <c r="K148" s="322"/>
      <c r="L148" s="322"/>
      <c r="M148" s="322"/>
      <c r="N148" s="322"/>
      <c r="O148" s="322"/>
      <c r="P148" s="322"/>
      <c r="Q148" s="322"/>
    </row>
    <row r="149" spans="1:17" ht="30" customHeight="1">
      <c r="A149" s="1076"/>
      <c r="B149" s="1029"/>
      <c r="C149" s="1029"/>
      <c r="D149" s="1029"/>
      <c r="E149" s="1029"/>
      <c r="F149" s="1077"/>
      <c r="G149" s="322"/>
      <c r="H149" s="322"/>
      <c r="I149" s="322"/>
      <c r="J149" s="322"/>
      <c r="K149" s="322"/>
      <c r="L149" s="322"/>
      <c r="M149" s="322"/>
      <c r="N149" s="322"/>
      <c r="O149" s="322"/>
      <c r="P149" s="322"/>
      <c r="Q149" s="322"/>
    </row>
    <row r="150" spans="1:17" ht="27" customHeight="1" thickBot="1">
      <c r="A150" s="1078"/>
      <c r="B150" s="1079"/>
      <c r="C150" s="1079"/>
      <c r="D150" s="1079"/>
      <c r="E150" s="1079"/>
      <c r="F150" s="1080"/>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3"/>
      <c r="B153" s="1074"/>
      <c r="C153" s="1074"/>
      <c r="D153" s="1074"/>
      <c r="E153" s="1074"/>
      <c r="F153" s="1075"/>
      <c r="G153" s="322"/>
      <c r="H153" s="322"/>
      <c r="I153" s="322"/>
      <c r="J153" s="322"/>
      <c r="K153" s="322"/>
      <c r="L153" s="322"/>
      <c r="M153" s="322"/>
      <c r="N153" s="322"/>
      <c r="O153" s="322"/>
      <c r="P153" s="322"/>
      <c r="Q153" s="322"/>
    </row>
    <row r="154" spans="1:17" ht="30" customHeight="1">
      <c r="A154" s="1076"/>
      <c r="B154" s="1029"/>
      <c r="C154" s="1029"/>
      <c r="D154" s="1029"/>
      <c r="E154" s="1029"/>
      <c r="F154" s="1077"/>
      <c r="G154" s="322"/>
      <c r="H154" s="322"/>
      <c r="I154" s="322"/>
      <c r="J154" s="322"/>
      <c r="K154" s="322"/>
      <c r="L154" s="322"/>
      <c r="M154" s="322"/>
      <c r="N154" s="322"/>
      <c r="O154" s="322"/>
      <c r="P154" s="322"/>
      <c r="Q154" s="322"/>
    </row>
    <row r="155" spans="1:17" ht="30" customHeight="1">
      <c r="A155" s="1076"/>
      <c r="B155" s="1029"/>
      <c r="C155" s="1029"/>
      <c r="D155" s="1029"/>
      <c r="E155" s="1029"/>
      <c r="F155" s="1077"/>
      <c r="G155" s="322"/>
      <c r="H155" s="322"/>
      <c r="I155" s="322"/>
      <c r="J155" s="322"/>
      <c r="K155" s="322"/>
      <c r="L155" s="322"/>
      <c r="M155" s="322"/>
      <c r="N155" s="322"/>
      <c r="O155" s="322"/>
      <c r="P155" s="322"/>
      <c r="Q155" s="322"/>
    </row>
    <row r="156" spans="1:17" ht="30" customHeight="1">
      <c r="A156" s="1076"/>
      <c r="B156" s="1029"/>
      <c r="C156" s="1029"/>
      <c r="D156" s="1029"/>
      <c r="E156" s="1029"/>
      <c r="F156" s="1077"/>
      <c r="G156" s="322"/>
      <c r="H156" s="322"/>
      <c r="I156" s="322"/>
      <c r="J156" s="322"/>
      <c r="K156" s="322"/>
      <c r="L156" s="322"/>
      <c r="M156" s="322"/>
      <c r="N156" s="322"/>
      <c r="O156" s="322"/>
      <c r="P156" s="322"/>
      <c r="Q156" s="322"/>
    </row>
    <row r="157" spans="1:17" ht="30" customHeight="1">
      <c r="A157" s="1076"/>
      <c r="B157" s="1029"/>
      <c r="C157" s="1029"/>
      <c r="D157" s="1029"/>
      <c r="E157" s="1029"/>
      <c r="F157" s="1077"/>
      <c r="G157" s="322"/>
      <c r="H157" s="322"/>
      <c r="I157" s="322"/>
      <c r="J157" s="322"/>
      <c r="K157" s="322"/>
      <c r="L157" s="322"/>
      <c r="M157" s="322"/>
      <c r="N157" s="322"/>
      <c r="O157" s="322"/>
      <c r="P157" s="322"/>
      <c r="Q157" s="322"/>
    </row>
    <row r="158" spans="1:17" ht="25.35" customHeight="1">
      <c r="A158" s="1076"/>
      <c r="B158" s="1029"/>
      <c r="C158" s="1029"/>
      <c r="D158" s="1029"/>
      <c r="E158" s="1029"/>
      <c r="F158" s="1077"/>
      <c r="G158" s="322"/>
      <c r="H158" s="322"/>
      <c r="I158" s="322"/>
      <c r="J158" s="322"/>
      <c r="K158" s="322"/>
      <c r="L158" s="322"/>
      <c r="M158" s="322"/>
      <c r="N158" s="322"/>
      <c r="O158" s="322"/>
      <c r="P158" s="322"/>
      <c r="Q158" s="322"/>
    </row>
    <row r="159" spans="1:17" ht="25.35" customHeight="1" thickBot="1">
      <c r="A159" s="1078"/>
      <c r="B159" s="1079"/>
      <c r="C159" s="1079"/>
      <c r="D159" s="1079"/>
      <c r="E159" s="1079"/>
      <c r="F159" s="1080"/>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0.75" bottom="0.25" header="0.25" footer="0.2"/>
  <pageSetup scale="30" fitToHeight="0" orientation="portrait" r:id="rId1"/>
  <headerFooter differentFirst="1" alignWithMargins="0">
    <oddHeader>&amp;R&amp;"Arial,Bold"&amp;20EXHIBIT G 
&amp;P 
(CONTINUED)</oddHead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sheetPr>
  <dimension ref="B1:P92"/>
  <sheetViews>
    <sheetView showGridLines="0" zoomScale="70" zoomScaleNormal="70" zoomScaleSheetLayoutView="90" zoomScalePageLayoutView="70" workbookViewId="0"/>
  </sheetViews>
  <sheetFormatPr defaultColWidth="9.140625" defaultRowHeight="15.75"/>
  <cols>
    <col min="1" max="1" width="5.28515625" style="353" customWidth="1"/>
    <col min="2" max="2" width="84.42578125" style="353" customWidth="1"/>
    <col min="3" max="3" width="14.85546875" style="353" customWidth="1"/>
    <col min="4" max="4" width="14" style="353" customWidth="1"/>
    <col min="5" max="5" width="15.42578125" style="353" customWidth="1"/>
    <col min="6" max="6" width="9.140625" style="353"/>
    <col min="7" max="7" width="10.85546875" style="353" customWidth="1"/>
    <col min="8" max="16384" width="9.140625" style="353"/>
  </cols>
  <sheetData>
    <row r="1" spans="2:7" ht="26.25">
      <c r="B1" s="1129" t="s">
        <v>11</v>
      </c>
      <c r="C1" s="1129"/>
      <c r="D1" s="1129"/>
      <c r="E1" s="1129"/>
      <c r="F1" s="352"/>
      <c r="G1" s="352"/>
    </row>
    <row r="2" spans="2:7" ht="26.25">
      <c r="B2" s="1129" t="s">
        <v>757</v>
      </c>
      <c r="C2" s="1129"/>
      <c r="D2" s="1129"/>
      <c r="E2" s="1129"/>
      <c r="F2" s="352"/>
      <c r="G2" s="352"/>
    </row>
    <row r="3" spans="2:7" ht="21">
      <c r="B3" s="1115"/>
      <c r="C3" s="1115"/>
      <c r="D3" s="1115"/>
      <c r="E3" s="1115"/>
      <c r="F3" s="352"/>
      <c r="G3" s="352"/>
    </row>
    <row r="4" spans="2:7" ht="21.75" thickBot="1">
      <c r="B4" s="1244"/>
      <c r="C4" s="1244"/>
      <c r="D4" s="1244"/>
      <c r="E4" s="1244"/>
      <c r="F4" s="352"/>
      <c r="G4" s="352"/>
    </row>
    <row r="5" spans="2:7" ht="48" customHeight="1">
      <c r="B5" s="1108" t="s">
        <v>662</v>
      </c>
      <c r="C5" s="1224" t="s">
        <v>663</v>
      </c>
      <c r="D5" s="1225"/>
      <c r="E5" s="1226"/>
    </row>
    <row r="6" spans="2:7">
      <c r="B6" s="1109"/>
      <c r="C6" s="1095" t="s">
        <v>664</v>
      </c>
      <c r="D6" s="937" t="s">
        <v>665</v>
      </c>
      <c r="E6" s="938" t="s">
        <v>666</v>
      </c>
    </row>
    <row r="7" spans="2:7" ht="29.25" customHeight="1">
      <c r="B7" s="1110"/>
      <c r="C7" s="1096"/>
      <c r="D7" s="939">
        <v>-0.1</v>
      </c>
      <c r="E7" s="940">
        <v>0.15</v>
      </c>
    </row>
    <row r="8" spans="2:7" ht="15" customHeight="1">
      <c r="B8" s="941" t="s">
        <v>205</v>
      </c>
      <c r="C8" s="942">
        <v>71.975999999999999</v>
      </c>
      <c r="D8" s="942">
        <v>64.78</v>
      </c>
      <c r="E8" s="943">
        <v>82.78</v>
      </c>
    </row>
    <row r="9" spans="2:7" ht="15" customHeight="1">
      <c r="B9" s="944" t="s">
        <v>667</v>
      </c>
      <c r="C9" s="945">
        <v>3.6</v>
      </c>
      <c r="D9" s="945">
        <v>3.24</v>
      </c>
      <c r="E9" s="946">
        <v>4.1399999999999997</v>
      </c>
    </row>
    <row r="10" spans="2:7" ht="15" customHeight="1">
      <c r="B10" s="944" t="s">
        <v>668</v>
      </c>
      <c r="C10" s="945">
        <v>3.6</v>
      </c>
      <c r="D10" s="945">
        <v>3.24</v>
      </c>
      <c r="E10" s="946">
        <v>4.1399999999999997</v>
      </c>
    </row>
    <row r="11" spans="2:7" ht="15" customHeight="1">
      <c r="B11" s="947" t="s">
        <v>669</v>
      </c>
      <c r="C11" s="945">
        <v>7.2</v>
      </c>
      <c r="D11" s="945">
        <v>6.48</v>
      </c>
      <c r="E11" s="946">
        <v>8.2799999999999994</v>
      </c>
      <c r="F11" s="672"/>
    </row>
    <row r="12" spans="2:7" ht="15" customHeight="1">
      <c r="B12" s="948" t="s">
        <v>670</v>
      </c>
      <c r="C12" s="949"/>
      <c r="D12" s="949"/>
      <c r="E12" s="950"/>
    </row>
    <row r="13" spans="2:7" ht="42.6" customHeight="1">
      <c r="B13" s="1111" t="s">
        <v>671</v>
      </c>
      <c r="C13" s="1221" t="s">
        <v>663</v>
      </c>
      <c r="D13" s="1222"/>
      <c r="E13" s="1223"/>
    </row>
    <row r="14" spans="2:7">
      <c r="B14" s="1109"/>
      <c r="C14" s="1095" t="s">
        <v>664</v>
      </c>
      <c r="D14" s="951" t="s">
        <v>665</v>
      </c>
      <c r="E14" s="952" t="s">
        <v>666</v>
      </c>
    </row>
    <row r="15" spans="2:7">
      <c r="B15" s="1110"/>
      <c r="C15" s="1096"/>
      <c r="D15" s="939">
        <f>D7</f>
        <v>-0.1</v>
      </c>
      <c r="E15" s="940">
        <f>E7</f>
        <v>0.15</v>
      </c>
    </row>
    <row r="16" spans="2:7" ht="15" customHeight="1">
      <c r="B16" s="953" t="s">
        <v>205</v>
      </c>
      <c r="C16" s="945">
        <v>71.975999999999999</v>
      </c>
      <c r="D16" s="945">
        <v>64.78</v>
      </c>
      <c r="E16" s="946">
        <v>82.78</v>
      </c>
    </row>
    <row r="17" spans="2:5" ht="15" customHeight="1">
      <c r="B17" s="953" t="s">
        <v>672</v>
      </c>
      <c r="C17" s="945">
        <v>215.93799999999999</v>
      </c>
      <c r="D17" s="945">
        <v>194.35</v>
      </c>
      <c r="E17" s="946">
        <v>248.33</v>
      </c>
    </row>
    <row r="18" spans="2:5" ht="15" customHeight="1">
      <c r="B18" s="948" t="s">
        <v>673</v>
      </c>
      <c r="C18" s="945">
        <v>14.4</v>
      </c>
      <c r="D18" s="945">
        <v>12.96</v>
      </c>
      <c r="E18" s="946">
        <v>16.559999999999999</v>
      </c>
    </row>
    <row r="19" spans="2:5" ht="15" customHeight="1">
      <c r="B19" s="948" t="s">
        <v>674</v>
      </c>
      <c r="C19" s="945">
        <v>14.4</v>
      </c>
      <c r="D19" s="945">
        <v>12.96</v>
      </c>
      <c r="E19" s="946">
        <v>16.559999999999999</v>
      </c>
    </row>
    <row r="20" spans="2:5" ht="15" customHeight="1">
      <c r="B20" s="954" t="s">
        <v>675</v>
      </c>
      <c r="C20" s="945">
        <v>7.2</v>
      </c>
      <c r="D20" s="945">
        <v>6.48</v>
      </c>
      <c r="E20" s="946">
        <v>8.2799999999999994</v>
      </c>
    </row>
    <row r="21" spans="2:5" ht="15" customHeight="1" thickBot="1">
      <c r="B21" s="955" t="s">
        <v>676</v>
      </c>
      <c r="C21" s="956">
        <v>57.58</v>
      </c>
      <c r="D21" s="956">
        <v>51.83</v>
      </c>
      <c r="E21" s="957">
        <v>66.22</v>
      </c>
    </row>
    <row r="22" spans="2:5" ht="16.5" thickBot="1">
      <c r="B22" s="354"/>
      <c r="C22" s="355"/>
      <c r="D22" s="355"/>
      <c r="E22" s="355"/>
    </row>
    <row r="23" spans="2:5" ht="34.35" customHeight="1">
      <c r="B23" s="1112" t="s">
        <v>677</v>
      </c>
      <c r="C23" s="1227" t="s">
        <v>663</v>
      </c>
      <c r="D23" s="1228"/>
      <c r="E23" s="1229"/>
    </row>
    <row r="24" spans="2:5">
      <c r="B24" s="1113"/>
      <c r="C24" s="1095" t="s">
        <v>664</v>
      </c>
      <c r="D24" s="937" t="s">
        <v>665</v>
      </c>
      <c r="E24" s="958" t="s">
        <v>666</v>
      </c>
    </row>
    <row r="25" spans="2:5">
      <c r="B25" s="1114"/>
      <c r="C25" s="1096"/>
      <c r="D25" s="939">
        <v>0</v>
      </c>
      <c r="E25" s="959">
        <v>0</v>
      </c>
    </row>
    <row r="26" spans="2:5" ht="15" customHeight="1">
      <c r="B26" s="960" t="s">
        <v>205</v>
      </c>
      <c r="C26" s="945">
        <v>91.79</v>
      </c>
      <c r="D26" s="945">
        <f>ROUND(C26*(1+D25),2)</f>
        <v>91.79</v>
      </c>
      <c r="E26" s="961">
        <f>ROUND(C26*(1+E25),2)</f>
        <v>91.79</v>
      </c>
    </row>
    <row r="27" spans="2:5" ht="15" customHeight="1">
      <c r="B27" s="962" t="s">
        <v>667</v>
      </c>
      <c r="C27" s="945">
        <v>4.59</v>
      </c>
      <c r="D27" s="945">
        <v>4.59</v>
      </c>
      <c r="E27" s="961">
        <v>4.59</v>
      </c>
    </row>
    <row r="28" spans="2:5" ht="15" customHeight="1">
      <c r="B28" s="962" t="s">
        <v>668</v>
      </c>
      <c r="C28" s="945">
        <v>4.59</v>
      </c>
      <c r="D28" s="945">
        <v>4.59</v>
      </c>
      <c r="E28" s="961">
        <v>4.59</v>
      </c>
    </row>
    <row r="29" spans="2:5" ht="15" customHeight="1">
      <c r="B29" s="963" t="s">
        <v>669</v>
      </c>
      <c r="C29" s="945">
        <v>9.18</v>
      </c>
      <c r="D29" s="945">
        <v>9.18</v>
      </c>
      <c r="E29" s="961">
        <v>9.18</v>
      </c>
    </row>
    <row r="30" spans="2:5" ht="15" customHeight="1">
      <c r="B30" s="962" t="s">
        <v>678</v>
      </c>
      <c r="C30" s="949"/>
      <c r="D30" s="949"/>
      <c r="E30" s="964"/>
    </row>
    <row r="31" spans="2:5" ht="41.45" customHeight="1">
      <c r="B31" s="1103" t="s">
        <v>679</v>
      </c>
      <c r="C31" s="1221" t="s">
        <v>663</v>
      </c>
      <c r="D31" s="1222"/>
      <c r="E31" s="1230"/>
    </row>
    <row r="32" spans="2:5">
      <c r="B32" s="1104"/>
      <c r="C32" s="1095" t="s">
        <v>664</v>
      </c>
      <c r="D32" s="937" t="s">
        <v>665</v>
      </c>
      <c r="E32" s="958" t="s">
        <v>666</v>
      </c>
    </row>
    <row r="33" spans="2:7">
      <c r="B33" s="1105"/>
      <c r="C33" s="1096"/>
      <c r="D33" s="939">
        <f>D25</f>
        <v>0</v>
      </c>
      <c r="E33" s="959">
        <f>E25</f>
        <v>0</v>
      </c>
    </row>
    <row r="34" spans="2:7" ht="15" customHeight="1">
      <c r="B34" s="960" t="s">
        <v>205</v>
      </c>
      <c r="C34" s="945">
        <v>91.79</v>
      </c>
      <c r="D34" s="945">
        <f>ROUND(C34*(1+D33),2)</f>
        <v>91.79</v>
      </c>
      <c r="E34" s="961">
        <f>ROUND(C34*(1+E33),2)</f>
        <v>91.79</v>
      </c>
    </row>
    <row r="35" spans="2:7" ht="15" customHeight="1">
      <c r="B35" s="960" t="s">
        <v>672</v>
      </c>
      <c r="C35" s="965" t="s">
        <v>680</v>
      </c>
      <c r="D35" s="965" t="s">
        <v>680</v>
      </c>
      <c r="E35" s="966" t="s">
        <v>680</v>
      </c>
    </row>
    <row r="36" spans="2:7" ht="15" customHeight="1">
      <c r="B36" s="962" t="s">
        <v>673</v>
      </c>
      <c r="C36" s="965" t="s">
        <v>680</v>
      </c>
      <c r="D36" s="965" t="s">
        <v>680</v>
      </c>
      <c r="E36" s="966" t="s">
        <v>680</v>
      </c>
    </row>
    <row r="37" spans="2:7" ht="15" customHeight="1">
      <c r="B37" s="962" t="s">
        <v>674</v>
      </c>
      <c r="C37" s="965" t="s">
        <v>680</v>
      </c>
      <c r="D37" s="965" t="s">
        <v>680</v>
      </c>
      <c r="E37" s="966" t="s">
        <v>680</v>
      </c>
    </row>
    <row r="38" spans="2:7" ht="15" customHeight="1">
      <c r="B38" s="963" t="s">
        <v>675</v>
      </c>
      <c r="C38" s="945">
        <f>C29</f>
        <v>9.18</v>
      </c>
      <c r="D38" s="945">
        <f>D29</f>
        <v>9.18</v>
      </c>
      <c r="E38" s="961">
        <f>E29</f>
        <v>9.18</v>
      </c>
    </row>
    <row r="39" spans="2:7" ht="15" customHeight="1" thickBot="1">
      <c r="B39" s="967" t="s">
        <v>676</v>
      </c>
      <c r="C39" s="968" t="s">
        <v>680</v>
      </c>
      <c r="D39" s="968" t="s">
        <v>680</v>
      </c>
      <c r="E39" s="969" t="s">
        <v>680</v>
      </c>
    </row>
    <row r="40" spans="2:7">
      <c r="B40" s="354"/>
      <c r="C40" s="356"/>
      <c r="D40" s="356"/>
      <c r="E40" s="356"/>
    </row>
    <row r="41" spans="2:7">
      <c r="B41" s="357" t="s">
        <v>681</v>
      </c>
      <c r="C41" s="358"/>
      <c r="D41" s="358"/>
      <c r="E41" s="358"/>
    </row>
    <row r="42" spans="2:7" ht="48" customHeight="1">
      <c r="B42" s="1106" t="s">
        <v>682</v>
      </c>
      <c r="C42" s="1106"/>
      <c r="D42" s="1106"/>
      <c r="E42" s="1106"/>
    </row>
    <row r="43" spans="2:7">
      <c r="B43" s="1106"/>
      <c r="C43" s="1106"/>
      <c r="D43" s="1106"/>
      <c r="E43" s="1106"/>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8"/>
      <c r="D46" s="360"/>
      <c r="E46" s="360"/>
    </row>
    <row r="47" spans="2:7">
      <c r="B47" s="362" t="s">
        <v>684</v>
      </c>
      <c r="D47" s="360"/>
      <c r="E47" s="360"/>
      <c r="G47" s="1159"/>
    </row>
    <row r="48" spans="2:7">
      <c r="D48" s="360"/>
      <c r="E48" s="360"/>
    </row>
    <row r="49" spans="2:5" ht="15" customHeight="1">
      <c r="B49" s="1106"/>
      <c r="C49" s="1106"/>
      <c r="D49" s="1106"/>
      <c r="E49" s="1106"/>
    </row>
    <row r="50" spans="2:5">
      <c r="B50" s="1106"/>
      <c r="C50" s="1106"/>
      <c r="D50" s="1106"/>
      <c r="E50" s="1106"/>
    </row>
    <row r="51" spans="2:5">
      <c r="B51" s="1106"/>
      <c r="C51" s="1106"/>
      <c r="D51" s="1106"/>
      <c r="E51" s="1106"/>
    </row>
    <row r="52" spans="2:5" ht="21">
      <c r="B52" s="1115" t="str">
        <f>B1</f>
        <v>THE FLORIDA COLLEGE SYSTEM</v>
      </c>
      <c r="C52" s="1115"/>
      <c r="D52" s="1115"/>
      <c r="E52" s="1115"/>
    </row>
    <row r="53" spans="2:5" ht="21">
      <c r="B53" s="1115" t="str">
        <f>B2&amp;" , cont."</f>
        <v>FALL 2022-23 TUITION INCREASED BY 0% , cont.</v>
      </c>
      <c r="C53" s="1115"/>
      <c r="D53" s="1115"/>
      <c r="E53" s="1115"/>
    </row>
    <row r="54" spans="2:5" ht="21">
      <c r="B54" s="1115"/>
      <c r="C54" s="1115"/>
      <c r="D54" s="1115"/>
      <c r="E54" s="1115"/>
    </row>
    <row r="55" spans="2:5" ht="16.5" thickBot="1">
      <c r="B55" s="354"/>
      <c r="C55" s="356"/>
      <c r="D55" s="356"/>
      <c r="E55" s="356"/>
    </row>
    <row r="56" spans="2:5" ht="33" customHeight="1">
      <c r="B56" s="1098" t="s">
        <v>685</v>
      </c>
      <c r="C56" s="1227" t="s">
        <v>663</v>
      </c>
      <c r="D56" s="1228"/>
      <c r="E56" s="1229"/>
    </row>
    <row r="57" spans="2:5">
      <c r="B57" s="1099"/>
      <c r="C57" s="1095" t="s">
        <v>664</v>
      </c>
      <c r="D57" s="937" t="s">
        <v>665</v>
      </c>
      <c r="E57" s="958" t="s">
        <v>666</v>
      </c>
    </row>
    <row r="58" spans="2:5">
      <c r="B58" s="1100"/>
      <c r="C58" s="1096"/>
      <c r="D58" s="939">
        <v>-0.05</v>
      </c>
      <c r="E58" s="959">
        <v>0.05</v>
      </c>
    </row>
    <row r="59" spans="2:5" ht="15" customHeight="1">
      <c r="B59" s="960" t="s">
        <v>205</v>
      </c>
      <c r="C59" s="945">
        <v>69.900000000000006</v>
      </c>
      <c r="D59" s="945">
        <f>ROUND(C59*(1+D58),2)</f>
        <v>66.41</v>
      </c>
      <c r="E59" s="961">
        <f>ROUND(C59*(1+E58),2)</f>
        <v>73.400000000000006</v>
      </c>
    </row>
    <row r="60" spans="2:5" ht="15" customHeight="1">
      <c r="B60" s="962" t="s">
        <v>686</v>
      </c>
      <c r="C60" s="945">
        <v>6.99</v>
      </c>
      <c r="D60" s="970">
        <f>ROUND(D59*'DISCRETIONARY FEE PERCENTAGES'!$B$6,2)</f>
        <v>6.64</v>
      </c>
      <c r="E60" s="961">
        <f>ROUND(E59*'DISCRETIONARY FEE PERCENTAGES'!$B$6,2)</f>
        <v>7.34</v>
      </c>
    </row>
    <row r="61" spans="2:5" ht="15" customHeight="1">
      <c r="B61" s="962" t="s">
        <v>668</v>
      </c>
      <c r="C61" s="945">
        <v>3.5</v>
      </c>
      <c r="D61" s="970">
        <f>ROUND(D59*'DISCRETIONARY FEE PERCENTAGES'!$B$25,2)</f>
        <v>3.32</v>
      </c>
      <c r="E61" s="961">
        <f>ROUND(E59*'DISCRETIONARY FEE PERCENTAGES'!$B$25,2)</f>
        <v>3.67</v>
      </c>
    </row>
    <row r="62" spans="2:5" ht="15" customHeight="1">
      <c r="B62" s="962" t="s">
        <v>687</v>
      </c>
      <c r="C62" s="945">
        <v>3.5</v>
      </c>
      <c r="D62" s="970">
        <f>ROUND(D59*'DISCRETIONARY FEE PERCENTAGES'!$B$19,2)</f>
        <v>3.32</v>
      </c>
      <c r="E62" s="961">
        <f>ROUND(E59*'DISCRETIONARY FEE PERCENTAGES'!$B$19,2)</f>
        <v>3.67</v>
      </c>
    </row>
    <row r="63" spans="2:5" ht="33" customHeight="1">
      <c r="B63" s="1101" t="s">
        <v>688</v>
      </c>
      <c r="C63" s="1221" t="s">
        <v>663</v>
      </c>
      <c r="D63" s="1222"/>
      <c r="E63" s="1230"/>
    </row>
    <row r="64" spans="2:5">
      <c r="B64" s="1099"/>
      <c r="C64" s="1095" t="s">
        <v>664</v>
      </c>
      <c r="D64" s="937" t="s">
        <v>665</v>
      </c>
      <c r="E64" s="958" t="s">
        <v>666</v>
      </c>
    </row>
    <row r="65" spans="2:16">
      <c r="B65" s="1100"/>
      <c r="C65" s="1096"/>
      <c r="D65" s="939">
        <f>D58</f>
        <v>-0.05</v>
      </c>
      <c r="E65" s="959">
        <f>E58</f>
        <v>0.05</v>
      </c>
    </row>
    <row r="66" spans="2:16" ht="15" customHeight="1">
      <c r="B66" s="960" t="s">
        <v>205</v>
      </c>
      <c r="C66" s="945">
        <v>69.900000000000006</v>
      </c>
      <c r="D66" s="945">
        <f>ROUND(C66*(1+D65),2)</f>
        <v>66.41</v>
      </c>
      <c r="E66" s="961">
        <f>ROUND(C66*(1+E65),2)</f>
        <v>73.400000000000006</v>
      </c>
    </row>
    <row r="67" spans="2:16" ht="15" customHeight="1">
      <c r="B67" s="960" t="s">
        <v>672</v>
      </c>
      <c r="C67" s="945">
        <v>209.70000000000002</v>
      </c>
      <c r="D67" s="945">
        <f>ROUND(C67*(1+D65),2)</f>
        <v>199.22</v>
      </c>
      <c r="E67" s="961">
        <f>ROUND(C67*(1+E65),2)</f>
        <v>220.19</v>
      </c>
    </row>
    <row r="68" spans="2:16" ht="15" customHeight="1">
      <c r="B68" s="962" t="s">
        <v>689</v>
      </c>
      <c r="C68" s="945">
        <v>27.96</v>
      </c>
      <c r="D68" s="970">
        <f>ROUND((D66+D67)*'DISCRETIONARY FEE PERCENTAGES'!$B$10,2)</f>
        <v>26.56</v>
      </c>
      <c r="E68" s="961">
        <f>ROUND((E66+E67)*'DISCRETIONARY FEE PERCENTAGES'!$B$10,2)</f>
        <v>29.36</v>
      </c>
    </row>
    <row r="69" spans="2:16" ht="15" customHeight="1">
      <c r="B69" s="962" t="s">
        <v>674</v>
      </c>
      <c r="C69" s="945">
        <v>13.98</v>
      </c>
      <c r="D69" s="970">
        <f>ROUND((D66+D67)*'DISCRETIONARY FEE PERCENTAGES'!$B$28,2)</f>
        <v>13.28</v>
      </c>
      <c r="E69" s="961">
        <f>ROUND((E66+E67)*'DISCRETIONARY FEE PERCENTAGES'!$B$28,2)</f>
        <v>14.68</v>
      </c>
    </row>
    <row r="70" spans="2:16" ht="15" customHeight="1" thickBot="1">
      <c r="B70" s="967" t="s">
        <v>690</v>
      </c>
      <c r="C70" s="971">
        <v>13.98</v>
      </c>
      <c r="D70" s="972">
        <f>ROUND((D66+D67)*'DISCRETIONARY FEE PERCENTAGES'!$B$22,2)</f>
        <v>13.28</v>
      </c>
      <c r="E70" s="973">
        <f>ROUND((E66+E67)*'DISCRETIONARY FEE PERCENTAGES'!$B$22,2)</f>
        <v>14.68</v>
      </c>
    </row>
    <row r="71" spans="2:16" ht="16.5" thickBot="1">
      <c r="B71" s="354"/>
      <c r="C71" s="363"/>
      <c r="D71" s="363"/>
      <c r="E71" s="363"/>
    </row>
    <row r="72" spans="2:16" ht="32.25" customHeight="1">
      <c r="B72" s="1092" t="s">
        <v>691</v>
      </c>
      <c r="C72" s="1227" t="s">
        <v>692</v>
      </c>
      <c r="D72" s="1228"/>
      <c r="E72" s="1229"/>
    </row>
    <row r="73" spans="2:16">
      <c r="B73" s="1093"/>
      <c r="C73" s="1095" t="s">
        <v>664</v>
      </c>
      <c r="D73" s="937" t="s">
        <v>665</v>
      </c>
      <c r="E73" s="958" t="s">
        <v>666</v>
      </c>
    </row>
    <row r="74" spans="2:16">
      <c r="B74" s="1094"/>
      <c r="C74" s="1096"/>
      <c r="D74" s="939">
        <v>-0.05</v>
      </c>
      <c r="E74" s="959">
        <v>0.05</v>
      </c>
    </row>
    <row r="75" spans="2:16" ht="15" customHeight="1">
      <c r="B75" s="960" t="s">
        <v>693</v>
      </c>
      <c r="C75" s="945">
        <v>30</v>
      </c>
      <c r="D75" s="945">
        <f>ROUND(C75*(1+D74),2)</f>
        <v>28.5</v>
      </c>
      <c r="E75" s="961">
        <f>ROUND(C75*(1+E74),2)</f>
        <v>31.5</v>
      </c>
    </row>
    <row r="76" spans="2:16" ht="15" customHeight="1">
      <c r="B76" s="960"/>
      <c r="C76" s="945"/>
      <c r="D76" s="945"/>
      <c r="E76" s="961"/>
      <c r="F76" s="1107"/>
      <c r="G76" s="1107"/>
      <c r="H76" s="1107"/>
      <c r="I76" s="1107"/>
      <c r="J76" s="1107"/>
      <c r="K76" s="1107"/>
      <c r="L76" s="1107"/>
      <c r="M76" s="1107"/>
      <c r="N76" s="1107"/>
      <c r="O76" s="1107"/>
      <c r="P76" s="1107"/>
    </row>
    <row r="77" spans="2:16" ht="15" customHeight="1">
      <c r="B77" s="960" t="s">
        <v>694</v>
      </c>
      <c r="C77" s="945">
        <v>45</v>
      </c>
      <c r="D77" s="945">
        <f>ROUND(C77*(1+D74),2)</f>
        <v>42.75</v>
      </c>
      <c r="E77" s="974">
        <f>ROUND(C77*(1+E74),2)</f>
        <v>47.25</v>
      </c>
      <c r="F77" s="364"/>
      <c r="G77" s="364"/>
      <c r="H77" s="364"/>
      <c r="I77" s="364"/>
      <c r="J77" s="364"/>
      <c r="K77" s="364"/>
      <c r="L77" s="364"/>
      <c r="M77" s="364"/>
      <c r="N77" s="364"/>
      <c r="O77" s="364"/>
      <c r="P77" s="364"/>
    </row>
    <row r="78" spans="2:16" ht="15" customHeight="1">
      <c r="B78" s="365"/>
      <c r="C78" s="363"/>
      <c r="D78" s="363"/>
      <c r="E78" s="363"/>
      <c r="F78" s="1107"/>
      <c r="G78" s="1107"/>
      <c r="H78" s="1107"/>
      <c r="I78" s="1107"/>
      <c r="J78" s="1107"/>
      <c r="K78" s="1107"/>
      <c r="L78" s="1107"/>
      <c r="M78" s="1107"/>
      <c r="N78" s="1107"/>
      <c r="O78" s="1107"/>
      <c r="P78" s="1107"/>
    </row>
    <row r="79" spans="2:16" ht="15" customHeight="1">
      <c r="B79" s="357" t="s">
        <v>695</v>
      </c>
      <c r="C79" s="358"/>
      <c r="D79" s="358"/>
      <c r="E79" s="358"/>
    </row>
    <row r="80" spans="2:16" ht="15" customHeight="1">
      <c r="B80" s="357"/>
      <c r="C80" s="358"/>
      <c r="D80" s="358"/>
      <c r="E80" s="358"/>
    </row>
    <row r="81" spans="2:5" ht="30.6" customHeight="1">
      <c r="B81" s="1102" t="s">
        <v>696</v>
      </c>
      <c r="C81" s="1102"/>
      <c r="D81" s="1102"/>
      <c r="E81" s="1102"/>
    </row>
    <row r="83" spans="2:5" ht="15" customHeight="1"/>
    <row r="85" spans="2:5">
      <c r="B85" s="360"/>
      <c r="C85" s="1160"/>
      <c r="D85" s="1160"/>
      <c r="E85" s="1160"/>
    </row>
    <row r="86" spans="2:5">
      <c r="B86" s="360"/>
      <c r="C86" s="361"/>
      <c r="D86" s="361"/>
      <c r="E86" s="361"/>
    </row>
    <row r="87" spans="2:5">
      <c r="B87" s="360"/>
      <c r="C87" s="1158"/>
      <c r="D87" s="360"/>
      <c r="E87" s="360"/>
    </row>
    <row r="88" spans="2:5">
      <c r="B88" s="360"/>
      <c r="C88" s="1158"/>
      <c r="D88" s="360"/>
      <c r="E88" s="360"/>
    </row>
    <row r="89" spans="2:5">
      <c r="B89" s="360"/>
      <c r="C89" s="360"/>
      <c r="D89" s="360"/>
      <c r="E89" s="360"/>
    </row>
    <row r="90" spans="2:5">
      <c r="B90" s="360"/>
      <c r="C90" s="360"/>
      <c r="D90" s="360"/>
      <c r="E90" s="360"/>
    </row>
    <row r="91" spans="2:5">
      <c r="B91" s="1097"/>
      <c r="C91" s="1097"/>
      <c r="D91" s="1097"/>
      <c r="E91" s="1097"/>
    </row>
    <row r="92" spans="2:5">
      <c r="B92" s="1097"/>
      <c r="C92" s="1097"/>
      <c r="D92" s="1097"/>
      <c r="E92" s="1097"/>
    </row>
  </sheetData>
  <sheetProtection algorithmName="SHA-512" hashValue="m7vPA6jdKUO2+PnjCC5VASL/UZAB66TdI7MK5JcKnRQYVtHCILE2/mni54fjYudilamdS9xAOM4gWok7Vixhgg==" saltValue="wb30jxbtae2+ysW5xRykug==" spinCount="100000" sheet="1" objects="1" scenarios="1"/>
  <printOptions horizontalCentered="1"/>
  <pageMargins left="0" right="0" top="0.75" bottom="0.75" header="0.3" footer="0.3"/>
  <pageSetup scale="70" fitToHeight="0" orientation="portrait" r:id="rId1"/>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129" t="s">
        <v>11</v>
      </c>
      <c r="B1" s="1129"/>
      <c r="C1" s="1129"/>
    </row>
    <row r="2" spans="1:21" s="101" customFormat="1" ht="21" customHeight="1" thickBot="1">
      <c r="A2" s="1129" t="s">
        <v>758</v>
      </c>
      <c r="B2" s="1129"/>
      <c r="C2" s="1129"/>
      <c r="D2" s="102"/>
      <c r="E2" s="102"/>
      <c r="F2" s="102"/>
      <c r="G2" s="102"/>
      <c r="H2" s="102"/>
      <c r="I2" s="102"/>
      <c r="J2" s="102"/>
      <c r="K2" s="102"/>
      <c r="L2" s="102"/>
      <c r="M2" s="102"/>
      <c r="N2" s="102"/>
      <c r="O2" s="102"/>
      <c r="P2" s="102"/>
      <c r="Q2" s="102"/>
      <c r="R2" s="102"/>
      <c r="S2" s="102"/>
      <c r="T2" s="102"/>
      <c r="U2" s="102"/>
    </row>
    <row r="3" spans="1:21" s="101" customFormat="1" ht="26.45" customHeight="1">
      <c r="A3" s="1243" t="s">
        <v>697</v>
      </c>
      <c r="B3" s="1231"/>
      <c r="C3" s="1232"/>
      <c r="D3" s="102"/>
      <c r="E3" s="102"/>
      <c r="F3" s="102"/>
      <c r="G3" s="102"/>
      <c r="H3" s="102"/>
      <c r="I3" s="102"/>
      <c r="J3" s="102"/>
      <c r="K3" s="102"/>
      <c r="L3" s="102"/>
      <c r="M3" s="102"/>
      <c r="N3" s="102"/>
      <c r="O3" s="102"/>
      <c r="P3" s="102"/>
      <c r="Q3" s="102"/>
      <c r="R3" s="102"/>
      <c r="S3" s="102"/>
      <c r="T3" s="102"/>
      <c r="U3" s="102"/>
    </row>
    <row r="4" spans="1:21" s="101" customFormat="1" ht="42">
      <c r="A4" s="975" t="s">
        <v>698</v>
      </c>
      <c r="B4" s="976">
        <v>7.0000000000000007E-2</v>
      </c>
      <c r="C4" s="977" t="s">
        <v>699</v>
      </c>
      <c r="D4" s="102"/>
      <c r="E4" s="102"/>
      <c r="F4" s="102"/>
      <c r="G4" s="102"/>
      <c r="H4" s="102"/>
      <c r="I4" s="102"/>
      <c r="J4" s="102"/>
      <c r="K4" s="102"/>
      <c r="L4" s="102"/>
      <c r="M4" s="102"/>
      <c r="N4" s="102"/>
      <c r="O4" s="102"/>
      <c r="P4" s="102"/>
      <c r="Q4" s="102"/>
      <c r="R4" s="102"/>
      <c r="S4" s="102"/>
      <c r="T4" s="102"/>
      <c r="U4" s="102"/>
    </row>
    <row r="5" spans="1:21" s="101" customFormat="1" ht="42">
      <c r="A5" s="975" t="s">
        <v>700</v>
      </c>
      <c r="B5" s="976">
        <v>0.05</v>
      </c>
      <c r="C5" s="977" t="s">
        <v>699</v>
      </c>
      <c r="D5" s="102"/>
      <c r="E5" s="102"/>
      <c r="F5" s="102"/>
      <c r="G5" s="102"/>
      <c r="H5" s="102"/>
      <c r="I5" s="102"/>
      <c r="J5" s="102"/>
      <c r="K5" s="102"/>
      <c r="L5" s="102"/>
      <c r="M5" s="102"/>
      <c r="N5" s="102"/>
      <c r="O5" s="102"/>
      <c r="P5" s="102"/>
      <c r="Q5" s="102"/>
      <c r="R5" s="102"/>
      <c r="S5" s="102"/>
      <c r="T5" s="102"/>
      <c r="U5" s="102"/>
    </row>
    <row r="6" spans="1:21" s="101" customFormat="1" ht="30.95" customHeight="1">
      <c r="A6" s="978" t="s">
        <v>701</v>
      </c>
      <c r="B6" s="979">
        <v>0.1</v>
      </c>
      <c r="C6" s="980" t="s">
        <v>699</v>
      </c>
      <c r="D6" s="102"/>
      <c r="E6" s="102"/>
      <c r="F6" s="102"/>
      <c r="G6" s="102"/>
      <c r="H6" s="102"/>
      <c r="I6" s="102"/>
      <c r="J6" s="102"/>
      <c r="K6" s="102"/>
      <c r="L6" s="102"/>
      <c r="M6" s="102"/>
      <c r="N6" s="102"/>
      <c r="O6" s="102"/>
      <c r="P6" s="102"/>
      <c r="Q6" s="102"/>
      <c r="R6" s="102"/>
      <c r="S6" s="102"/>
      <c r="T6" s="102"/>
      <c r="U6" s="102"/>
    </row>
    <row r="7" spans="1:21" s="101" customFormat="1" ht="26.45" customHeight="1">
      <c r="A7" s="1237" t="s">
        <v>702</v>
      </c>
      <c r="B7" s="1238"/>
      <c r="C7" s="1239"/>
      <c r="D7" s="102"/>
      <c r="E7" s="102"/>
      <c r="F7" s="102"/>
      <c r="G7" s="102"/>
      <c r="H7" s="102"/>
      <c r="I7" s="102"/>
      <c r="J7" s="102"/>
      <c r="K7" s="102"/>
      <c r="L7" s="102"/>
      <c r="M7" s="102"/>
      <c r="N7" s="102"/>
      <c r="O7" s="102"/>
      <c r="P7" s="102"/>
      <c r="Q7" s="102"/>
      <c r="R7" s="102"/>
      <c r="S7" s="102"/>
      <c r="T7" s="102"/>
      <c r="U7" s="102"/>
    </row>
    <row r="8" spans="1:21" s="101" customFormat="1" ht="42">
      <c r="A8" s="975" t="s">
        <v>698</v>
      </c>
      <c r="B8" s="976">
        <v>7.0000000000000007E-2</v>
      </c>
      <c r="C8" s="977" t="s">
        <v>703</v>
      </c>
      <c r="D8" s="102"/>
      <c r="E8" s="102"/>
      <c r="F8" s="102"/>
      <c r="G8" s="102"/>
      <c r="H8" s="102"/>
      <c r="I8" s="102"/>
      <c r="J8" s="102"/>
      <c r="K8" s="102"/>
      <c r="L8" s="102"/>
      <c r="M8" s="102"/>
      <c r="N8" s="102"/>
      <c r="O8" s="102"/>
      <c r="P8" s="102"/>
      <c r="Q8" s="102"/>
      <c r="R8" s="102"/>
      <c r="S8" s="102"/>
      <c r="T8" s="102"/>
      <c r="U8" s="102"/>
    </row>
    <row r="9" spans="1:21" s="101" customFormat="1" ht="42">
      <c r="A9" s="975" t="s">
        <v>700</v>
      </c>
      <c r="B9" s="976">
        <v>0.05</v>
      </c>
      <c r="C9" s="977"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8" t="str">
        <f>A6</f>
        <v>CCATD</v>
      </c>
      <c r="B10" s="979">
        <v>0.1</v>
      </c>
      <c r="C10" s="980" t="s">
        <v>703</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37" t="s">
        <v>704</v>
      </c>
      <c r="B11" s="1238"/>
      <c r="C11" s="1239"/>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5" t="s">
        <v>705</v>
      </c>
      <c r="B12" s="976">
        <v>0.1</v>
      </c>
      <c r="C12" s="977"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8" t="str">
        <f>A6</f>
        <v>CCATD</v>
      </c>
      <c r="B13" s="979">
        <v>0</v>
      </c>
      <c r="C13" s="980" t="s">
        <v>707</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40" t="s">
        <v>708</v>
      </c>
      <c r="B14" s="1241"/>
      <c r="C14" s="1242"/>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75" t="s">
        <v>705</v>
      </c>
      <c r="B15" s="976">
        <v>0.1</v>
      </c>
      <c r="C15" s="977" t="s">
        <v>709</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78" t="str">
        <f>A6</f>
        <v>CCATD</v>
      </c>
      <c r="B16" s="979">
        <v>0</v>
      </c>
      <c r="C16" s="980" t="s">
        <v>707</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37" t="s">
        <v>710</v>
      </c>
      <c r="B17" s="1238"/>
      <c r="C17" s="1239"/>
      <c r="D17" s="102"/>
      <c r="E17" s="102"/>
      <c r="F17" s="102"/>
      <c r="G17" s="102"/>
      <c r="H17" s="102"/>
      <c r="I17" s="102"/>
      <c r="J17" s="102"/>
      <c r="K17" s="102"/>
      <c r="L17" s="102"/>
      <c r="M17" s="102"/>
      <c r="N17" s="102"/>
      <c r="O17" s="102"/>
      <c r="P17" s="102"/>
      <c r="Q17" s="102"/>
      <c r="R17" s="102"/>
      <c r="S17" s="102"/>
      <c r="T17" s="102"/>
      <c r="U17" s="102"/>
    </row>
    <row r="18" spans="1:21" s="101" customFormat="1" ht="42">
      <c r="A18" s="981" t="s">
        <v>705</v>
      </c>
      <c r="B18" s="976">
        <v>0.2</v>
      </c>
      <c r="C18" s="982" t="s">
        <v>711</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78" t="str">
        <f>A6</f>
        <v>CCATD</v>
      </c>
      <c r="B19" s="979">
        <v>0.05</v>
      </c>
      <c r="C19" s="980" t="s">
        <v>712</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37" t="s">
        <v>713</v>
      </c>
      <c r="B20" s="1238"/>
      <c r="C20" s="1239"/>
      <c r="D20" s="102"/>
      <c r="E20" s="102"/>
      <c r="F20" s="102"/>
      <c r="G20" s="102"/>
      <c r="H20" s="102"/>
      <c r="I20" s="102"/>
      <c r="J20" s="102"/>
      <c r="K20" s="102"/>
      <c r="L20" s="102"/>
      <c r="M20" s="102"/>
      <c r="N20" s="102"/>
      <c r="O20" s="102"/>
      <c r="P20" s="102"/>
      <c r="Q20" s="102"/>
      <c r="R20" s="102"/>
      <c r="S20" s="102"/>
      <c r="T20" s="102"/>
      <c r="U20" s="102"/>
    </row>
    <row r="21" spans="1:21" s="101" customFormat="1" ht="21">
      <c r="A21" s="981" t="s">
        <v>705</v>
      </c>
      <c r="B21" s="976">
        <v>0.2</v>
      </c>
      <c r="C21" s="977" t="s">
        <v>703</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78" t="str">
        <f>A6</f>
        <v>CCATD</v>
      </c>
      <c r="B22" s="979">
        <v>0.05</v>
      </c>
      <c r="C22" s="980" t="s">
        <v>703</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37" t="s">
        <v>714</v>
      </c>
      <c r="B23" s="1238"/>
      <c r="C23" s="1239"/>
      <c r="D23" s="102"/>
      <c r="E23" s="102"/>
      <c r="F23" s="102"/>
      <c r="G23" s="102"/>
      <c r="H23" s="102"/>
      <c r="I23" s="102"/>
      <c r="J23" s="102"/>
      <c r="K23" s="102"/>
      <c r="L23" s="102"/>
      <c r="M23" s="102"/>
      <c r="N23" s="102"/>
      <c r="O23" s="102"/>
      <c r="P23" s="102"/>
      <c r="Q23" s="102"/>
      <c r="R23" s="102"/>
      <c r="S23" s="102"/>
      <c r="T23" s="102"/>
      <c r="U23" s="102"/>
    </row>
    <row r="24" spans="1:21" s="101" customFormat="1" ht="21">
      <c r="A24" s="981" t="s">
        <v>705</v>
      </c>
      <c r="B24" s="976">
        <v>0.05</v>
      </c>
      <c r="C24" s="977" t="s">
        <v>706</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78" t="str">
        <f>A6</f>
        <v>CCATD</v>
      </c>
      <c r="B25" s="979">
        <v>0.05</v>
      </c>
      <c r="C25" s="983" t="s">
        <v>706</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37" t="s">
        <v>715</v>
      </c>
      <c r="B26" s="1238"/>
      <c r="C26" s="1239"/>
      <c r="D26" s="102"/>
      <c r="E26" s="102"/>
      <c r="F26" s="102"/>
      <c r="G26" s="102"/>
      <c r="H26" s="102"/>
      <c r="I26" s="102"/>
      <c r="J26" s="102"/>
      <c r="K26" s="102"/>
      <c r="L26" s="102"/>
      <c r="M26" s="102"/>
      <c r="N26" s="102"/>
      <c r="O26" s="102"/>
      <c r="P26" s="102"/>
      <c r="Q26" s="102"/>
      <c r="R26" s="102"/>
      <c r="S26" s="102"/>
      <c r="T26" s="102"/>
      <c r="U26" s="102"/>
    </row>
    <row r="27" spans="1:21" s="101" customFormat="1" ht="21">
      <c r="A27" s="981" t="s">
        <v>705</v>
      </c>
      <c r="B27" s="976">
        <v>0.05</v>
      </c>
      <c r="C27" s="977" t="s">
        <v>703</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84" t="str">
        <f>A6</f>
        <v>CCATD</v>
      </c>
      <c r="B28" s="985">
        <v>0.05</v>
      </c>
      <c r="C28" s="986"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3" t="s">
        <v>716</v>
      </c>
      <c r="B30" s="1233"/>
      <c r="C30" s="1233"/>
    </row>
    <row r="31" spans="1:21" ht="14.45" customHeight="1">
      <c r="A31" s="1234"/>
      <c r="B31" s="1234"/>
      <c r="C31" s="1234"/>
    </row>
    <row r="32" spans="1:21" ht="31.35" customHeight="1">
      <c r="A32" s="1233" t="s">
        <v>717</v>
      </c>
      <c r="B32" s="1233"/>
      <c r="C32" s="1233"/>
    </row>
    <row r="33" spans="1:3" ht="14.45" customHeight="1">
      <c r="A33" s="1234"/>
      <c r="B33" s="1234"/>
      <c r="C33" s="1234"/>
    </row>
    <row r="34" spans="1:3" ht="30" customHeight="1">
      <c r="A34" s="1233" t="s">
        <v>718</v>
      </c>
      <c r="B34" s="1233"/>
      <c r="C34" s="1233"/>
    </row>
    <row r="35" spans="1:3" ht="14.45" customHeight="1">
      <c r="A35" s="1234"/>
      <c r="B35" s="1234"/>
      <c r="C35" s="1234"/>
    </row>
    <row r="36" spans="1:3" ht="15" customHeight="1">
      <c r="A36" s="1235" t="s">
        <v>719</v>
      </c>
      <c r="B36" s="1234"/>
      <c r="C36" s="1234"/>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infopath/2007/PartnerControls"/>
    <ds:schemaRef ds:uri="ee822479-6e51-4d14-b6b0-2c589e913e66"/>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A80541-7138-4A3D-B60A-65E3AF5727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Fethke, Rick</cp:lastModifiedBy>
  <cp:revision/>
  <cp:lastPrinted>2022-06-06T14:49:32Z</cp:lastPrinted>
  <dcterms:created xsi:type="dcterms:W3CDTF">2005-03-22T15:46:43Z</dcterms:created>
  <dcterms:modified xsi:type="dcterms:W3CDTF">2022-08-18T19:58:04Z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