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codeName="ThisWorkbook" autoCompressPictures="0"/>
  <mc:AlternateContent xmlns:mc="http://schemas.openxmlformats.org/markup-compatibility/2006">
    <mc:Choice Requires="x15">
      <x15ac:absPath xmlns:x15ac="http://schemas.microsoft.com/office/spreadsheetml/2010/11/ac" url="S:\Business Department\Budgets\2022-23 Budget\"/>
    </mc:Choice>
  </mc:AlternateContent>
  <xr:revisionPtr revIDLastSave="0" documentId="13_ncr:1_{D8DBFC83-AFEE-4EBE-8CB1-64FC61AF7334}" xr6:coauthVersionLast="38" xr6:coauthVersionMax="38" xr10:uidLastSave="{00000000-0000-0000-0000-000000000000}"/>
  <bookViews>
    <workbookView xWindow="0" yWindow="0" windowWidth="28800" windowHeight="11565" tabRatio="769" firstSheet="3"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79021"/>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272" i="7" l="1"/>
  <c r="E13" i="4" l="1"/>
  <c r="C18" i="8"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G32" i="6"/>
  <c r="F33" i="6"/>
  <c r="G33" i="6"/>
  <c r="F34" i="6"/>
  <c r="G34" i="6"/>
  <c r="H34" i="6" s="1"/>
  <c r="G32" i="7" s="1"/>
  <c r="F35" i="6"/>
  <c r="G35" i="6"/>
  <c r="H35" i="6" s="1"/>
  <c r="G33" i="7" s="1"/>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E69" i="22" s="1"/>
  <c r="D65" i="22"/>
  <c r="D67" i="22"/>
  <c r="D69" i="22" s="1"/>
  <c r="D59" i="22"/>
  <c r="D60" i="22"/>
  <c r="D62" i="22"/>
  <c r="B52" i="22"/>
  <c r="E33" i="22"/>
  <c r="E34" i="22"/>
  <c r="D33" i="22"/>
  <c r="D34" i="22"/>
  <c r="D26" i="22"/>
  <c r="D38" i="22"/>
  <c r="C38" i="22"/>
  <c r="E15" i="22"/>
  <c r="D15" i="22"/>
  <c r="B46" i="22"/>
  <c r="E26" i="22"/>
  <c r="E59" i="22"/>
  <c r="E60" i="22" s="1"/>
  <c r="E38" i="22"/>
  <c r="B29" i="5"/>
  <c r="G14" i="5"/>
  <c r="H14" i="5" s="1"/>
  <c r="G258" i="7"/>
  <c r="E15" i="8"/>
  <c r="E36" i="6"/>
  <c r="D36" i="6"/>
  <c r="F36" i="6" s="1"/>
  <c r="D43" i="6"/>
  <c r="D26" i="6"/>
  <c r="E17" i="6"/>
  <c r="G20" i="5"/>
  <c r="H20" i="5" s="1"/>
  <c r="G19" i="5"/>
  <c r="H19" i="5" s="1"/>
  <c r="G22" i="5"/>
  <c r="H22" i="5" s="1"/>
  <c r="G23" i="5"/>
  <c r="H23" i="5" s="1"/>
  <c r="E20" i="12"/>
  <c r="E30" i="12" s="1"/>
  <c r="E29" i="12"/>
  <c r="G196" i="7"/>
  <c r="D21" i="8"/>
  <c r="E68" i="3"/>
  <c r="C94" i="12"/>
  <c r="B31" i="5"/>
  <c r="H31" i="5" s="1"/>
  <c r="I31" i="5" s="1"/>
  <c r="B30" i="5"/>
  <c r="G16" i="5"/>
  <c r="H16" i="5" s="1"/>
  <c r="G15" i="5"/>
  <c r="H15" i="5" s="1"/>
  <c r="D96" i="8"/>
  <c r="C96" i="8"/>
  <c r="B69" i="6"/>
  <c r="C93" i="3" s="1"/>
  <c r="C92" i="3"/>
  <c r="E69" i="3"/>
  <c r="E70" i="3"/>
  <c r="E71" i="3"/>
  <c r="E72" i="3"/>
  <c r="E73" i="3"/>
  <c r="B21" i="8"/>
  <c r="C21" i="8"/>
  <c r="E10" i="8"/>
  <c r="E12" i="8"/>
  <c r="E16" i="8"/>
  <c r="E17" i="8"/>
  <c r="E18" i="8"/>
  <c r="E19" i="8"/>
  <c r="E20" i="8"/>
  <c r="E36" i="4"/>
  <c r="C127" i="3"/>
  <c r="D33" i="4"/>
  <c r="B60" i="6"/>
  <c r="E26" i="4"/>
  <c r="E16" i="4"/>
  <c r="G274" i="7"/>
  <c r="G278" i="7" s="1"/>
  <c r="C120" i="3" s="1"/>
  <c r="E67" i="22"/>
  <c r="D61" i="22"/>
  <c r="E14" i="8"/>
  <c r="G240" i="7"/>
  <c r="X147" i="23"/>
  <c r="E70" i="22"/>
  <c r="E68" i="22"/>
  <c r="D66" i="22"/>
  <c r="D68" i="22"/>
  <c r="H33" i="6"/>
  <c r="G31" i="7" s="1"/>
  <c r="H30" i="5"/>
  <c r="I30" i="5" s="1"/>
  <c r="D17" i="6"/>
  <c r="F12" i="6"/>
  <c r="E46" i="3" s="1"/>
  <c r="F11" i="6"/>
  <c r="H11" i="6"/>
  <c r="G13" i="7" s="1"/>
  <c r="F14" i="6"/>
  <c r="H14" i="6" s="1"/>
  <c r="G16" i="7" s="1"/>
  <c r="F15" i="6"/>
  <c r="E49" i="3"/>
  <c r="F10" i="6"/>
  <c r="E44" i="3"/>
  <c r="E47" i="3"/>
  <c r="E48" i="3"/>
  <c r="E45" i="3"/>
  <c r="H10" i="6"/>
  <c r="G12" i="7" s="1"/>
  <c r="H15" i="6"/>
  <c r="G17" i="7" s="1"/>
  <c r="B70" i="6" l="1"/>
  <c r="F17" i="6"/>
  <c r="E50" i="3" s="1"/>
  <c r="H12" i="6"/>
  <c r="G14" i="7" s="1"/>
  <c r="H38" i="5"/>
  <c r="I38" i="5" s="1"/>
  <c r="H32" i="6"/>
  <c r="H34" i="5"/>
  <c r="I34" i="5" s="1"/>
  <c r="D128" i="15"/>
  <c r="C144" i="3" s="1"/>
  <c r="C111" i="3"/>
  <c r="G30" i="7"/>
  <c r="H36" i="6"/>
  <c r="G37" i="7"/>
  <c r="G42" i="7" s="1"/>
  <c r="F43" i="6"/>
  <c r="H37" i="5"/>
  <c r="I37" i="5" s="1"/>
  <c r="C96" i="3"/>
  <c r="E74" i="3"/>
  <c r="C113" i="3"/>
  <c r="E61" i="22"/>
  <c r="H35" i="5"/>
  <c r="I35" i="5" s="1"/>
  <c r="G75" i="7"/>
  <c r="D106" i="3"/>
  <c r="H29" i="5"/>
  <c r="I29" i="5" s="1"/>
  <c r="D70" i="22"/>
  <c r="E62" i="22"/>
  <c r="C95" i="3"/>
  <c r="E21" i="8"/>
  <c r="F121" i="15"/>
  <c r="G260" i="7"/>
  <c r="E25" i="4" s="1"/>
  <c r="E28" i="4" s="1"/>
  <c r="G35" i="7"/>
  <c r="T119" i="23"/>
  <c r="C112" i="3"/>
  <c r="C121" i="3"/>
  <c r="G28" i="7"/>
  <c r="G19" i="7"/>
  <c r="H17" i="6"/>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C137" i="3" l="1"/>
  <c r="F128" i="15"/>
  <c r="D139" i="15"/>
  <c r="H44" i="6"/>
  <c r="H27" i="6"/>
  <c r="H46" i="6" s="1"/>
  <c r="F123" i="15"/>
  <c r="C114" i="3"/>
  <c r="G44" i="7"/>
  <c r="G63" i="7" s="1"/>
  <c r="G144" i="7" s="1"/>
  <c r="E18" i="4" s="1"/>
  <c r="E21" i="4" s="1"/>
  <c r="E23" i="4" s="1"/>
  <c r="E44" i="4" s="1"/>
  <c r="C17" i="3"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<sst xmlns="http://schemas.openxmlformats.org/spreadsheetml/2006/main" count="1334" uniqueCount="810">
  <si>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</si>
  <si>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</si>
  <si>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</si>
  <si>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</si>
  <si>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</si>
  <si>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</si>
  <si>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</si>
  <si>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</si>
  <si>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</si>
  <si>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</si>
  <si>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</si>
  <si>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</si>
  <si>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</si>
  <si>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</si>
  <si>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</si>
  <si>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</si>
  <si>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</si>
  <si>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</si>
  <si>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</si>
  <si>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</si>
  <si>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</si>
  <si>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</si>
  <si>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</si>
  <si>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</si>
  <si>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</si>
  <si>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</si>
  <si>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</si>
  <si>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</si>
  <si>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</si>
  <si>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</si>
  <si>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</si>
  <si>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</si>
  <si>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</si>
  <si>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</si>
  <si>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</si>
  <si>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</si>
  <si>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</si>
  <si>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</si>
  <si>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</si>
  <si>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</si>
  <si>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</si>
  <si>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</si>
  <si>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</si>
  <si>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</si>
  <si>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</si>
  <si>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</si>
  <si>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</si>
  <si>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</si>
  <si>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</si>
  <si>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</si>
  <si>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</si>
  <si>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</si>
  <si>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</si>
  <si>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</si>
  <si>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</si>
  <si>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</si>
  <si>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</si>
  <si>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</si>
  <si>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</si>
  <si>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</si>
  <si>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</si>
  <si>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</si>
  <si>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</si>
  <si>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</si>
  <si>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</si>
  <si>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</si>
  <si>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</si>
  <si>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</si>
  <si>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</si>
  <si>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</si>
  <si>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</si>
  <si>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</si>
  <si>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</si>
  <si>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</si>
  <si>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</si>
  <si>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</si>
  <si>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</si>
  <si>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</si>
  <si>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</si>
  <si>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</si>
  <si>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</si>
  <si>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</si>
  <si>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</si>
  <si>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</si>
  <si>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</si>
  <si>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</si>
  <si>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</si>
  <si>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</si>
  <si>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</si>
  <si>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</si>
  <si>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</si>
  <si>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</si>
  <si>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</si>
  <si>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</si>
  <si>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</si>
  <si>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</si>
  <si>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</si>
  <si>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</si>
  <si>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</si>
  <si>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</si>
  <si>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</si>
  <si>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</si>
  <si>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</si>
  <si>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</si>
  <si>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</si>
  <si>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</si>
  <si>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</si>
  <si>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</si>
  <si>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</si>
  <si>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</si>
  <si>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</si>
  <si>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</si>
  <si>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</si>
  <si>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</si>
  <si>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</si>
  <si>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</si>
  <si>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</si>
  <si>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</si>
  <si>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</si>
  <si>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</si>
  <si>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</si>
  <si>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</si>
  <si>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</si>
  <si>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</si>
  <si>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</si>
  <si>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</si>
  <si>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</si>
  <si>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</si>
  <si>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</si>
  <si>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</si>
  <si>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</si>
  <si>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</si>
  <si>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</si>
  <si>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</si>
  <si>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</si>
  <si>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</si>
  <si>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</si>
  <si>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</si>
  <si>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</si>
  <si>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</si>
  <si>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</si>
  <si>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</si>
  <si>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</si>
  <si>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</si>
  <si>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</si>
  <si>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</si>
  <si>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</si>
  <si>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</si>
  <si>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</si>
  <si>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</si>
  <si>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</si>
  <si>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</si>
  <si>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</si>
  <si>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</si>
  <si>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</si>
  <si>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</si>
  <si>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</si>
  <si>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</si>
  <si>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</si>
  <si>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</si>
  <si>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</si>
  <si>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</si>
  <si>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</si>
  <si>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</si>
  <si>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</si>
  <si>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</si>
  <si>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</si>
  <si>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</si>
  <si>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</si>
  <si>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</si>
  <si>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</si>
  <si>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</si>
  <si>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</si>
  <si>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</si>
  <si>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</si>
  <si>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</si>
  <si>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</si>
  <si>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</si>
  <si>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</si>
  <si>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</si>
  <si>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</si>
  <si>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</si>
  <si>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</si>
  <si>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</si>
  <si>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</si>
  <si>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</si>
  <si>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</si>
  <si>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</si>
  <si>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</si>
  <si>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</si>
  <si>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</si>
  <si>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</si>
  <si>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</si>
  <si>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</si>
  <si>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</si>
  <si>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</si>
  <si>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</si>
  <si>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</si>
  <si>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</si>
  <si>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</si>
  <si>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</si>
  <si>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</si>
  <si>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</si>
  <si>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</si>
  <si>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</si>
  <si>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</si>
  <si>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</si>
  <si>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</si>
  <si>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</si>
  <si>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</si>
  <si>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</si>
  <si>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</si>
  <si>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</si>
  <si>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</si>
  <si>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</si>
  <si>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</si>
  <si>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</si>
  <si>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</si>
  <si>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</si>
  <si>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</si>
  <si>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</si>
  <si>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</si>
  <si>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</si>
  <si>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</si>
  <si>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</si>
  <si>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</si>
  <si>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</si>
  <si>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</si>
  <si>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</si>
  <si>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</si>
  <si>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</si>
  <si>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</si>
  <si>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</si>
  <si>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</si>
  <si>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</si>
  <si>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</si>
  <si>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</si>
  <si>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</si>
  <si>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</si>
  <si>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</si>
  <si>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</si>
  <si>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</si>
  <si>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</si>
  <si>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</si>
  <si>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</si>
  <si>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</si>
  <si>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</si>
  <si>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</si>
  <si>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</si>
  <si>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</si>
  <si>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</si>
  <si>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</si>
  <si>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</si>
  <si>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</si>
  <si>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</si>
  <si>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</si>
  <si>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</si>
  <si>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</si>
  <si>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</si>
  <si>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</si>
  <si>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</si>
  <si>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</si>
  <si>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</si>
  <si>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</si>
  <si>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</si>
  <si>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</si>
  <si>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</si>
  <si>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</si>
  <si>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</si>
  <si>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</si>
  <si>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</si>
  <si>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</si>
  <si>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</si>
  <si>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</si>
  <si>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</si>
  <si>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</si>
  <si>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</si>
  <si>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</si>
  <si>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</si>
  <si>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</si>
  <si>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</si>
  <si>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</si>
  <si>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</si>
  <si>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</si>
  <si>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</si>
  <si>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</si>
  <si>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</si>
  <si>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</si>
  <si>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</si>
  <si>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</si>
  <si>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</si>
  <si>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</si>
  <si>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</si>
  <si>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</si>
  <si>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</si>
  <si>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</si>
  <si>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</si>
  <si>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</si>
  <si>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</si>
  <si>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</si>
  <si>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</si>
  <si>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</si>
  <si>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</si>
  <si>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</si>
  <si>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</si>
  <si>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</si>
  <si>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</si>
  <si>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</si>
  <si>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</si>
  <si>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</si>
  <si>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</si>
  <si>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</si>
  <si>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</si>
  <si>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</si>
  <si>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</si>
  <si>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</si>
  <si>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</si>
  <si>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</si>
  <si>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</si>
  <si>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</si>
  <si>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</si>
  <si>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</si>
  <si>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</si>
  <si>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</si>
  <si>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</si>
  <si>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</si>
  <si>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</si>
  <si>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</si>
  <si>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</si>
  <si>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</si>
  <si>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</si>
  <si>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</si>
  <si>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</si>
  <si>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</si>
  <si>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</si>
  <si>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</si>
  <si>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</si>
  <si>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</si>
  <si>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</si>
  <si>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</si>
  <si>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</si>
  <si>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</si>
  <si>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</si>
  <si>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</si>
  <si>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</si>
  <si>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</si>
  <si>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</si>
  <si>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</si>
  <si>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</si>
  <si>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</si>
  <si>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</si>
  <si>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</si>
  <si>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</si>
  <si>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</si>
  <si>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</si>
  <si>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</si>
  <si>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</si>
  <si>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</si>
  <si>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</si>
  <si>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</si>
  <si>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</si>
  <si>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</si>
  <si>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</si>
  <si>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</si>
  <si>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</si>
  <si>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</si>
  <si>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</si>
  <si>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</si>
  <si>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</si>
  <si>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</si>
  <si>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</si>
  <si>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</si>
  <si>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</si>
  <si>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</si>
  <si>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</si>
  <si>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</si>
  <si>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</si>
  <si>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</si>
  <si>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</si>
  <si>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</si>
  <si>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</si>
  <si>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</si>
  <si>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</si>
  <si>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</si>
  <si>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</si>
  <si>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</si>
  <si>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</si>
  <si>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</si>
  <si>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</si>
  <si>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</si>
  <si>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</si>
  <si>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</si>
  <si>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</si>
  <si>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</si>
  <si>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</si>
  <si>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</si>
  <si>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</si>
  <si>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</si>
  <si>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</si>
  <si>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</si>
  <si>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</si>
  <si>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</si>
  <si>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</si>
  <si>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</si>
  <si>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</si>
  <si>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</si>
  <si>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</si>
  <si>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</si>
  <si>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</si>
  <si>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</si>
  <si>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</si>
  <si>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</si>
  <si>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</si>
  <si>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</si>
  <si>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</si>
  <si>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</si>
  <si>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</si>
  <si>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</si>
  <si>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</si>
  <si>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</si>
  <si>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</si>
  <si>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</si>
  <si>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</si>
  <si>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</si>
  <si>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</si>
  <si>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</si>
  <si>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</si>
  <si>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</si>
  <si>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</si>
  <si>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</si>
  <si>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</si>
  <si>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</si>
  <si>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</si>
  <si>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</si>
  <si>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</si>
  <si>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</si>
  <si>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</si>
  <si>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</si>
  <si>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</si>
  <si>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</si>
  <si>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</si>
  <si>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</si>
  <si>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</si>
  <si>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</si>
  <si>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</si>
  <si>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</si>
  <si>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</si>
  <si>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</si>
  <si>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</si>
  <si>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</si>
  <si>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</si>
  <si>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</si>
  <si>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</si>
  <si>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</si>
  <si>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</si>
  <si>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</si>
  <si>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</si>
  <si>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</si>
  <si>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</si>
  <si>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</si>
  <si>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</si>
  <si>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</si>
  <si>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</si>
  <si>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</si>
  <si>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</si>
  <si>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</si>
  <si>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</si>
  <si>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</si>
  <si>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</si>
  <si>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</si>
  <si>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</si>
  <si>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</si>
  <si>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</si>
  <si>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</si>
  <si>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</si>
  <si>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</si>
  <si>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</si>
  <si>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</si>
  <si>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</si>
  <si>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</si>
  <si>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</si>
  <si>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</si>
  <si>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</si>
  <si>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</si>
  <si>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</si>
  <si>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</si>
  <si>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</si>
  <si>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</si>
  <si>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</si>
  <si>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</si>
  <si>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</si>
  <si>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</si>
  <si>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</si>
  <si>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</si>
  <si>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</si>
  <si>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</si>
  <si>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</si>
  <si>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</si>
  <si>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</si>
  <si>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</si>
  <si>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</si>
  <si>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</si>
  <si>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</si>
  <si>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</si>
  <si>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</si>
  <si>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</si>
  <si>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</si>
  <si>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</si>
  <si>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</si>
  <si>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</si>
  <si>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</si>
  <si>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</si>
  <si>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</si>
  <si>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</si>
  <si>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</si>
  <si>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</si>
  <si>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</si>
  <si>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</si>
  <si>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</si>
  <si>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</si>
  <si>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</si>
  <si>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</si>
  <si>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</si>
  <si>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</si>
  <si>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</si>
  <si>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</si>
  <si>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</si>
  <si>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</si>
  <si>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</si>
  <si>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</si>
  <si>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</si>
  <si>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</si>
  <si>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</si>
  <si>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</si>
  <si>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</si>
  <si>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</si>
  <si>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</si>
  <si>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</si>
  <si>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</si>
  <si>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</si>
  <si>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</si>
  <si>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</si>
  <si>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</si>
  <si>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</si>
  <si>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</si>
  <si>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</si>
  <si>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</si>
  <si>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</si>
  <si>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</si>
  <si>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</si>
  <si>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</si>
  <si>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</si>
  <si>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</si>
  <si>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</si>
  <si>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</si>
  <si>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</si>
  <si>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</si>
  <si>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</si>
  <si>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</si>
  <si>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</si>
  <si>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</si>
  <si>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</si>
  <si>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</si>
  <si>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</si>
  <si>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</si>
  <si>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</si>
  <si>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</si>
  <si>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</si>
  <si>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</si>
  <si>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</si>
  <si>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</si>
  <si>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</si>
  <si>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</si>
  <si>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</si>
  <si>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</si>
  <si>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</si>
  <si>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</si>
  <si>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</si>
  <si>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</si>
  <si>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</si>
  <si>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</si>
  <si>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</si>
  <si>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</si>
  <si>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</si>
  <si>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</si>
  <si>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</si>
  <si>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</si>
  <si>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</si>
  <si>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</si>
  <si>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</si>
  <si>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</si>
  <si>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</si>
  <si>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</si>
  <si>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</si>
  <si>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</si>
  <si>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</si>
  <si>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</si>
  <si>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</si>
  <si>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</si>
  <si>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</si>
  <si>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</si>
  <si>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</si>
  <si>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</si>
  <si>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</si>
  <si>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</si>
  <si>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</si>
  <si>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</si>
  <si>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</si>
  <si>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</si>
  <si>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</si>
  <si>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</si>
  <si>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</si>
  <si>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</si>
  <si>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</si>
  <si>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</si>
  <si>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</si>
  <si>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</si>
  <si>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</si>
  <si>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</si>
  <si>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</si>
  <si>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</si>
  <si>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</si>
  <si>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</si>
  <si>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</si>
  <si>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</si>
  <si>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</si>
  <si>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</si>
  <si>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</si>
  <si>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</si>
  <si>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</si>
  <si>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</si>
  <si>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</si>
  <si>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</si>
  <si>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</si>
  <si>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</si>
  <si>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</si>
  <si>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</si>
  <si>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</si>
  <si>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</si>
  <si>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</si>
  <si>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</si>
  <si>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</si>
  <si>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</si>
  <si>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</si>
  <si>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</si>
  <si>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</si>
  <si>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</si>
  <si>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</si>
  <si>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</si>
  <si>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</si>
  <si>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</si>
  <si>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</si>
  <si>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</si>
  <si>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</si>
  <si>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</si>
  <si>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</si>
  <si>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</si>
  <si>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</si>
  <si>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</si>
  <si>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</si>
  <si>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</si>
  <si>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</si>
  <si>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</si>
  <si>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</si>
  <si>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</si>
  <si>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</si>
  <si>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</si>
  <si>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</si>
  <si>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</si>
  <si>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</si>
  <si>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</si>
  <si>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</si>
  <si>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</si>
  <si>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</si>
  <si>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</si>
  <si>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</si>
  <si>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</si>
  <si>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</si>
  <si>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</si>
  <si>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</si>
  <si>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</si>
  <si>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</si>
  <si>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</si>
  <si>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</si>
  <si>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</si>
  <si>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</si>
  <si>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</si>
  <si>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</si>
  <si>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</si>
  <si>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</si>
  <si>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</si>
  <si>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</si>
  <si>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</si>
  <si>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</si>
  <si>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</si>
  <si>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</si>
  <si>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</si>
  <si>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</si>
  <si>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</si>
  <si>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</si>
  <si>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</si>
  <si>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</si>
  <si>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</si>
  <si>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</si>
  <si>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</si>
  <si>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</si>
  <si>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</si>
  <si>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</si>
  <si>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</si>
  <si>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</si>
  <si>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</si>
  <si>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</si>
  <si>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</si>
  <si>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</si>
  <si>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</si>
  <si>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</si>
  <si>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</si>
  <si>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</si>
  <si>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</si>
  <si>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</si>
  <si>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</si>
  <si>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</si>
  <si>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</si>
  <si>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</si>
  <si>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</si>
  <si>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</si>
  <si>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</si>
  <si>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</si>
  <si>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</si>
  <si>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</si>
  <si>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</si>
  <si>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</si>
  <si>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</si>
  <si>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</si>
  <si>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</si>
  <si>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</si>
  <si>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</si>
  <si>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</si>
  <si>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</si>
  <si>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</si>
  <si>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</si>
  <si>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</si>
  <si>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</si>
  <si>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</si>
  <si>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</si>
  <si>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</si>
  <si>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</si>
  <si>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</si>
  <si>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</si>
  <si>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</si>
  <si>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</si>
  <si>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</si>
  <si>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</si>
  <si>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</si>
  <si>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</si>
  <si>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</si>
  <si>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</si>
  <si>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</si>
  <si>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</si>
  <si>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</si>
  <si>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</si>
  <si>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</si>
  <si>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</si>
  <si>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</si>
  <si>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</si>
  <si>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</si>
  <si>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</si>
  <si>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</si>
  <si>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</si>
  <si>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</si>
  <si>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</si>
  <si>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</si>
  <si>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</si>
  <si>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</si>
  <si>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</si>
  <si>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</si>
  <si>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</si>
  <si>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</si>
  <si>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</si>
  <si>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</si>
  <si>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</si>
  <si>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</si>
  <si>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</si>
  <si>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</si>
  <si>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</si>
  <si>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</si>
  <si>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</si>
  <si>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</si>
  <si>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</si>
  <si>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</si>
  <si>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</si>
  <si>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</si>
  <si>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</si>
  <si>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</si>
  <si>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</si>
  <si>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</si>
  <si>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</si>
  <si>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</si>
  <si>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</si>
  <si>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</si>
  <si>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</si>
  <si>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</si>
  <si>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</si>
  <si>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</si>
  <si>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</si>
  <si>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</si>
  <si>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</si>
  <si>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</si>
  <si>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Although difference is greater than 5%, total difference is not significant.</t>
  </si>
  <si>
    <t>Enrollment estimates updated based on latest available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</si>
</sst>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C19" sqref="C19"/>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North Florida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756</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3516990</v>
      </c>
      <c r="C10" s="577">
        <v>550455</v>
      </c>
      <c r="D10" s="577">
        <v>26650</v>
      </c>
      <c r="E10" s="480">
        <f>SUM(B10:D10)</f>
        <v>4094095</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248169</v>
      </c>
      <c r="C12" s="567">
        <v>26100</v>
      </c>
      <c r="D12" s="567">
        <v>0</v>
      </c>
      <c r="E12" s="481">
        <f>SUM(B12:D12)</f>
        <v>274269</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1368273</v>
      </c>
      <c r="C14" s="579">
        <v>523465</v>
      </c>
      <c r="D14" s="579">
        <v>92000</v>
      </c>
      <c r="E14" s="481">
        <f t="shared" ref="E14:E20" si="0">SUM(B14:D14)</f>
        <v>1983738</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1443278</v>
      </c>
      <c r="C16" s="567">
        <v>111320</v>
      </c>
      <c r="D16" s="567">
        <v>2500</v>
      </c>
      <c r="E16" s="481">
        <f t="shared" si="0"/>
        <v>1557098</v>
      </c>
      <c r="F16" s="457"/>
    </row>
    <row r="17" spans="1:6" s="37" customFormat="1" ht="20.100000000000001" customHeight="1">
      <c r="A17" s="479" t="s">
        <v>627</v>
      </c>
      <c r="B17" s="578">
        <v>1741329</v>
      </c>
      <c r="C17" s="567">
        <v>696766</v>
      </c>
      <c r="D17" s="567">
        <v>0</v>
      </c>
      <c r="E17" s="481">
        <f t="shared" si="0"/>
        <v>2438095</v>
      </c>
      <c r="F17" s="457"/>
    </row>
    <row r="18" spans="1:6" s="37" customFormat="1" ht="20.100000000000001" customHeight="1">
      <c r="A18" s="479" t="s">
        <v>628</v>
      </c>
      <c r="B18" s="578">
        <v>604230</v>
      </c>
      <c r="C18" s="567">
        <f>1447737+1</f>
        <v>1447738</v>
      </c>
      <c r="D18" s="567">
        <v>61000</v>
      </c>
      <c r="E18" s="481">
        <f t="shared" si="0"/>
        <v>2112968</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100000</v>
      </c>
      <c r="C20" s="568">
        <v>200000</v>
      </c>
      <c r="D20" s="568">
        <v>50000</v>
      </c>
      <c r="E20" s="481">
        <f t="shared" si="0"/>
        <v>350000</v>
      </c>
      <c r="F20" s="457"/>
    </row>
    <row r="21" spans="1:6" s="37" customFormat="1" ht="24" customHeight="1" thickBot="1">
      <c r="A21" s="377" t="s">
        <v>50</v>
      </c>
      <c r="B21" s="458">
        <f>SUM(B10:B20)</f>
        <v>9022269</v>
      </c>
      <c r="C21" s="461">
        <f>SUM(C10:C20)</f>
        <v>3555844</v>
      </c>
      <c r="D21" s="461">
        <f>SUM(D10:D20)</f>
        <v>232150</v>
      </c>
      <c r="E21" s="460">
        <f>SUM(E10:E20)</f>
        <v>12810263</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126" zoomScale="60" zoomScaleNormal="60" zoomScaleSheetLayoutView="50" zoomScalePageLayoutView="60" workbookViewId="0">
      <selection activeCell="D134" sqref="D134"/>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North Florida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756</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738</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64132</v>
      </c>
      <c r="E15" s="925">
        <v>0</v>
      </c>
      <c r="F15" s="926">
        <f t="shared" si="0"/>
        <v>64132</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2600</v>
      </c>
      <c r="E16" s="925">
        <v>0</v>
      </c>
      <c r="F16" s="926">
        <f t="shared" si="0"/>
        <v>2600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39000</v>
      </c>
      <c r="E34" s="925">
        <v>0</v>
      </c>
      <c r="F34" s="926">
        <f t="shared" si="0"/>
        <v>39000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4906</v>
      </c>
      <c r="E48" s="925">
        <v>0</v>
      </c>
      <c r="F48" s="926">
        <f t="shared" si="0"/>
        <v>4906</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6535</v>
      </c>
      <c r="E49" s="925">
        <v>0</v>
      </c>
      <c r="F49" s="926">
        <f t="shared" si="0"/>
        <v>6535</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9281</v>
      </c>
      <c r="E54" s="925">
        <v>0</v>
      </c>
      <c r="F54" s="926">
        <f t="shared" si="0"/>
        <v>9281</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126454</v>
      </c>
      <c r="E57" s="346">
        <f>SUM(E10:E56)</f>
        <v>0</v>
      </c>
      <c r="F57" s="346">
        <f t="shared" si="0"/>
        <v>126454</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2500</v>
      </c>
      <c r="E64" s="580">
        <v>0</v>
      </c>
      <c r="F64" s="304">
        <f t="shared" si="0"/>
        <v>2500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30</v>
      </c>
      <c r="E65" s="925">
        <v>0</v>
      </c>
      <c r="F65" s="926">
        <f t="shared" si="0"/>
        <v>30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733</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100</v>
      </c>
      <c r="E80" s="925">
        <v>0</v>
      </c>
      <c r="F80" s="926">
        <f t="shared" si="0"/>
        <v>100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250</v>
      </c>
      <c r="E84" s="925">
        <v>0</v>
      </c>
      <c r="F84" s="926">
        <f t="shared" si="1"/>
        <v>250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1000</v>
      </c>
      <c r="E85" s="925">
        <v>0</v>
      </c>
      <c r="F85" s="926">
        <f t="shared" si="1"/>
        <v>1000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3880</v>
      </c>
      <c r="E103" s="342">
        <f>SUM(E64:E102)</f>
        <v>0</v>
      </c>
      <c r="F103" s="342">
        <f t="shared" si="1"/>
        <v>3880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764</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765</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732</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130334</v>
      </c>
      <c r="E123" s="342">
        <f>+E57+E103+E121</f>
        <v>0</v>
      </c>
      <c r="F123" s="342">
        <f>SUM(D123:E123)</f>
        <v>130334</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78664</v>
      </c>
      <c r="E128" s="925">
        <v>0</v>
      </c>
      <c r="F128" s="926">
        <f t="shared" ref="F128:F138" si="3">+D128+E128</f>
        <v>78664</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14186</v>
      </c>
      <c r="E129" s="925">
        <v>0</v>
      </c>
      <c r="F129" s="926">
        <f t="shared" si="3"/>
        <v>14186</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730</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37484</v>
      </c>
      <c r="E133" s="925">
        <v>0</v>
      </c>
      <c r="F133" s="926">
        <f t="shared" si="3"/>
        <v>37484</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130334</v>
      </c>
      <c r="E139" s="334">
        <f>SUM(E127:E138)</f>
        <v>0</v>
      </c>
      <c r="F139" s="335">
        <f>SUM(F127:F138)</f>
        <v>130334</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800</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757</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topLeftCell="A13"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758</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3" t="s">
        <v>16</v>
      </c>
      <c r="B5" s="1322" t="s">
        <v>776</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796</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759</v>
      </c>
      <c r="B40" s="1162" t="s">
        <v>794</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778</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777</v>
      </c>
      <c r="C46" s="781"/>
      <c r="D46" s="781">
        <v>315500</v>
      </c>
      <c r="E46" s="782">
        <f t="shared" si="1"/>
        <v>315500</v>
      </c>
      <c r="H46" s="24"/>
    </row>
    <row r="47" spans="1:21" ht="84.75" customHeight="1">
      <c r="A47" s="1170" t="s">
        <v>25</v>
      </c>
      <c r="B47" s="1252" t="s">
        <v>780</v>
      </c>
      <c r="C47" s="1253"/>
      <c r="D47" s="1253">
        <v>447123</v>
      </c>
      <c r="E47" s="782">
        <f t="shared" si="1"/>
        <v>447123</v>
      </c>
      <c r="H47" s="24"/>
    </row>
    <row r="48" spans="1:21" ht="84.75" customHeight="1">
      <c r="A48" s="1170" t="s">
        <v>21</v>
      </c>
      <c r="B48" s="1252" t="s">
        <v>779</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782</v>
      </c>
      <c r="C50" s="1253"/>
      <c r="D50" s="1253">
        <v>1000000</v>
      </c>
      <c r="E50" s="782">
        <f t="shared" si="1"/>
        <v>1000000</v>
      </c>
      <c r="H50" s="24"/>
    </row>
    <row r="51" spans="1:8" ht="62.45" customHeight="1">
      <c r="A51" s="1170" t="s">
        <v>35</v>
      </c>
      <c r="B51" s="1252" t="s">
        <v>781</v>
      </c>
      <c r="C51" s="1253"/>
      <c r="D51" s="1253">
        <v>600050</v>
      </c>
      <c r="E51" s="782">
        <f t="shared" si="1"/>
        <v>600050</v>
      </c>
      <c r="H51" s="24"/>
    </row>
    <row r="52" spans="1:8" ht="62.45" customHeight="1">
      <c r="A52" s="1170" t="s">
        <v>36</v>
      </c>
      <c r="B52" s="1252" t="s">
        <v>783</v>
      </c>
      <c r="C52" s="1253"/>
      <c r="D52" s="1253">
        <v>400000</v>
      </c>
      <c r="E52" s="782">
        <f t="shared" si="1"/>
        <v>400000</v>
      </c>
      <c r="H52" s="24"/>
    </row>
    <row r="53" spans="1:8" ht="62.45" customHeight="1">
      <c r="A53" s="1170" t="s">
        <v>37</v>
      </c>
      <c r="B53" s="1252" t="s">
        <v>784</v>
      </c>
      <c r="C53" s="1253"/>
      <c r="D53" s="1253">
        <v>500000</v>
      </c>
      <c r="E53" s="782">
        <f t="shared" si="1"/>
        <v>500000</v>
      </c>
      <c r="H53" s="24"/>
    </row>
    <row r="54" spans="1:8" ht="62.45" customHeight="1">
      <c r="A54" s="1170" t="s">
        <v>39</v>
      </c>
      <c r="B54" s="1252" t="s">
        <v>785</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786</v>
      </c>
      <c r="B56" s="1252" t="s">
        <v>787</v>
      </c>
      <c r="C56" s="1253"/>
      <c r="D56" s="1253">
        <v>765645</v>
      </c>
      <c r="E56" s="782">
        <f t="shared" si="1"/>
        <v>765645</v>
      </c>
      <c r="H56" s="24"/>
    </row>
    <row r="57" spans="1:8" ht="42">
      <c r="A57" s="1329" t="s">
        <v>788</v>
      </c>
      <c r="B57" s="1252" t="s">
        <v>789</v>
      </c>
      <c r="C57" s="1253"/>
      <c r="D57" s="1253">
        <v>5000000</v>
      </c>
      <c r="E57" s="782">
        <f t="shared" si="1"/>
        <v>5000000</v>
      </c>
      <c r="H57" s="24"/>
    </row>
    <row r="58" spans="1:8" ht="42">
      <c r="A58" s="1328" t="s">
        <v>727</v>
      </c>
      <c r="B58" s="1252" t="s">
        <v>790</v>
      </c>
      <c r="C58" s="1253"/>
      <c r="D58" s="1253">
        <v>756722</v>
      </c>
      <c r="E58" s="782">
        <f t="shared" si="1"/>
        <v>756722</v>
      </c>
      <c r="H58" s="24"/>
    </row>
    <row r="59" spans="1:8" ht="63">
      <c r="A59" s="1173" t="s">
        <v>43</v>
      </c>
      <c r="B59" s="783" t="s">
        <v>791</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792</v>
      </c>
      <c r="C61" s="1253"/>
      <c r="D61" s="1253">
        <v>50000</v>
      </c>
      <c r="E61" s="782">
        <f t="shared" si="1"/>
        <v>50000</v>
      </c>
      <c r="H61" s="24"/>
    </row>
    <row r="62" spans="1:8" ht="86.25" customHeight="1" thickBot="1">
      <c r="A62" s="1328" t="s">
        <v>49</v>
      </c>
      <c r="B62" s="730" t="s">
        <v>793</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7" t="s">
        <v>728</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1" t="s">
        <v>767</v>
      </c>
      <c r="C75" s="1282"/>
      <c r="D75" s="1282"/>
      <c r="E75" s="1283"/>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768</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761</v>
      </c>
      <c r="B114" s="1257" t="s">
        <v>774</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769</v>
      </c>
      <c r="U116" s="41"/>
      <c r="V116" s="42"/>
      <c r="W116" s="43"/>
      <c r="X116" s="44"/>
      <c r="Y116" s="72"/>
      <c r="Z116" s="1290"/>
      <c r="AA116" s="1291"/>
      <c r="AB116" s="1292"/>
      <c r="AC116" s="22"/>
      <c r="AD116" s="729" t="s">
        <v>770</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771</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773</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C54" sqref="C54"/>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737</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36</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807</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0.26244505329611545</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930</v>
      </c>
      <c r="E44" s="138">
        <f>+'EXHIBIT C'!F10</f>
        <v>857</v>
      </c>
      <c r="F44" s="139">
        <f t="shared" ref="F44:F50" si="0">IF(D44=0,"0",(E44/D44-1))</f>
        <v>-7.8494623655913975E-2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11451.261595547308</v>
      </c>
      <c r="E45" s="142">
        <f>+'EXHIBIT C'!F11</f>
        <v>11046</v>
      </c>
      <c r="F45" s="810">
        <f t="shared" si="0"/>
        <v>-3.5390126421082746E-2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3933.7677725118488</v>
      </c>
      <c r="E46" s="814">
        <f>+'EXHIBIT C'!F12</f>
        <v>3987</v>
      </c>
      <c r="F46" s="810">
        <f t="shared" si="0"/>
        <v>1.3532122526429768E-2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1561.6071428571429</v>
      </c>
      <c r="E47" s="814">
        <f>+'EXHIBIT C'!F13</f>
        <v>1717</v>
      </c>
      <c r="F47" s="810">
        <f t="shared" si="0"/>
        <v>9.9508290451686632E-2</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204.27272727272728</v>
      </c>
      <c r="E48" s="814">
        <f>+'EXHIBIT C'!F14</f>
        <v>208</v>
      </c>
      <c r="F48" s="810">
        <f t="shared" si="0"/>
        <v>1.8246550956831253E-2</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18080.909238189026</v>
      </c>
      <c r="E50" s="145">
        <f>+'EXHIBIT C'!F17</f>
        <v>17815</v>
      </c>
      <c r="F50" s="146">
        <f t="shared" si="0"/>
        <v>-1.4706629776526592E-2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809</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73</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324.47866419294991</v>
      </c>
      <c r="E69" s="159">
        <f>+'EXHIBIT C'!D20</f>
        <v>309</v>
      </c>
      <c r="F69" s="821">
        <f t="shared" si="2"/>
        <v>-4.770318021201414E-2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433.41232227488155</v>
      </c>
      <c r="E70" s="824">
        <f>+'EXHIBIT C'!D21</f>
        <v>415</v>
      </c>
      <c r="F70" s="821">
        <f t="shared" si="2"/>
        <v>-4.2482230727173387E-2</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58.928571428571423</v>
      </c>
      <c r="E71" s="824">
        <f>+'EXHIBIT C'!D22</f>
        <v>125</v>
      </c>
      <c r="F71" s="821">
        <f t="shared" si="2"/>
        <v>1.1212121212121215</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5.7272727272727266</v>
      </c>
      <c r="E72" s="824">
        <f>+'EXHIBIT C'!D23</f>
        <v>24</v>
      </c>
      <c r="F72" s="821">
        <f t="shared" si="2"/>
        <v>3.1904761904761907</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822.54683062367565</v>
      </c>
      <c r="E74" s="161">
        <f>SUM(E68:E73)</f>
        <v>946</v>
      </c>
      <c r="F74" s="162">
        <f t="shared" si="2"/>
        <v>0.15008649329147494</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808</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7283864.2276000008</v>
      </c>
      <c r="E102" s="833">
        <f>+'EXHIBIT D'!G75</f>
        <v>7283864.2276000008</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89090</v>
      </c>
      <c r="E103" s="833">
        <f>'EXHIBIT D'!G77</f>
        <v>89090</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1541928</v>
      </c>
      <c r="E104" s="833">
        <f>'EXHIBIT D'!G81</f>
        <v>1541928</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729807</v>
      </c>
      <c r="E105" s="174">
        <f>'EXHIBIT D'!G76</f>
        <v>729807</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9644689.2276000008</v>
      </c>
      <c r="E106" s="176">
        <f>SUM(E102:E105)</f>
        <v>9644689.2276000008</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739</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4593874.2276000008</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4593874.2276000008</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802</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6374393</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6374393</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91.7899649941657</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194.32876712328766</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803</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804</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806</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736</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North Florida College</v>
      </c>
      <c r="D8" s="1039"/>
      <c r="E8" s="1039"/>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f>5439606-E14</f>
        <v>-934787</v>
      </c>
    </row>
    <row r="14" spans="2:7" ht="25.35" customHeight="1">
      <c r="B14" s="37" t="s">
        <v>185</v>
      </c>
      <c r="D14" s="112"/>
      <c r="E14" s="719">
        <v>6374393</v>
      </c>
    </row>
    <row r="15" spans="2:7" ht="25.35" customHeight="1">
      <c r="B15" s="112"/>
      <c r="C15" s="24"/>
      <c r="D15" s="112"/>
      <c r="E15" s="200"/>
    </row>
    <row r="16" spans="2:7" ht="25.35" customHeight="1">
      <c r="B16" s="24" t="s">
        <v>744</v>
      </c>
      <c r="C16" s="112"/>
      <c r="D16" s="35"/>
      <c r="E16" s="720">
        <f>+E14+E13</f>
        <v>5439606</v>
      </c>
    </row>
    <row r="17" spans="2:7" ht="25.35" customHeight="1">
      <c r="B17" s="112"/>
      <c r="C17" s="35"/>
      <c r="D17" s="112"/>
      <c r="E17" s="201"/>
    </row>
    <row r="18" spans="2:7" ht="25.35" customHeight="1">
      <c r="B18" s="37" t="s">
        <v>186</v>
      </c>
      <c r="C18" s="112"/>
      <c r="D18" s="112"/>
      <c r="E18" s="213">
        <f>+'EXHIBIT D'!G144-SUM(+'EXHIBIT D'!G132+'EXHIBIT D'!G133+'EXHIBIT D'!G134+'EXHIBIT D'!G135)</f>
        <v>12019531.227600001</v>
      </c>
      <c r="G18" s="202"/>
    </row>
    <row r="19" spans="2:7" ht="25.35" customHeight="1">
      <c r="B19" s="37" t="s">
        <v>187</v>
      </c>
      <c r="D19" s="112"/>
      <c r="E19" s="720">
        <f>+'EXHIBIT D'!G132+'EXHIBIT D'!G133+'EXHIBIT D'!G134+'EXHIBIT D'!G135</f>
        <v>45000</v>
      </c>
    </row>
    <row r="20" spans="2:7" ht="25.35" customHeight="1">
      <c r="B20" s="112"/>
      <c r="D20" s="112"/>
      <c r="E20" s="208"/>
    </row>
    <row r="21" spans="2:7" ht="25.35" customHeight="1">
      <c r="B21" s="37" t="s">
        <v>188</v>
      </c>
      <c r="C21" s="112"/>
      <c r="D21" s="112"/>
      <c r="E21" s="721">
        <f>+E19+E18</f>
        <v>12064531.227600001</v>
      </c>
    </row>
    <row r="22" spans="2:7" ht="25.35" customHeight="1">
      <c r="B22" s="112"/>
      <c r="C22" s="112"/>
      <c r="D22" s="112"/>
      <c r="E22" s="208"/>
    </row>
    <row r="23" spans="2:7" ht="25.35" customHeight="1">
      <c r="B23" s="112" t="s">
        <v>189</v>
      </c>
      <c r="C23" s="112"/>
      <c r="D23" s="112"/>
      <c r="E23" s="721">
        <f>+E21+E16</f>
        <v>17504137.227600001</v>
      </c>
    </row>
    <row r="24" spans="2:7" ht="25.35" customHeight="1">
      <c r="B24" s="112"/>
      <c r="C24" s="112"/>
      <c r="D24" s="112"/>
      <c r="E24" s="208"/>
    </row>
    <row r="25" spans="2:7" ht="25.35" customHeight="1">
      <c r="B25" s="37" t="s">
        <v>190</v>
      </c>
      <c r="C25" s="112"/>
      <c r="D25" s="112"/>
      <c r="E25" s="214">
        <f>'EXHIBIT D'!G260-SUM(+'EXHIBIT D'!G231+'EXHIBIT D'!G232+'EXHIBIT D'!G233+'EXHIBIT D'!G234+'EXHIBIT D'!G235)</f>
        <v>12810263</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12810263</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4693874.2276000008</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f>+D32+D33</f>
        <v>4693874.2276000008</v>
      </c>
      <c r="J35" s="149"/>
    </row>
    <row r="36" spans="2:10" ht="25.35" customHeight="1">
      <c r="B36" s="37" t="s">
        <v>747</v>
      </c>
      <c r="C36" s="112"/>
      <c r="D36" s="112"/>
      <c r="E36" s="721">
        <f>-'EXHIBIT D'!G276</f>
        <v>6374393</v>
      </c>
      <c r="J36" s="207"/>
    </row>
    <row r="37" spans="2:10" ht="25.35" customHeight="1">
      <c r="D37" s="112"/>
      <c r="E37" s="206"/>
      <c r="J37" s="149"/>
    </row>
    <row r="38" spans="2:10" ht="25.35" customHeight="1">
      <c r="B38" s="112" t="s">
        <v>748</v>
      </c>
      <c r="D38" s="112"/>
      <c r="E38" s="720">
        <f>+E35-E36</f>
        <v>-1680518.7723999992</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4593874.2276000008</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0.26244505329611545</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B14" sqref="B14"/>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752</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North Florida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4.29</v>
      </c>
      <c r="D14" s="1191">
        <v>6.55</v>
      </c>
      <c r="E14" s="1191">
        <v>6.56</v>
      </c>
      <c r="F14" s="1191">
        <v>2.81</v>
      </c>
      <c r="G14" s="844">
        <f>SUM(B14:F14)</f>
        <v>112.00000000000001</v>
      </c>
      <c r="H14" s="474">
        <f>G14*30</f>
        <v>3360.0000000000005</v>
      </c>
      <c r="I14" s="24"/>
    </row>
    <row r="15" spans="1:18" s="37" customFormat="1" ht="20.100000000000001" customHeight="1">
      <c r="A15" s="112" t="s">
        <v>212</v>
      </c>
      <c r="B15" s="1192">
        <v>76</v>
      </c>
      <c r="C15" s="1192">
        <v>5.3</v>
      </c>
      <c r="D15" s="1192">
        <v>6.5</v>
      </c>
      <c r="E15" s="1192">
        <v>8.1999999999999993</v>
      </c>
      <c r="F15" s="1192">
        <v>3.8</v>
      </c>
      <c r="G15" s="844">
        <f>SUM(B15:F15)</f>
        <v>99.8</v>
      </c>
      <c r="H15" s="437">
        <f>G15*30</f>
        <v>2994</v>
      </c>
      <c r="I15" s="24"/>
    </row>
    <row r="16" spans="1:18" s="37" customFormat="1" ht="20.100000000000001" customHeight="1" thickBot="1">
      <c r="A16" s="35" t="s">
        <v>82</v>
      </c>
      <c r="B16" s="1193">
        <v>71</v>
      </c>
      <c r="C16" s="1193">
        <v>7</v>
      </c>
      <c r="D16" s="1194"/>
      <c r="E16" s="1193">
        <v>3.5</v>
      </c>
      <c r="F16" s="1193">
        <v>3.5</v>
      </c>
      <c r="G16" s="438">
        <f>SUM(B16:F16)</f>
        <v>85</v>
      </c>
      <c r="H16" s="845">
        <f>G16*30</f>
        <v>2550</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45</v>
      </c>
      <c r="C22" s="675"/>
      <c r="D22" s="675"/>
      <c r="E22" s="675"/>
      <c r="F22" s="675"/>
      <c r="G22" s="443">
        <f>B22</f>
        <v>45</v>
      </c>
      <c r="H22" s="471">
        <f>G22*2</f>
        <v>90</v>
      </c>
    </row>
    <row r="23" spans="1:11" s="37" customFormat="1" ht="20.100000000000001" customHeight="1" thickBot="1">
      <c r="A23" s="112" t="s">
        <v>218</v>
      </c>
      <c r="B23" s="846">
        <v>45</v>
      </c>
      <c r="C23" s="476"/>
      <c r="D23" s="476"/>
      <c r="E23" s="476"/>
      <c r="F23" s="476"/>
      <c r="G23" s="847">
        <f>B23</f>
        <v>45</v>
      </c>
      <c r="H23" s="845">
        <f>G23*2</f>
        <v>90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194.33</v>
      </c>
      <c r="D29" s="1191">
        <v>5.5</v>
      </c>
      <c r="E29" s="676">
        <f>D14</f>
        <v>6.55</v>
      </c>
      <c r="F29" s="1191">
        <v>7.45</v>
      </c>
      <c r="G29" s="1191">
        <v>3.71</v>
      </c>
      <c r="H29" s="448">
        <f>SUM(B29:G29)</f>
        <v>309.33</v>
      </c>
      <c r="I29" s="468">
        <f>H29*30</f>
        <v>9279.9</v>
      </c>
      <c r="J29" s="24"/>
    </row>
    <row r="30" spans="1:11" s="37" customFormat="1" ht="20.100000000000001" customHeight="1">
      <c r="A30" s="112" t="str">
        <f t="shared" si="0"/>
        <v>LOWER LEVEL - CREDIT (A &amp; P, PSV, DEVELOPMENTAL EDUCATION AND EPI)</v>
      </c>
      <c r="B30" s="848">
        <f t="shared" si="0"/>
        <v>76</v>
      </c>
      <c r="C30" s="1195">
        <v>228</v>
      </c>
      <c r="D30" s="1195">
        <v>14.4</v>
      </c>
      <c r="E30" s="849">
        <f>D15</f>
        <v>6.5</v>
      </c>
      <c r="F30" s="1195">
        <v>57</v>
      </c>
      <c r="G30" s="1195">
        <v>14.4</v>
      </c>
      <c r="H30" s="844">
        <f>SUM(B30:G30)</f>
        <v>396.29999999999995</v>
      </c>
      <c r="I30" s="437">
        <f>H30*30</f>
        <v>11888.999999999998</v>
      </c>
    </row>
    <row r="31" spans="1:11" s="37" customFormat="1" ht="20.100000000000001" customHeight="1" thickBot="1">
      <c r="A31" s="112" t="str">
        <f t="shared" si="0"/>
        <v>CAREER CERTIFICATE AND APPLIED TECHNOLOGY DIPLOMA</v>
      </c>
      <c r="B31" s="527">
        <f t="shared" si="0"/>
        <v>71</v>
      </c>
      <c r="C31" s="1192">
        <v>213</v>
      </c>
      <c r="D31" s="1192">
        <v>27</v>
      </c>
      <c r="E31" s="405"/>
      <c r="F31" s="1192">
        <v>14</v>
      </c>
      <c r="G31" s="1192">
        <v>14</v>
      </c>
      <c r="H31" s="438">
        <f>SUM(B31:G31)</f>
        <v>339</v>
      </c>
      <c r="I31" s="845">
        <f>H31*30</f>
        <v>10170</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45</v>
      </c>
      <c r="C37" s="675"/>
      <c r="D37" s="675"/>
      <c r="E37" s="675"/>
      <c r="F37" s="675"/>
      <c r="G37" s="675"/>
      <c r="H37" s="448">
        <f>B37</f>
        <v>45</v>
      </c>
      <c r="I37" s="468">
        <f>H37*2</f>
        <v>90</v>
      </c>
      <c r="J37" s="24"/>
      <c r="K37" s="24"/>
    </row>
    <row r="38" spans="1:11" s="37" customFormat="1" ht="20.100000000000001" customHeight="1" thickBot="1">
      <c r="A38" s="35" t="str">
        <f>A23</f>
        <v>ADULT GENERAL EDUCATION AND SECONDARY (PER HALF YEAR)</v>
      </c>
      <c r="B38" s="851">
        <f>B23</f>
        <v>45</v>
      </c>
      <c r="C38" s="476"/>
      <c r="D38" s="476"/>
      <c r="E38" s="476"/>
      <c r="F38" s="476"/>
      <c r="G38" s="476"/>
      <c r="H38" s="853">
        <f>B38</f>
        <v>45</v>
      </c>
      <c r="I38" s="470">
        <f>H38*2</f>
        <v>90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753</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50" zoomScaleNormal="50" zoomScaleSheetLayoutView="50" zoomScalePageLayoutView="50" workbookViewId="0">
      <selection activeCell="F63" sqref="F63"/>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754</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North Florida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857</v>
      </c>
      <c r="E10" s="680">
        <v>0</v>
      </c>
      <c r="F10" s="681">
        <f t="shared" ref="F10:F15" si="0">+D10-E10</f>
        <v>857</v>
      </c>
      <c r="G10" s="681">
        <f>'EXHIBIT B'!B14</f>
        <v>91.79</v>
      </c>
      <c r="H10" s="682">
        <f>ROUND(+F10*G10,0)</f>
        <v>78664</v>
      </c>
      <c r="I10" s="149"/>
      <c r="J10" s="149"/>
    </row>
    <row r="11" spans="1:10" ht="20.100000000000001" customHeight="1">
      <c r="A11" s="855" t="s">
        <v>205</v>
      </c>
      <c r="B11" s="855" t="s">
        <v>133</v>
      </c>
      <c r="C11" s="856" t="s">
        <v>233</v>
      </c>
      <c r="D11" s="854">
        <v>16621</v>
      </c>
      <c r="E11" s="854">
        <v>5575</v>
      </c>
      <c r="F11" s="857">
        <f t="shared" si="0"/>
        <v>11046</v>
      </c>
      <c r="G11" s="857">
        <f>+'EXHIBIT B'!B15</f>
        <v>76</v>
      </c>
      <c r="H11" s="858">
        <f t="shared" ref="H11:H15" si="1">ROUND(+F11*G11,0)</f>
        <v>839496</v>
      </c>
      <c r="I11" s="149"/>
      <c r="J11" s="149"/>
    </row>
    <row r="12" spans="1:10" ht="20.100000000000001" customHeight="1">
      <c r="A12" s="855" t="s">
        <v>205</v>
      </c>
      <c r="B12" s="855" t="s">
        <v>134</v>
      </c>
      <c r="C12" s="856" t="s">
        <v>234</v>
      </c>
      <c r="D12" s="854">
        <v>4194</v>
      </c>
      <c r="E12" s="854">
        <v>207</v>
      </c>
      <c r="F12" s="857">
        <f t="shared" si="0"/>
        <v>3987</v>
      </c>
      <c r="G12" s="857">
        <f>+'EXHIBIT B'!B15</f>
        <v>76</v>
      </c>
      <c r="H12" s="858">
        <f t="shared" si="1"/>
        <v>303012</v>
      </c>
      <c r="I12" s="149"/>
      <c r="J12" s="149"/>
    </row>
    <row r="13" spans="1:10" ht="20.100000000000001" customHeight="1">
      <c r="A13" s="855" t="s">
        <v>205</v>
      </c>
      <c r="B13" s="855" t="s">
        <v>82</v>
      </c>
      <c r="C13" s="856" t="s">
        <v>235</v>
      </c>
      <c r="D13" s="859">
        <v>1737</v>
      </c>
      <c r="E13" s="859">
        <v>20</v>
      </c>
      <c r="F13" s="857">
        <f t="shared" si="0"/>
        <v>1717</v>
      </c>
      <c r="G13" s="857">
        <f>+'EXHIBIT B'!B16</f>
        <v>71</v>
      </c>
      <c r="H13" s="858">
        <f t="shared" si="1"/>
        <v>121907</v>
      </c>
      <c r="I13" s="149"/>
      <c r="J13" s="149"/>
    </row>
    <row r="14" spans="1:10" ht="20.100000000000001" customHeight="1">
      <c r="A14" s="855" t="s">
        <v>205</v>
      </c>
      <c r="B14" s="855" t="s">
        <v>135</v>
      </c>
      <c r="C14" s="856" t="s">
        <v>236</v>
      </c>
      <c r="D14" s="854">
        <v>208</v>
      </c>
      <c r="E14" s="854">
        <v>0</v>
      </c>
      <c r="F14" s="857">
        <f t="shared" si="0"/>
        <v>208</v>
      </c>
      <c r="G14" s="857">
        <f>+'EXHIBIT B'!B15</f>
        <v>76</v>
      </c>
      <c r="H14" s="858">
        <f t="shared" si="1"/>
        <v>15808</v>
      </c>
      <c r="I14" s="149"/>
      <c r="J14" s="149"/>
    </row>
    <row r="15" spans="1:10" ht="20.100000000000001" customHeight="1" thickBot="1">
      <c r="A15" s="860" t="s">
        <v>205</v>
      </c>
      <c r="B15" s="860" t="s">
        <v>136</v>
      </c>
      <c r="C15" s="861">
        <v>40160</v>
      </c>
      <c r="D15" s="862">
        <v>0</v>
      </c>
      <c r="E15" s="862">
        <v>0</v>
      </c>
      <c r="F15" s="863">
        <f t="shared" si="0"/>
        <v>0</v>
      </c>
      <c r="G15" s="863">
        <f>+'EXHIBIT B'!B15</f>
        <v>76</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23617</v>
      </c>
      <c r="E17" s="386">
        <f>SUM(E10:E15)</f>
        <v>5802</v>
      </c>
      <c r="F17" s="387">
        <f>SUM(F10:F15)</f>
        <v>17815</v>
      </c>
      <c r="G17" s="387"/>
      <c r="H17" s="388">
        <f>SUM(H10:H15)</f>
        <v>1358887</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73</v>
      </c>
      <c r="E19" s="867">
        <f>'EXHIBIT B'!C29</f>
        <v>194.33</v>
      </c>
      <c r="F19" s="868">
        <f t="shared" ref="F19:F24" si="2">ROUND(+D19*E19,0)</f>
        <v>14186</v>
      </c>
      <c r="G19" s="390"/>
      <c r="H19" s="390"/>
    </row>
    <row r="20" spans="1:10" ht="20.100000000000001" customHeight="1">
      <c r="A20" s="869" t="s">
        <v>220</v>
      </c>
      <c r="B20" s="869" t="s">
        <v>133</v>
      </c>
      <c r="C20" s="870" t="s">
        <v>240</v>
      </c>
      <c r="D20" s="877">
        <v>309</v>
      </c>
      <c r="E20" s="871">
        <f>+'EXHIBIT B'!C30</f>
        <v>228</v>
      </c>
      <c r="F20" s="872">
        <f t="shared" si="2"/>
        <v>70452</v>
      </c>
      <c r="G20" s="391"/>
      <c r="H20" s="391"/>
    </row>
    <row r="21" spans="1:10" ht="20.100000000000001" customHeight="1">
      <c r="A21" s="869" t="s">
        <v>220</v>
      </c>
      <c r="B21" s="869" t="s">
        <v>134</v>
      </c>
      <c r="C21" s="870" t="s">
        <v>241</v>
      </c>
      <c r="D21" s="877">
        <v>415</v>
      </c>
      <c r="E21" s="871">
        <f>+'EXHIBIT B'!C30</f>
        <v>228</v>
      </c>
      <c r="F21" s="872">
        <f t="shared" si="2"/>
        <v>94620</v>
      </c>
      <c r="G21" s="391"/>
      <c r="H21" s="391"/>
    </row>
    <row r="22" spans="1:10" ht="20.100000000000001" customHeight="1">
      <c r="A22" s="869" t="s">
        <v>220</v>
      </c>
      <c r="B22" s="869" t="s">
        <v>82</v>
      </c>
      <c r="C22" s="870" t="s">
        <v>242</v>
      </c>
      <c r="D22" s="877">
        <v>125</v>
      </c>
      <c r="E22" s="871">
        <f>+'EXHIBIT B'!C31</f>
        <v>213</v>
      </c>
      <c r="F22" s="872">
        <f t="shared" si="2"/>
        <v>26625</v>
      </c>
      <c r="G22" s="391"/>
      <c r="H22" s="391"/>
    </row>
    <row r="23" spans="1:10" ht="20.100000000000001" customHeight="1">
      <c r="A23" s="869" t="s">
        <v>220</v>
      </c>
      <c r="B23" s="869" t="s">
        <v>135</v>
      </c>
      <c r="C23" s="870" t="s">
        <v>243</v>
      </c>
      <c r="D23" s="877">
        <v>24</v>
      </c>
      <c r="E23" s="871">
        <f>+'EXHIBIT B'!C30</f>
        <v>228</v>
      </c>
      <c r="F23" s="872">
        <f t="shared" si="2"/>
        <v>5472</v>
      </c>
      <c r="G23" s="391"/>
      <c r="H23" s="391"/>
    </row>
    <row r="24" spans="1:10" ht="20.100000000000001" customHeight="1" thickBot="1">
      <c r="A24" s="745" t="s">
        <v>220</v>
      </c>
      <c r="B24" s="745" t="s">
        <v>136</v>
      </c>
      <c r="C24" s="746">
        <v>40360</v>
      </c>
      <c r="D24" s="1197">
        <v>0</v>
      </c>
      <c r="E24" s="747">
        <f>+'EXHIBIT B'!C30</f>
        <v>228</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946</v>
      </c>
      <c r="E26" s="875"/>
      <c r="F26" s="876">
        <f>SUM(F19:F24)</f>
        <v>211355</v>
      </c>
      <c r="G26" s="395"/>
      <c r="H26" s="395"/>
    </row>
    <row r="27" spans="1:10" ht="20.100000000000001" customHeight="1" thickBot="1">
      <c r="A27" s="396" t="s">
        <v>244</v>
      </c>
      <c r="B27" s="396"/>
      <c r="C27" s="396"/>
      <c r="D27" s="396"/>
      <c r="E27" s="396"/>
      <c r="F27" s="397"/>
      <c r="G27" s="683"/>
      <c r="H27" s="398">
        <f>H17+F26</f>
        <v>1570242</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0</v>
      </c>
      <c r="E33" s="877">
        <v>0</v>
      </c>
      <c r="F33" s="871">
        <f>D33-E33</f>
        <v>0</v>
      </c>
      <c r="G33" s="871">
        <f>'EXHIBIT B'!B20</f>
        <v>30</v>
      </c>
      <c r="H33" s="872">
        <f>ROUND(+F33*G33,0)</f>
        <v>0</v>
      </c>
    </row>
    <row r="34" spans="1:12" ht="20.100000000000001" customHeight="1">
      <c r="A34" s="869" t="s">
        <v>255</v>
      </c>
      <c r="B34" s="869" t="s">
        <v>251</v>
      </c>
      <c r="C34" s="870">
        <v>40180</v>
      </c>
      <c r="D34" s="877">
        <v>0</v>
      </c>
      <c r="E34" s="877">
        <v>0</v>
      </c>
      <c r="F34" s="871">
        <f>D34-E34</f>
        <v>0</v>
      </c>
      <c r="G34" s="871">
        <f>'EXHIBIT B'!B22</f>
        <v>45</v>
      </c>
      <c r="H34" s="872">
        <f>ROUND(+F34*G34,0)</f>
        <v>0</v>
      </c>
    </row>
    <row r="35" spans="1:12" ht="20.100000000000001" customHeight="1" thickBot="1">
      <c r="A35" s="878" t="s">
        <v>255</v>
      </c>
      <c r="B35" s="878" t="s">
        <v>253</v>
      </c>
      <c r="C35" s="879">
        <v>40190</v>
      </c>
      <c r="D35" s="880">
        <v>0</v>
      </c>
      <c r="E35" s="880">
        <v>0</v>
      </c>
      <c r="F35" s="881">
        <f>D35-E35</f>
        <v>0</v>
      </c>
      <c r="G35" s="881">
        <f>'EXHIBIT B'!B23</f>
        <v>45</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45</v>
      </c>
      <c r="F41" s="872">
        <f>D41*E41</f>
        <v>0</v>
      </c>
      <c r="G41" s="25"/>
      <c r="H41" s="25"/>
    </row>
    <row r="42" spans="1:12" ht="20.100000000000001" customHeight="1" thickBot="1">
      <c r="A42" s="878" t="s">
        <v>255</v>
      </c>
      <c r="B42" s="878" t="s">
        <v>253</v>
      </c>
      <c r="C42" s="879" t="s">
        <v>259</v>
      </c>
      <c r="D42" s="880">
        <v>0</v>
      </c>
      <c r="E42" s="881">
        <f>'EXHIBIT B'!B38</f>
        <v>45</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1570242</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9">
        <v>45000</v>
      </c>
      <c r="C63" s="1200">
        <v>3</v>
      </c>
      <c r="D63" s="1201"/>
      <c r="E63" s="1200">
        <v>1</v>
      </c>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45000</v>
      </c>
      <c r="C69" s="1210"/>
      <c r="D69" s="1211"/>
      <c r="E69" s="1210"/>
      <c r="F69" s="1211"/>
    </row>
    <row r="70" spans="1:9" ht="24.95" customHeight="1" thickBot="1">
      <c r="A70" s="374" t="s">
        <v>270</v>
      </c>
      <c r="B70" s="375">
        <f>+B69+B60</f>
        <v>45000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19"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North Florida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234" zoomScale="70" zoomScaleNormal="70" zoomScaleSheetLayoutView="70" zoomScalePageLayoutView="70" workbookViewId="0">
      <selection activeCell="G272" sqref="G272"/>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North Florida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755</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78664</v>
      </c>
      <c r="H12" s="219"/>
    </row>
    <row r="13" spans="1:8" ht="20.100000000000001" customHeight="1">
      <c r="A13" s="625" t="s">
        <v>205</v>
      </c>
      <c r="B13" s="226"/>
      <c r="C13" s="219" t="s">
        <v>133</v>
      </c>
      <c r="D13" s="226"/>
      <c r="E13" s="226"/>
      <c r="F13" s="232" t="s">
        <v>233</v>
      </c>
      <c r="G13" s="231">
        <f>+'EXHIBIT C'!H11+'EXHIBIT C(2)'!E14</f>
        <v>839496</v>
      </c>
      <c r="H13" s="219"/>
    </row>
    <row r="14" spans="1:8" ht="20.100000000000001" customHeight="1">
      <c r="A14" s="625" t="s">
        <v>205</v>
      </c>
      <c r="B14" s="226"/>
      <c r="C14" s="226" t="s">
        <v>134</v>
      </c>
      <c r="D14" s="226"/>
      <c r="E14" s="226"/>
      <c r="F14" s="232" t="s">
        <v>234</v>
      </c>
      <c r="G14" s="649">
        <f>+'EXHIBIT C'!H12+'EXHIBIT C(2)'!E15</f>
        <v>303012</v>
      </c>
      <c r="H14" s="219"/>
    </row>
    <row r="15" spans="1:8" ht="20.100000000000001" customHeight="1">
      <c r="A15" s="625" t="s">
        <v>205</v>
      </c>
      <c r="B15" s="226"/>
      <c r="C15" s="233" t="s">
        <v>287</v>
      </c>
      <c r="D15" s="226"/>
      <c r="E15" s="226"/>
      <c r="F15" s="232" t="s">
        <v>235</v>
      </c>
      <c r="G15" s="649">
        <f>+'EXHIBIT C'!H13+'EXHIBIT C(2)'!E16</f>
        <v>121907</v>
      </c>
      <c r="H15" s="219"/>
    </row>
    <row r="16" spans="1:8" ht="20.100000000000001" customHeight="1">
      <c r="A16" s="625" t="s">
        <v>205</v>
      </c>
      <c r="B16" s="226"/>
      <c r="C16" s="233" t="s">
        <v>288</v>
      </c>
      <c r="D16" s="226"/>
      <c r="E16" s="226"/>
      <c r="F16" s="232" t="s">
        <v>236</v>
      </c>
      <c r="G16" s="650">
        <f>+'EXHIBIT C'!H14+'EXHIBIT C(2)'!E17</f>
        <v>15808</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1358887</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14186</v>
      </c>
      <c r="H21" s="662"/>
    </row>
    <row r="22" spans="1:8" ht="20.100000000000001" customHeight="1">
      <c r="A22" s="626" t="s">
        <v>220</v>
      </c>
      <c r="B22" s="226"/>
      <c r="C22" s="219" t="s">
        <v>133</v>
      </c>
      <c r="D22" s="226"/>
      <c r="E22" s="226"/>
      <c r="F22" s="232" t="s">
        <v>240</v>
      </c>
      <c r="G22" s="237">
        <f>+'EXHIBIT C'!F20+'EXHIBIT C(2)'!E23</f>
        <v>70452</v>
      </c>
      <c r="H22" s="219"/>
    </row>
    <row r="23" spans="1:8" ht="20.100000000000001" customHeight="1">
      <c r="A23" s="626" t="s">
        <v>220</v>
      </c>
      <c r="B23" s="226"/>
      <c r="C23" s="226" t="s">
        <v>134</v>
      </c>
      <c r="D23" s="226"/>
      <c r="E23" s="226"/>
      <c r="F23" s="232" t="s">
        <v>241</v>
      </c>
      <c r="G23" s="242">
        <f>+'EXHIBIT C'!F21+'EXHIBIT C(2)'!E24</f>
        <v>94620</v>
      </c>
      <c r="H23" s="219"/>
    </row>
    <row r="24" spans="1:8" ht="20.100000000000001" customHeight="1">
      <c r="A24" s="626" t="s">
        <v>220</v>
      </c>
      <c r="B24" s="226"/>
      <c r="C24" s="233" t="s">
        <v>287</v>
      </c>
      <c r="D24" s="226"/>
      <c r="E24" s="226"/>
      <c r="F24" s="232" t="s">
        <v>242</v>
      </c>
      <c r="G24" s="242">
        <f>+'EXHIBIT C'!F22+'EXHIBIT C(2)'!E25</f>
        <v>26625</v>
      </c>
      <c r="H24" s="219"/>
    </row>
    <row r="25" spans="1:8" ht="20.100000000000001" customHeight="1">
      <c r="A25" s="626" t="s">
        <v>220</v>
      </c>
      <c r="B25" s="226"/>
      <c r="C25" s="233" t="s">
        <v>288</v>
      </c>
      <c r="D25" s="226"/>
      <c r="E25" s="226"/>
      <c r="F25" s="232" t="s">
        <v>243</v>
      </c>
      <c r="G25" s="242">
        <f>+'EXHIBIT C'!F23+'EXHIBIT C(2)'!E26</f>
        <v>5472</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211355</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1570242</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2000</v>
      </c>
      <c r="H49" s="219"/>
    </row>
    <row r="50" spans="1:8" ht="20.100000000000001" customHeight="1">
      <c r="A50" s="625" t="s">
        <v>306</v>
      </c>
      <c r="B50" s="226"/>
      <c r="C50" s="226"/>
      <c r="D50" s="226"/>
      <c r="E50" s="226"/>
      <c r="F50" s="245" t="s">
        <v>307</v>
      </c>
      <c r="G50" s="569">
        <v>100000</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v>10000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1500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65000</v>
      </c>
      <c r="H58" s="219"/>
    </row>
    <row r="59" spans="1:8" ht="20.100000000000001" customHeight="1">
      <c r="A59" s="626" t="s">
        <v>323</v>
      </c>
      <c r="B59" s="229"/>
      <c r="C59" s="229"/>
      <c r="D59" s="229"/>
      <c r="E59" s="229"/>
      <c r="F59" s="245" t="s">
        <v>324</v>
      </c>
      <c r="G59" s="569">
        <v>56000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1804742</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300000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300000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7283864.2276000008</v>
      </c>
      <c r="H75" s="219"/>
    </row>
    <row r="76" spans="1:8" ht="20.100000000000001" customHeight="1">
      <c r="A76" s="625" t="s">
        <v>799</v>
      </c>
      <c r="B76" s="226"/>
      <c r="C76" s="226"/>
      <c r="D76" s="226"/>
      <c r="E76" s="226"/>
      <c r="F76" s="235">
        <v>42130</v>
      </c>
      <c r="G76" s="652">
        <v>729807</v>
      </c>
      <c r="H76" s="219"/>
    </row>
    <row r="77" spans="1:8" ht="20.100000000000001" customHeight="1">
      <c r="A77" s="628" t="s">
        <v>341</v>
      </c>
      <c r="B77" s="629"/>
      <c r="C77" s="629"/>
      <c r="D77" s="629"/>
      <c r="E77" s="629"/>
      <c r="F77" s="248" t="s">
        <v>342</v>
      </c>
      <c r="G77" s="653">
        <v>89090</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50000</v>
      </c>
      <c r="H80" s="219"/>
    </row>
    <row r="81" spans="1:10" ht="20.100000000000001" customHeight="1">
      <c r="A81" s="625" t="s">
        <v>349</v>
      </c>
      <c r="B81" s="226"/>
      <c r="C81" s="226"/>
      <c r="D81" s="226"/>
      <c r="E81" s="226"/>
      <c r="F81" s="232" t="s">
        <v>350</v>
      </c>
      <c r="G81" s="651">
        <f>'CHECK SHEET'!D104</f>
        <v>1541928</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9694689.2276000008</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150000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150000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25000</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25000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50000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15000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100</v>
      </c>
      <c r="H125" s="219"/>
    </row>
    <row r="126" spans="1:8" ht="20.100000000000001" customHeight="1">
      <c r="A126" s="625" t="s">
        <v>395</v>
      </c>
      <c r="B126" s="226"/>
      <c r="C126" s="226"/>
      <c r="D126" s="226"/>
      <c r="E126" s="226"/>
      <c r="F126" s="232" t="s">
        <v>396</v>
      </c>
      <c r="G126" s="570">
        <v>5000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20100</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45000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735</v>
      </c>
      <c r="B138" s="226"/>
      <c r="C138" s="226"/>
      <c r="D138" s="226"/>
      <c r="E138" s="226"/>
      <c r="F138" s="1255"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45000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12064531.227600001</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170618</v>
      </c>
      <c r="H148" s="219"/>
    </row>
    <row r="149" spans="1:8" ht="20.100000000000001" customHeight="1">
      <c r="A149" s="625" t="s">
        <v>417</v>
      </c>
      <c r="B149" s="219"/>
      <c r="C149" s="219"/>
      <c r="D149" s="219"/>
      <c r="E149" s="219"/>
      <c r="F149" s="232" t="s">
        <v>418</v>
      </c>
      <c r="G149" s="574">
        <v>313631</v>
      </c>
      <c r="H149" s="219"/>
    </row>
    <row r="150" spans="1:8" ht="20.100000000000001" customHeight="1">
      <c r="A150" s="625" t="s">
        <v>419</v>
      </c>
      <c r="B150" s="219"/>
      <c r="C150" s="219"/>
      <c r="D150" s="219"/>
      <c r="E150" s="219"/>
      <c r="F150" s="232" t="s">
        <v>420</v>
      </c>
      <c r="G150" s="574">
        <v>367702</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1565954</v>
      </c>
      <c r="H153" s="219"/>
    </row>
    <row r="154" spans="1:8" ht="20.100000000000001" customHeight="1">
      <c r="A154" s="625" t="s">
        <v>427</v>
      </c>
      <c r="B154" s="226"/>
      <c r="C154" s="226"/>
      <c r="D154" s="226"/>
      <c r="E154" s="226"/>
      <c r="F154" s="232" t="s">
        <v>428</v>
      </c>
      <c r="G154" s="574">
        <v>224986</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2365767</v>
      </c>
      <c r="H163" s="219"/>
    </row>
    <row r="164" spans="1:8" ht="20.100000000000001" customHeight="1">
      <c r="A164" s="625" t="s">
        <v>446</v>
      </c>
      <c r="B164" s="226"/>
      <c r="C164" s="226"/>
      <c r="D164" s="226"/>
      <c r="E164" s="226"/>
      <c r="F164" s="232" t="s">
        <v>447</v>
      </c>
      <c r="G164" s="574">
        <v>31160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1081200</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349460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9800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208950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1000</v>
      </c>
      <c r="H185" s="219"/>
    </row>
    <row r="186" spans="1:8" ht="20.100000000000001" customHeight="1">
      <c r="A186" s="625" t="s">
        <v>487</v>
      </c>
      <c r="B186" s="226"/>
      <c r="C186" s="226"/>
      <c r="D186" s="226"/>
      <c r="E186" s="226"/>
      <c r="F186" s="232" t="s">
        <v>488</v>
      </c>
      <c r="G186" s="574">
        <v>472915</v>
      </c>
      <c r="H186" s="219"/>
    </row>
    <row r="187" spans="1:8" ht="20.100000000000001" customHeight="1">
      <c r="A187" s="625" t="s">
        <v>489</v>
      </c>
      <c r="B187" s="226"/>
      <c r="C187" s="226"/>
      <c r="D187" s="226"/>
      <c r="E187" s="226"/>
      <c r="F187" s="232" t="s">
        <v>490</v>
      </c>
      <c r="G187" s="574">
        <v>718390</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1000736</v>
      </c>
      <c r="H192" s="219"/>
    </row>
    <row r="193" spans="1:8" ht="20.100000000000001" customHeight="1">
      <c r="A193" s="625" t="s">
        <v>500</v>
      </c>
      <c r="B193" s="226"/>
      <c r="C193" s="226"/>
      <c r="D193" s="226"/>
      <c r="E193" s="226"/>
      <c r="F193" s="232" t="s">
        <v>501</v>
      </c>
      <c r="G193" s="574">
        <v>40000</v>
      </c>
      <c r="H193" s="219"/>
    </row>
    <row r="194" spans="1:8" ht="20.100000000000001" customHeight="1">
      <c r="A194" s="625" t="s">
        <v>502</v>
      </c>
      <c r="B194" s="226"/>
      <c r="C194" s="226"/>
      <c r="D194" s="226"/>
      <c r="E194" s="226"/>
      <c r="F194" s="232" t="s">
        <v>503</v>
      </c>
      <c r="G194" s="574">
        <v>100000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9022269</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156875</v>
      </c>
      <c r="H200" s="219"/>
    </row>
    <row r="201" spans="1:8" ht="20.100000000000001" customHeight="1">
      <c r="A201" s="625" t="s">
        <v>508</v>
      </c>
      <c r="B201" s="226"/>
      <c r="C201" s="226"/>
      <c r="D201" s="226"/>
      <c r="E201" s="226"/>
      <c r="F201" s="232" t="s">
        <v>509</v>
      </c>
      <c r="G201" s="574">
        <v>12740</v>
      </c>
      <c r="H201" s="219"/>
    </row>
    <row r="202" spans="1:8" ht="20.100000000000001" customHeight="1">
      <c r="A202" s="625" t="s">
        <v>510</v>
      </c>
      <c r="B202" s="226"/>
      <c r="C202" s="226"/>
      <c r="D202" s="226"/>
      <c r="E202" s="226"/>
      <c r="F202" s="232" t="s">
        <v>511</v>
      </c>
      <c r="G202" s="574">
        <v>98500</v>
      </c>
      <c r="H202" s="219"/>
    </row>
    <row r="203" spans="1:8" ht="20.100000000000001" customHeight="1">
      <c r="A203" s="625" t="s">
        <v>512</v>
      </c>
      <c r="B203" s="226"/>
      <c r="C203" s="226"/>
      <c r="D203" s="226"/>
      <c r="E203" s="226"/>
      <c r="F203" s="232" t="s">
        <v>513</v>
      </c>
      <c r="G203" s="574">
        <v>59220</v>
      </c>
      <c r="H203" s="219"/>
    </row>
    <row r="204" spans="1:8" ht="20.100000000000001" customHeight="1">
      <c r="A204" s="625" t="s">
        <v>514</v>
      </c>
      <c r="B204" s="226"/>
      <c r="C204" s="226"/>
      <c r="D204" s="226"/>
      <c r="E204" s="226"/>
      <c r="F204" s="232" t="s">
        <v>515</v>
      </c>
      <c r="G204" s="574">
        <v>331515</v>
      </c>
      <c r="H204" s="219"/>
    </row>
    <row r="205" spans="1:8" ht="20.100000000000001" customHeight="1">
      <c r="A205" s="625" t="s">
        <v>516</v>
      </c>
      <c r="B205" s="226"/>
      <c r="C205" s="226"/>
      <c r="D205" s="226"/>
      <c r="E205" s="226"/>
      <c r="F205" s="232" t="s">
        <v>517</v>
      </c>
      <c r="G205" s="574">
        <v>40000</v>
      </c>
      <c r="H205" s="219"/>
    </row>
    <row r="206" spans="1:8" ht="20.100000000000001" customHeight="1">
      <c r="A206" s="625" t="s">
        <v>733</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273000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60000</v>
      </c>
      <c r="H209" s="219"/>
    </row>
    <row r="210" spans="1:8" ht="20.100000000000001" customHeight="1">
      <c r="A210" s="625" t="s">
        <v>524</v>
      </c>
      <c r="B210" s="226"/>
      <c r="C210" s="226"/>
      <c r="D210" s="226"/>
      <c r="E210" s="226"/>
      <c r="F210" s="232" t="s">
        <v>525</v>
      </c>
      <c r="G210" s="574">
        <v>45000</v>
      </c>
      <c r="H210" s="219"/>
    </row>
    <row r="211" spans="1:8" ht="20.100000000000001" customHeight="1">
      <c r="A211" s="625" t="s">
        <v>526</v>
      </c>
      <c r="B211" s="226"/>
      <c r="C211" s="226"/>
      <c r="D211" s="226"/>
      <c r="E211" s="226"/>
      <c r="F211" s="232" t="s">
        <v>527</v>
      </c>
      <c r="G211" s="574">
        <v>350000</v>
      </c>
      <c r="H211" s="219"/>
    </row>
    <row r="212" spans="1:8" ht="20.100000000000001" customHeight="1">
      <c r="A212" s="625" t="s">
        <v>528</v>
      </c>
      <c r="B212" s="226"/>
      <c r="C212" s="226"/>
      <c r="D212" s="226"/>
      <c r="E212" s="226"/>
      <c r="F212" s="232" t="s">
        <v>529</v>
      </c>
      <c r="G212" s="574">
        <v>5000</v>
      </c>
      <c r="H212" s="219"/>
    </row>
    <row r="213" spans="1:8" ht="20.100000000000001" customHeight="1">
      <c r="A213" s="625" t="s">
        <v>530</v>
      </c>
      <c r="B213" s="226"/>
      <c r="C213" s="226"/>
      <c r="D213" s="226"/>
      <c r="E213" s="226"/>
      <c r="F213" s="232" t="s">
        <v>531</v>
      </c>
      <c r="G213" s="574">
        <v>19100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505278</v>
      </c>
      <c r="H216" s="219"/>
    </row>
    <row r="217" spans="1:8" ht="20.100000000000001" customHeight="1">
      <c r="A217" s="625" t="s">
        <v>724</v>
      </c>
      <c r="B217" s="226"/>
      <c r="C217" s="226"/>
      <c r="D217" s="226"/>
      <c r="E217" s="226"/>
      <c r="F217" s="232" t="s">
        <v>537</v>
      </c>
      <c r="G217" s="574">
        <v>1250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605550</v>
      </c>
      <c r="H219" s="219"/>
    </row>
    <row r="220" spans="1:8" ht="20.100000000000001" customHeight="1">
      <c r="A220" s="625" t="s">
        <v>542</v>
      </c>
      <c r="B220" s="226"/>
      <c r="C220" s="226"/>
      <c r="D220" s="226"/>
      <c r="E220" s="226"/>
      <c r="F220" s="232" t="s">
        <v>543</v>
      </c>
      <c r="G220" s="574">
        <v>170650</v>
      </c>
      <c r="H220" s="219"/>
    </row>
    <row r="221" spans="1:8" ht="20.100000000000001" customHeight="1">
      <c r="A221" s="625" t="s">
        <v>544</v>
      </c>
      <c r="B221" s="219"/>
      <c r="C221" s="219"/>
      <c r="D221" s="219"/>
      <c r="E221" s="219"/>
      <c r="F221" s="253" t="s">
        <v>545</v>
      </c>
      <c r="G221" s="574">
        <v>74290</v>
      </c>
      <c r="H221" s="219"/>
    </row>
    <row r="222" spans="1:8" ht="20.100000000000001" customHeight="1">
      <c r="A222" s="625" t="s">
        <v>546</v>
      </c>
      <c r="B222" s="226"/>
      <c r="C222" s="226"/>
      <c r="D222" s="226"/>
      <c r="E222" s="226"/>
      <c r="F222" s="232" t="s">
        <v>547</v>
      </c>
      <c r="G222" s="574">
        <v>56000</v>
      </c>
      <c r="H222" s="219"/>
    </row>
    <row r="223" spans="1:8" ht="20.100000000000001" customHeight="1">
      <c r="A223" s="625" t="s">
        <v>548</v>
      </c>
      <c r="B223" s="226"/>
      <c r="C223" s="226"/>
      <c r="D223" s="226"/>
      <c r="E223" s="226"/>
      <c r="F223" s="232" t="s">
        <v>549</v>
      </c>
      <c r="G223" s="574">
        <v>30200</v>
      </c>
      <c r="H223" s="219"/>
    </row>
    <row r="224" spans="1:8" ht="20.100000000000001" customHeight="1">
      <c r="A224" s="626" t="s">
        <v>550</v>
      </c>
      <c r="B224" s="229"/>
      <c r="C224" s="229"/>
      <c r="D224" s="229"/>
      <c r="E224" s="229"/>
      <c r="F224" s="245" t="s">
        <v>551</v>
      </c>
      <c r="G224" s="574">
        <v>55100</v>
      </c>
      <c r="H224" s="219"/>
    </row>
    <row r="225" spans="1:9" ht="20.100000000000001" customHeight="1">
      <c r="A225" s="625" t="s">
        <v>552</v>
      </c>
      <c r="B225" s="226"/>
      <c r="C225" s="226"/>
      <c r="D225" s="226"/>
      <c r="E225" s="226"/>
      <c r="F225" s="250" t="s">
        <v>553</v>
      </c>
      <c r="G225" s="574">
        <v>37500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300000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69076</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200000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3555844</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45150</v>
      </c>
      <c r="H244" s="219"/>
    </row>
    <row r="245" spans="1:10" ht="20.100000000000001" customHeight="1">
      <c r="A245" s="626" t="s">
        <v>582</v>
      </c>
      <c r="B245" s="229"/>
      <c r="C245" s="229"/>
      <c r="D245" s="229"/>
      <c r="E245" s="229"/>
      <c r="F245" s="245" t="s">
        <v>583</v>
      </c>
      <c r="G245" s="574">
        <v>131000</v>
      </c>
      <c r="H245" s="219"/>
    </row>
    <row r="246" spans="1:10" ht="20.100000000000001" customHeight="1">
      <c r="A246" s="625" t="s">
        <v>584</v>
      </c>
      <c r="B246" s="226"/>
      <c r="C246" s="226"/>
      <c r="D246" s="226"/>
      <c r="E246" s="226"/>
      <c r="F246" s="232" t="s">
        <v>585</v>
      </c>
      <c r="G246" s="574">
        <v>6000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764</v>
      </c>
      <c r="B248" s="1311"/>
      <c r="C248" s="1311"/>
      <c r="D248" s="1311"/>
      <c r="E248" s="1311"/>
      <c r="F248" s="1339">
        <v>73001</v>
      </c>
      <c r="G248" s="574">
        <v>0</v>
      </c>
      <c r="H248" s="662"/>
      <c r="I248" s="222"/>
    </row>
    <row r="249" spans="1:10" ht="20.100000000000001" customHeight="1">
      <c r="A249" s="1310" t="s">
        <v>765</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50000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232150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12810263</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100000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f>5439606+G144-G260-G264</f>
        <v>4593874.2276000008</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4693874.2276000008</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-6374393</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-1680518.7723999992</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Rodgers, Micah</cp:lastModifiedBy>
  <cp:revision/>
  <cp:lastPrinted>2021-05-06T15:15:13Z</cp:lastPrinted>
  <dcterms:created xsi:type="dcterms:W3CDTF">2005-03-22T15:46:43Z</dcterms:created>
  <dcterms:modified xsi:type="dcterms:W3CDTF">2022-06-02T22:38:46Z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