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Z:\vpbus\2022-23 Budget\"/>
    </mc:Choice>
  </mc:AlternateContent>
  <bookViews>
    <workbookView xWindow="0" yWindow="0" windowWidth="28800" windowHeight="12300" tabRatio="769" firstSheet="1" activeTab="5"/>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10" i="8" l="1"/>
  <c r="G192" i="7"/>
  <c r="G190" i="7"/>
  <c r="G186" i="7"/>
  <c r="G179" i="7"/>
  <c r="G178" i="7"/>
  <c r="G172" i="7"/>
  <c r="G168" i="7"/>
  <c r="G150" i="7"/>
  <c r="D15" i="15" l="1"/>
  <c r="C17" i="8" l="1"/>
  <c r="C10" i="8"/>
  <c r="C16" i="8"/>
  <c r="B18" i="8"/>
  <c r="B16" i="8"/>
  <c r="B15" i="8"/>
  <c r="B14" i="8"/>
  <c r="G183" i="7" l="1"/>
  <c r="G154" i="7" l="1"/>
  <c r="D16" i="15" l="1"/>
  <c r="G126" i="7" l="1"/>
  <c r="G125" i="7"/>
  <c r="G59" i="7"/>
  <c r="E11" i="8" l="1"/>
  <c r="E105" i="3" l="1"/>
  <c r="D105" i="3" s="1"/>
  <c r="F105" i="3" s="1"/>
  <c r="E19" i="4"/>
  <c r="E63" i="23" l="1"/>
  <c r="C63" i="23"/>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G32" i="6"/>
  <c r="H32" i="6"/>
  <c r="G30" i="7"/>
  <c r="F33" i="6"/>
  <c r="G33" i="6"/>
  <c r="F34" i="6"/>
  <c r="G34" i="6"/>
  <c r="H34" i="6"/>
  <c r="G32" i="7"/>
  <c r="F35" i="6"/>
  <c r="G35" i="6"/>
  <c r="E19" i="6"/>
  <c r="F19" i="6" s="1"/>
  <c r="G21" i="7" s="1"/>
  <c r="E20" i="6"/>
  <c r="F20" i="6"/>
  <c r="G22" i="7" s="1"/>
  <c r="E21" i="6"/>
  <c r="F21" i="6" s="1"/>
  <c r="G23" i="7" s="1"/>
  <c r="E22" i="6"/>
  <c r="F22" i="6" s="1"/>
  <c r="G24" i="7" s="1"/>
  <c r="E23" i="6"/>
  <c r="F23" i="6"/>
  <c r="G25" i="7" s="1"/>
  <c r="E24" i="6"/>
  <c r="F24" i="6" s="1"/>
  <c r="G26" i="7" s="1"/>
  <c r="B34" i="5"/>
  <c r="E39" i="6"/>
  <c r="F39" i="6"/>
  <c r="G37" i="7"/>
  <c r="B35" i="5"/>
  <c r="E40" i="6"/>
  <c r="F40" i="6"/>
  <c r="G38" i="7" s="1"/>
  <c r="B37" i="5"/>
  <c r="E41" i="6"/>
  <c r="F41" i="6"/>
  <c r="G39" i="7"/>
  <c r="B38" i="5"/>
  <c r="E42" i="6"/>
  <c r="F42" i="6"/>
  <c r="G40" i="7"/>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H30" i="5" s="1"/>
  <c r="I30" i="5" s="1"/>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D65" i="22"/>
  <c r="D67" i="22"/>
  <c r="D59" i="22"/>
  <c r="D60" i="22"/>
  <c r="D62" i="22"/>
  <c r="B52" i="22"/>
  <c r="E33" i="22"/>
  <c r="E34" i="22"/>
  <c r="D33" i="22"/>
  <c r="D34" i="22"/>
  <c r="D26" i="22"/>
  <c r="D38" i="22"/>
  <c r="C38" i="22"/>
  <c r="E15" i="22"/>
  <c r="D15" i="22"/>
  <c r="B46" i="22"/>
  <c r="E26" i="22"/>
  <c r="E59" i="22"/>
  <c r="E61" i="22"/>
  <c r="E38" i="22"/>
  <c r="B29" i="5"/>
  <c r="G14" i="5"/>
  <c r="H14" i="5" s="1"/>
  <c r="G258" i="7"/>
  <c r="E15" i="8"/>
  <c r="E36" i="6"/>
  <c r="D36" i="6"/>
  <c r="D43" i="6"/>
  <c r="D26" i="6"/>
  <c r="E17" i="6"/>
  <c r="G20" i="5"/>
  <c r="H20" i="5"/>
  <c r="G19" i="5"/>
  <c r="H19" i="5"/>
  <c r="G22" i="5"/>
  <c r="H22" i="5"/>
  <c r="G23" i="5"/>
  <c r="H23" i="5"/>
  <c r="E20" i="12"/>
  <c r="E29" i="12"/>
  <c r="E30" i="12"/>
  <c r="G196" i="7"/>
  <c r="D21" i="8"/>
  <c r="E68" i="3"/>
  <c r="C94" i="12"/>
  <c r="B31" i="5"/>
  <c r="H31" i="5"/>
  <c r="I31" i="5" s="1"/>
  <c r="B30" i="5"/>
  <c r="G16" i="5"/>
  <c r="H16" i="5" s="1"/>
  <c r="G15" i="5"/>
  <c r="H15" i="5" s="1"/>
  <c r="D96" i="8"/>
  <c r="C96" i="8"/>
  <c r="B69" i="6"/>
  <c r="C93" i="3" s="1"/>
  <c r="C92" i="3"/>
  <c r="E69" i="3"/>
  <c r="E70" i="3"/>
  <c r="E71" i="3"/>
  <c r="E72" i="3"/>
  <c r="E73" i="3"/>
  <c r="B21" i="8"/>
  <c r="C21" i="8"/>
  <c r="E10" i="8"/>
  <c r="E12" i="8"/>
  <c r="E16" i="8"/>
  <c r="E17" i="8"/>
  <c r="E18" i="8"/>
  <c r="E19" i="8"/>
  <c r="E20" i="8"/>
  <c r="E36" i="4"/>
  <c r="C127" i="3" s="1"/>
  <c r="D33" i="4"/>
  <c r="B60" i="6"/>
  <c r="C96" i="3"/>
  <c r="E26" i="4"/>
  <c r="C95" i="3" s="1"/>
  <c r="E16" i="4"/>
  <c r="G274" i="7"/>
  <c r="G278" i="7" s="1"/>
  <c r="C120" i="3" s="1"/>
  <c r="E67" i="22"/>
  <c r="D61" i="22"/>
  <c r="E14" i="8"/>
  <c r="G240" i="7"/>
  <c r="X147" i="23"/>
  <c r="E60" i="22"/>
  <c r="F36" i="6"/>
  <c r="E70" i="22"/>
  <c r="E69" i="22"/>
  <c r="E68" i="22"/>
  <c r="D66" i="22"/>
  <c r="D68" i="22"/>
  <c r="H35" i="6"/>
  <c r="G33" i="7"/>
  <c r="H33" i="6"/>
  <c r="H34" i="5"/>
  <c r="I34" i="5"/>
  <c r="E62" i="22"/>
  <c r="H38" i="5"/>
  <c r="I38" i="5"/>
  <c r="D69" i="22"/>
  <c r="F43" i="6"/>
  <c r="H44" i="6" s="1"/>
  <c r="H37" i="5"/>
  <c r="I37" i="5"/>
  <c r="D70" i="22"/>
  <c r="G31" i="7"/>
  <c r="H36" i="6"/>
  <c r="D17" i="6"/>
  <c r="F12" i="6"/>
  <c r="E46" i="3" s="1"/>
  <c r="F11" i="6"/>
  <c r="H11" i="6" s="1"/>
  <c r="G13" i="7" s="1"/>
  <c r="F14" i="6"/>
  <c r="H14" i="6" s="1"/>
  <c r="G16" i="7" s="1"/>
  <c r="H13" i="6"/>
  <c r="G15" i="7" s="1"/>
  <c r="F15" i="6"/>
  <c r="E49" i="3" s="1"/>
  <c r="F10" i="6"/>
  <c r="E44" i="3" s="1"/>
  <c r="E47" i="3"/>
  <c r="C113" i="3" l="1"/>
  <c r="E21" i="8"/>
  <c r="C111" i="3"/>
  <c r="H15" i="6"/>
  <c r="G17" i="7" s="1"/>
  <c r="B70" i="6"/>
  <c r="E74" i="3"/>
  <c r="E48" i="3"/>
  <c r="H12" i="6"/>
  <c r="G14" i="7" s="1"/>
  <c r="E45" i="3"/>
  <c r="F17" i="6"/>
  <c r="E50" i="3" s="1"/>
  <c r="H10" i="6"/>
  <c r="H29" i="5"/>
  <c r="I29" i="5" s="1"/>
  <c r="G75" i="7"/>
  <c r="G85" i="7" s="1"/>
  <c r="D106" i="3"/>
  <c r="F121" i="15"/>
  <c r="G260" i="7"/>
  <c r="E25" i="4" s="1"/>
  <c r="E28" i="4" s="1"/>
  <c r="G35" i="7"/>
  <c r="T119" i="23"/>
  <c r="C112" i="3"/>
  <c r="C121" i="3"/>
  <c r="G28" i="7"/>
  <c r="G42"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E102" i="3"/>
  <c r="E106" i="3" s="1"/>
  <c r="H17" i="6" l="1"/>
  <c r="H27" i="6" s="1"/>
  <c r="H46" i="6" s="1"/>
  <c r="D128" i="15"/>
  <c r="G12" i="7"/>
  <c r="G19" i="7" s="1"/>
  <c r="G44" i="7" s="1"/>
  <c r="G63" i="7" s="1"/>
  <c r="G144" i="7" s="1"/>
  <c r="E18" i="4" s="1"/>
  <c r="E21" i="4" s="1"/>
  <c r="E23" i="4" s="1"/>
  <c r="E44" i="4" s="1"/>
  <c r="C17" i="3" s="1"/>
  <c r="D139" i="15"/>
  <c r="D141" i="15" s="1"/>
  <c r="F123" i="15"/>
  <c r="C114" i="3"/>
  <c r="C139" i="3"/>
  <c r="F129" i="15"/>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C144" i="3" l="1"/>
  <c r="F128" i="15"/>
  <c r="F139" i="15" s="1"/>
  <c r="C137" i="3"/>
  <c r="C34" i="3"/>
  <c r="D32" i="4"/>
  <c r="E35" i="4" s="1"/>
  <c r="E38" i="4" s="1"/>
  <c r="C153" i="3" l="1"/>
  <c r="F141"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Comment:
    Source Data:   J:\Finance\Operating Budgets - current year\2022-23 OPERATING BUDGET\Forms and Instructions\Working Documents\Copy of 2022-23Side by Side HB 5001 Conf Report (After Vetos ) 3.16.xxxlsx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text>
        <r>
          <rPr>
            <sz val="10"/>
            <rFont val="Arial"/>
            <family val="2"/>
          </rPr>
          <t xml:space="preserve">Source: General Appropriations Act, Specific Appropriation 26
en 5.3.22
</t>
        </r>
      </text>
    </comment>
    <comment ref="B76" authorId="4" shapeId="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text>
        <r>
          <rPr>
            <sz val="10"/>
            <rFont val="Arial"/>
            <family val="2"/>
          </rPr>
          <t>Comment:
    Note: Total Fee Paying should agree with the Fee Calculator Total Fee Paying - CellU121.</t>
        </r>
      </text>
    </comment>
    <comment ref="B118" authorId="8" shapeId="0">
      <text>
        <r>
          <rPr>
            <sz val="10"/>
            <rFont val="Arial"/>
            <family val="2"/>
          </rPr>
          <t xml:space="preserve">Comment:
    Upper Level FTE Resident, Cell Q93
</t>
        </r>
      </text>
    </comment>
    <comment ref="E118" authorId="9" shapeId="0">
      <text>
        <r>
          <rPr>
            <sz val="10"/>
            <rFont val="Arial"/>
            <family val="2"/>
          </rPr>
          <t>Comment:
    A &amp; P Resident, Cell B93
Resident A &amp; P Fee Paying FTE does not include non-Florida Resident FTE and Dual Enrolled FTE.</t>
        </r>
      </text>
    </comment>
    <comment ref="F118" authorId="10" shapeId="0">
      <text>
        <r>
          <rPr>
            <sz val="10"/>
            <rFont val="Arial"/>
            <family val="2"/>
          </rPr>
          <t>[Threaded comment]
Comment:
    A &amp; P FTE Estimated Non-Florida Resident, Cell P54</t>
        </r>
      </text>
    </comment>
    <comment ref="H118" authorId="11" shapeId="0">
      <text>
        <r>
          <rPr>
            <sz val="10"/>
            <rFont val="Arial"/>
            <family val="2"/>
          </rPr>
          <t xml:space="preserve">
Comment:
    PSV FTE Resident, Cell E93
Resident PSV Fee Paying FTE does not include non-Florida Resident FTE and Dual Enrolled FTE. 
</t>
        </r>
      </text>
    </comment>
    <comment ref="I118" authorId="12" shapeId="0">
      <text>
        <r>
          <rPr>
            <sz val="10"/>
            <rFont val="Arial"/>
            <family val="2"/>
          </rPr>
          <t xml:space="preserve">Comment:
    PSV Estimated Non-Florida Resident FTE, Cell Q54
</t>
        </r>
      </text>
    </comment>
    <comment ref="K118" authorId="13" shapeId="0">
      <text>
        <r>
          <rPr>
            <sz val="10"/>
            <rFont val="Arial"/>
            <family val="2"/>
          </rPr>
          <t xml:space="preserve">Comment:
    DEV ED FTE Resident, Cell H93
Resident DEV ED Fee Paying FTE does not include non-Florida Resident FTE.
</t>
        </r>
      </text>
    </comment>
    <comment ref="L118" authorId="14" shapeId="0">
      <text>
        <r>
          <rPr>
            <sz val="10"/>
            <rFont val="Arial"/>
            <family val="2"/>
          </rPr>
          <t>Comment:
    DEV ED Estimated Non-Florida Resident FTE, Cell T54</t>
        </r>
      </text>
    </comment>
    <comment ref="N118" authorId="15" shapeId="0">
      <text>
        <r>
          <rPr>
            <sz val="10"/>
            <rFont val="Arial"/>
            <family val="2"/>
          </rPr>
          <t>Comment:
    EPI FTE Resident, Cell K93. 
Resident EPI Fee Paying FTE does not include non-Florida Resident FTE.</t>
        </r>
      </text>
    </comment>
    <comment ref="O118" authorId="16" shapeId="0">
      <text>
        <r>
          <rPr>
            <sz val="10"/>
            <rFont val="Arial"/>
            <family val="2"/>
          </rPr>
          <t>Comment:
    EPI Estimated Non-Florida Resident FTE, Cell W54</t>
        </r>
      </text>
    </comment>
    <comment ref="Q118" authorId="17" shapeId="0">
      <text>
        <r>
          <rPr>
            <sz val="10"/>
            <rFont val="Arial"/>
            <family val="2"/>
          </rPr>
          <t xml:space="preserve">Comment:
    CCATD FTE Resident, Cell N93. 
Resident CCATD Paying FTE does not include non-Florida Resident FTE and Dual Enrolled FTE. </t>
        </r>
      </text>
    </comment>
    <comment ref="R118" authorId="18" shapeId="0">
      <text>
        <r>
          <rPr>
            <sz val="10"/>
            <rFont val="Arial"/>
            <family val="2"/>
          </rPr>
          <t>Comment:
    CCATD FTE Estimated Non-Florida Resident FTE, Cell R54.</t>
        </r>
      </text>
    </comment>
    <comment ref="W118" authorId="19" shapeId="0">
      <text>
        <r>
          <rPr>
            <sz val="10"/>
            <rFont val="Arial"/>
            <family val="2"/>
          </rPr>
          <t>Comment:
    Voc Prep FTE Estimated Non-Florida Resident, Cell U54</t>
        </r>
      </text>
    </comment>
    <comment ref="X118" authorId="20" shapeId="0">
      <text>
        <r>
          <rPr>
            <sz val="10"/>
            <rFont val="Arial"/>
            <family val="2"/>
          </rPr>
          <t xml:space="preserve">Comment:
    Voc. Prep FTE Total, Cell G54
</t>
        </r>
      </text>
    </comment>
    <comment ref="Z118" authorId="0" shapeId="0">
      <text>
        <r>
          <rPr>
            <b/>
            <sz val="9"/>
            <color indexed="81"/>
            <rFont val="Tahoma"/>
            <family val="2"/>
          </rPr>
          <t>Nieto, Eve:</t>
        </r>
        <r>
          <rPr>
            <sz val="9"/>
            <color indexed="81"/>
            <rFont val="Tahoma"/>
            <family val="2"/>
          </rPr>
          <t xml:space="preserve">
Formulas in place.
 Complete columns AE and AF first. </t>
        </r>
      </text>
    </comment>
    <comment ref="AA118" authorId="21" shapeId="0">
      <text>
        <r>
          <rPr>
            <sz val="10"/>
            <rFont val="Arial"/>
            <family val="2"/>
          </rPr>
          <t>Comment:
    Adult FTE Estimated Non-Florida Resident, Cell V54</t>
        </r>
      </text>
    </comment>
    <comment ref="AE118" authorId="22" shapeId="0">
      <text>
        <r>
          <rPr>
            <sz val="10"/>
            <rFont val="Arial"/>
            <family val="2"/>
          </rPr>
          <t xml:space="preserve">Comment:
    Adult Basic FTE, Cell H54
 </t>
        </r>
      </text>
    </comment>
    <comment ref="AF118" authorId="23" shapeId="0">
      <text>
        <r>
          <rPr>
            <sz val="10"/>
            <rFont val="Arial"/>
            <family val="2"/>
          </rPr>
          <t>Comment:
    Adult Second. &amp; GED  FTE, Cell I54</t>
        </r>
      </text>
    </comment>
    <comment ref="AO120" authorId="24" shapeId="0">
      <text>
        <r>
          <rPr>
            <sz val="10"/>
            <rFont val="Arial"/>
            <family val="2"/>
          </rPr>
          <t>Comment:
    Fee Calculator File:   This amount is from the Estimated Duel Enrolled FTE Total Column, Cell AF82.</t>
        </r>
      </text>
    </comment>
    <comment ref="AO121" authorId="25" shapeId="0">
      <text>
        <r>
          <rPr>
            <sz val="10"/>
            <rFont val="Arial"/>
            <family val="2"/>
          </rPr>
          <t xml:space="preserve">Comment:
    Fee Calculator File: Apprent FTE Total, Cell E82 minus the Estimated Dual Enrolled Apprent FTE, Cell AE82. 
</t>
        </r>
      </text>
    </comment>
    <comment ref="AO124" authorId="26" shapeId="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A119 to S147</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A119 to S147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text>
        <r>
          <rPr>
            <sz val="12"/>
            <color indexed="81"/>
            <rFont val="Arial"/>
            <family val="2"/>
          </rPr>
          <t xml:space="preserve">Comment:
    This cell will automatically populate. Should agree with Exhibit C, Cell H10. Resident and nonresident students pay resident tuition.
</t>
        </r>
      </text>
    </comment>
    <comment ref="D12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<sst xmlns="http://schemas.openxmlformats.org/spreadsheetml/2006/main" count="1337" uniqueCount="813">
  <si>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</si>
  <si>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</si>
  <si>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</si>
  <si>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</si>
  <si>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</si>
  <si>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</si>
  <si>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</si>
  <si>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</si>
  <si>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</si>
  <si>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</si>
  <si>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</si>
  <si>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</si>
  <si>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</si>
  <si>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</si>
  <si>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</si>
  <si>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</si>
  <si>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</si>
  <si>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</si>
  <si>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</si>
  <si>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</si>
  <si>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</si>
  <si>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</si>
  <si>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</si>
  <si>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</si>
  <si>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</si>
  <si>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</si>
  <si>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</si>
  <si>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</si>
  <si>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</si>
  <si>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</si>
  <si>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</si>
  <si>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</si>
  <si>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</si>
  <si>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</si>
  <si>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</si>
  <si>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</si>
  <si>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</si>
  <si>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</si>
  <si>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</si>
  <si>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</si>
  <si>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</si>
  <si>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</si>
  <si>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</si>
  <si>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</si>
  <si>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</si>
  <si>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</si>
  <si>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</si>
  <si>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</si>
  <si>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</si>
  <si>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</si>
  <si>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</si>
  <si>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</si>
  <si>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</si>
  <si>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</si>
  <si>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</si>
  <si>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</si>
  <si>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</si>
  <si>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</si>
  <si>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</si>
  <si>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</si>
  <si>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</si>
  <si>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</si>
  <si>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</si>
  <si>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</si>
  <si>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</si>
  <si>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</si>
  <si>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</si>
  <si>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</si>
  <si>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</si>
  <si>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</si>
  <si>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</si>
  <si>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</si>
  <si>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</si>
  <si>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</si>
  <si>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</si>
  <si>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</si>
  <si>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</si>
  <si>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</si>
  <si>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</si>
  <si>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</si>
  <si>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</si>
  <si>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</si>
  <si>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</si>
  <si>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</si>
  <si>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</si>
  <si>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</si>
  <si>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</si>
  <si>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</si>
  <si>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</si>
  <si>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</si>
  <si>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</si>
  <si>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</si>
  <si>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</si>
  <si>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</si>
  <si>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</si>
  <si>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</si>
  <si>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</si>
  <si>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</si>
  <si>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</si>
  <si>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</si>
  <si>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</si>
  <si>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</si>
  <si>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</si>
  <si>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</si>
  <si>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</si>
  <si>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</si>
  <si>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</si>
  <si>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</si>
  <si>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</si>
  <si>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</si>
  <si>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</si>
  <si>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</si>
  <si>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</si>
  <si>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</si>
  <si>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</si>
  <si>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</si>
  <si>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</si>
  <si>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</si>
  <si>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</si>
  <si>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</si>
  <si>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</si>
  <si>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</si>
  <si>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</si>
  <si>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</si>
  <si>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</si>
  <si>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</si>
  <si>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</si>
  <si>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</si>
  <si>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</si>
  <si>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</si>
  <si>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</si>
  <si>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</si>
  <si>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</si>
  <si>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</si>
  <si>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</si>
  <si>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</si>
  <si>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</si>
  <si>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</si>
  <si>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</si>
  <si>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</si>
  <si>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</si>
  <si>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</si>
  <si>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</si>
  <si>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</si>
  <si>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</si>
  <si>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</si>
  <si>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</si>
  <si>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</si>
  <si>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</si>
  <si>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</si>
  <si>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</si>
  <si>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</si>
  <si>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</si>
  <si>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</si>
  <si>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</si>
  <si>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</si>
  <si>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</si>
  <si>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</si>
  <si>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</si>
  <si>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</si>
  <si>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</si>
  <si>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</si>
  <si>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</si>
  <si>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</si>
  <si>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</si>
  <si>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</si>
  <si>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</si>
  <si>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</si>
  <si>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</si>
  <si>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</si>
  <si>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</si>
  <si>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</si>
  <si>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</si>
  <si>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</si>
  <si>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</si>
  <si>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</si>
  <si>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</si>
  <si>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</si>
  <si>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</si>
  <si>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</si>
  <si>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</si>
  <si>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</si>
  <si>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</si>
  <si>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</si>
  <si>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</si>
  <si>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</si>
  <si>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</si>
  <si>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</si>
  <si>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</si>
  <si>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</si>
  <si>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</si>
  <si>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</si>
  <si>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</si>
  <si>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</si>
  <si>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</si>
  <si>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</si>
  <si>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</si>
  <si>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</si>
  <si>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</si>
  <si>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</si>
  <si>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</si>
  <si>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</si>
  <si>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</si>
  <si>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</si>
  <si>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</si>
  <si>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</si>
  <si>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</si>
  <si>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</si>
  <si>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</si>
  <si>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</si>
  <si>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</si>
  <si>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</si>
  <si>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</si>
  <si>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</si>
  <si>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</si>
  <si>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</si>
  <si>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</si>
  <si>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</si>
  <si>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</si>
  <si>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</si>
  <si>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</si>
  <si>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</si>
  <si>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</si>
  <si>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</si>
  <si>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</si>
  <si>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</si>
  <si>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</si>
  <si>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</si>
  <si>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</si>
  <si>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</si>
  <si>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</si>
  <si>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</si>
  <si>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</si>
  <si>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</si>
  <si>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</si>
  <si>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</si>
  <si>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</si>
  <si>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</si>
  <si>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</si>
  <si>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</si>
  <si>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</si>
  <si>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</si>
  <si>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</si>
  <si>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</si>
  <si>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</si>
  <si>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</si>
  <si>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</si>
  <si>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</si>
  <si>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</si>
  <si>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</si>
  <si>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</si>
  <si>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</si>
  <si>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</si>
  <si>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</si>
  <si>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</si>
  <si>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</si>
  <si>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</si>
  <si>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</si>
  <si>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</si>
  <si>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</si>
  <si>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</si>
  <si>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</si>
  <si>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</si>
  <si>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</si>
  <si>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</si>
  <si>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</si>
  <si>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</si>
  <si>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</si>
  <si>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</si>
  <si>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</si>
  <si>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</si>
  <si>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</si>
  <si>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</si>
  <si>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</si>
  <si>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</si>
  <si>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</si>
  <si>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</si>
  <si>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</si>
  <si>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</si>
  <si>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</si>
  <si>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</si>
  <si>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</si>
  <si>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</si>
  <si>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</si>
  <si>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</si>
  <si>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</si>
  <si>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</si>
  <si>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</si>
  <si>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</si>
  <si>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</si>
  <si>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</si>
  <si>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</si>
  <si>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</si>
  <si>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</si>
  <si>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</si>
  <si>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</si>
  <si>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</si>
  <si>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</si>
  <si>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</si>
  <si>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</si>
  <si>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</si>
  <si>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</si>
  <si>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</si>
  <si>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</si>
  <si>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</si>
  <si>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</si>
  <si>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</si>
  <si>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</si>
  <si>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</si>
  <si>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</si>
  <si>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</si>
  <si>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</si>
  <si>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</si>
  <si>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</si>
  <si>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</si>
  <si>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</si>
  <si>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</si>
  <si>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</si>
  <si>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</si>
  <si>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</si>
  <si>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</si>
  <si>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</si>
  <si>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</si>
  <si>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</si>
  <si>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</si>
  <si>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</si>
  <si>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</si>
  <si>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</si>
  <si>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</si>
  <si>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</si>
  <si>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</si>
  <si>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</si>
  <si>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</si>
  <si>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</si>
  <si>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</si>
  <si>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</si>
  <si>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</si>
  <si>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</si>
  <si>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</si>
  <si>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</si>
  <si>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</si>
  <si>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</si>
  <si>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</si>
  <si>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</si>
  <si>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</si>
  <si>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</si>
  <si>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</si>
  <si>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</si>
  <si>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</si>
  <si>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</si>
  <si>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</si>
  <si>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</si>
  <si>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</si>
  <si>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</si>
  <si>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</si>
  <si>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</si>
  <si>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</si>
  <si>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</si>
  <si>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</si>
  <si>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</si>
  <si>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</si>
  <si>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</si>
  <si>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</si>
  <si>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</si>
  <si>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</si>
  <si>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</si>
  <si>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</si>
  <si>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</si>
  <si>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</si>
  <si>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</si>
  <si>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</si>
  <si>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</si>
  <si>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</si>
  <si>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</si>
  <si>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</si>
  <si>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</si>
  <si>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</si>
  <si>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</si>
  <si>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</si>
  <si>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</si>
  <si>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</si>
  <si>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</si>
  <si>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</si>
  <si>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</si>
  <si>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</si>
  <si>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</si>
  <si>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</si>
  <si>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</si>
  <si>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</si>
  <si>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</si>
  <si>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</si>
  <si>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</si>
  <si>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</si>
  <si>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</si>
  <si>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</si>
  <si>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</si>
  <si>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</si>
  <si>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</si>
  <si>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</si>
  <si>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</si>
  <si>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</si>
  <si>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</si>
  <si>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</si>
  <si>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</si>
  <si>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</si>
  <si>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</si>
  <si>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</si>
  <si>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</si>
  <si>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</si>
  <si>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</si>
  <si>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</si>
  <si>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</si>
  <si>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</si>
  <si>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</si>
  <si>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</si>
  <si>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</si>
  <si>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</si>
  <si>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</si>
  <si>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</si>
  <si>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</si>
  <si>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</si>
  <si>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</si>
  <si>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</si>
  <si>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</si>
  <si>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</si>
  <si>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</si>
  <si>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</si>
  <si>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</si>
  <si>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</si>
  <si>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</si>
  <si>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</si>
  <si>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</si>
  <si>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</si>
  <si>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</si>
  <si>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</si>
  <si>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</si>
  <si>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</si>
  <si>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</si>
  <si>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</si>
  <si>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</si>
  <si>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</si>
  <si>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</si>
  <si>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</si>
  <si>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</si>
  <si>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</si>
  <si>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</si>
  <si>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</si>
  <si>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</si>
  <si>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</si>
  <si>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</si>
  <si>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</si>
  <si>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</si>
  <si>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</si>
  <si>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</si>
  <si>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</si>
  <si>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</si>
  <si>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</si>
  <si>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</si>
  <si>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</si>
  <si>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</si>
  <si>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</si>
  <si>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</si>
  <si>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</si>
  <si>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</si>
  <si>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</si>
  <si>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</si>
  <si>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</si>
  <si>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</si>
  <si>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</si>
  <si>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</si>
  <si>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</si>
  <si>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</si>
  <si>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</si>
  <si>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</si>
  <si>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</si>
  <si>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</si>
  <si>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</si>
  <si>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</si>
  <si>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</si>
  <si>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</si>
  <si>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</si>
  <si>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</si>
  <si>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</si>
  <si>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</si>
  <si>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</si>
  <si>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</si>
  <si>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</si>
  <si>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</si>
  <si>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</si>
  <si>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</si>
  <si>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</si>
  <si>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</si>
  <si>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</si>
  <si>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</si>
  <si>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</si>
  <si>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</si>
  <si>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</si>
  <si>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</si>
  <si>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</si>
  <si>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</si>
  <si>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</si>
  <si>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</si>
  <si>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</si>
  <si>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</si>
  <si>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</si>
  <si>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</si>
  <si>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</si>
  <si>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</si>
  <si>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</si>
  <si>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</si>
  <si>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</si>
  <si>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</si>
  <si>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</si>
  <si>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</si>
  <si>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</si>
  <si>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</si>
  <si>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</si>
  <si>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</si>
  <si>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</si>
  <si>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</si>
  <si>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</si>
  <si>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</si>
  <si>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</si>
  <si>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</si>
  <si>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</si>
  <si>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</si>
  <si>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</si>
  <si>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</si>
  <si>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</si>
  <si>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</si>
  <si>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</si>
  <si>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</si>
  <si>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</si>
  <si>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</si>
  <si>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</si>
  <si>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</si>
  <si>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</si>
  <si>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</si>
  <si>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</si>
  <si>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</si>
  <si>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</si>
  <si>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</si>
  <si>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</si>
  <si>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</si>
  <si>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</si>
  <si>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</si>
  <si>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</si>
  <si>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</si>
  <si>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</si>
  <si>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</si>
  <si>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</si>
  <si>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</si>
  <si>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</si>
  <si>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</si>
  <si>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</si>
  <si>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</si>
  <si>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</si>
  <si>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</si>
  <si>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</si>
  <si>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</si>
  <si>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</si>
  <si>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</si>
  <si>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</si>
  <si>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</si>
  <si>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</si>
  <si>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</si>
  <si>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</si>
  <si>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</si>
  <si>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</si>
  <si>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</si>
  <si>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</si>
  <si>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</si>
  <si>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</si>
  <si>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</si>
  <si>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</si>
  <si>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</si>
  <si>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</si>
  <si>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</si>
  <si>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</si>
  <si>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</si>
  <si>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</si>
  <si>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</si>
  <si>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</si>
  <si>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</si>
  <si>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</si>
  <si>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</si>
  <si>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</si>
  <si>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</si>
  <si>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</si>
  <si>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</si>
  <si>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</si>
  <si>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</si>
  <si>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</si>
  <si>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</si>
  <si>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</si>
  <si>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</si>
  <si>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</si>
  <si>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</si>
  <si>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</si>
  <si>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</si>
  <si>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</si>
  <si>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</si>
  <si>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</si>
  <si>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</si>
  <si>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</si>
  <si>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</si>
  <si>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</si>
  <si>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</si>
  <si>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</si>
  <si>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</si>
  <si>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</si>
  <si>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</si>
  <si>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</si>
  <si>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</si>
  <si>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</si>
  <si>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</si>
  <si>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</si>
  <si>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</si>
  <si>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</si>
  <si>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</si>
  <si>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</si>
  <si>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</si>
  <si>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</si>
  <si>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</si>
  <si>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</si>
  <si>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</si>
  <si>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</si>
  <si>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</si>
  <si>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</si>
  <si>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</si>
  <si>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</si>
  <si>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</si>
  <si>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</si>
  <si>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</si>
  <si>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</si>
  <si>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</si>
  <si>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</si>
  <si>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</si>
  <si>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</si>
  <si>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</si>
  <si>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</si>
  <si>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</si>
  <si>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</si>
  <si>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</si>
  <si>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</si>
  <si>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</si>
  <si>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</si>
  <si>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</si>
  <si>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</si>
  <si>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</si>
  <si>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</si>
  <si>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</si>
  <si>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</si>
  <si>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</si>
  <si>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</si>
  <si>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</si>
  <si>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</si>
  <si>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</si>
  <si>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</si>
  <si>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</si>
  <si>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</si>
  <si>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</si>
  <si>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</si>
  <si>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</si>
  <si>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</si>
  <si>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</si>
  <si>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</si>
  <si>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</si>
  <si>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</si>
  <si>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</si>
  <si>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</si>
  <si>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</si>
  <si>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</si>
  <si>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</si>
  <si>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</si>
  <si>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</si>
  <si>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</si>
  <si>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</si>
  <si>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</si>
  <si>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</si>
  <si>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</si>
  <si>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</si>
  <si>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</si>
  <si>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</si>
  <si>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</si>
  <si>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</si>
  <si>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</si>
  <si>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</si>
  <si>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</si>
  <si>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</si>
  <si>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</si>
  <si>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</si>
  <si>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</si>
  <si>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</si>
  <si>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</si>
  <si>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</si>
  <si>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</si>
  <si>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</si>
  <si>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</si>
  <si>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</si>
  <si>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</si>
  <si>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</si>
  <si>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</si>
  <si>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</si>
  <si>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</si>
  <si>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</si>
  <si>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</si>
  <si>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</si>
  <si>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</si>
  <si>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</si>
  <si>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</si>
  <si>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</si>
  <si>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</si>
  <si>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</si>
  <si>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</si>
  <si>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</si>
  <si>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</si>
  <si>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</si>
  <si>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</si>
  <si>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</si>
  <si>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</si>
  <si>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</si>
  <si>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</si>
  <si>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</si>
  <si>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</si>
  <si>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</si>
  <si>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</si>
  <si>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</si>
  <si>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</si>
  <si>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</si>
  <si>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</si>
  <si>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</si>
  <si>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</si>
  <si>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</si>
  <si>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</si>
  <si>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</si>
  <si>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</si>
  <si>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</si>
  <si>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</si>
  <si>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</si>
  <si>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</si>
  <si>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</si>
  <si>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</si>
  <si>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</si>
  <si>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</si>
  <si>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</si>
  <si>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</si>
  <si>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</si>
  <si>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</si>
  <si>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</si>
  <si>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</si>
  <si>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</si>
  <si>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</si>
  <si>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</si>
  <si>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</si>
  <si>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</si>
  <si>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</si>
  <si>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</si>
  <si>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</si>
  <si>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</si>
  <si>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</si>
  <si>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</si>
  <si>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</si>
  <si>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</si>
  <si>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</si>
  <si>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</si>
  <si>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</si>
  <si>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</si>
  <si>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</si>
  <si>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</si>
  <si>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</si>
  <si>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</si>
  <si>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</si>
  <si>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</si>
  <si>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</si>
  <si>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</si>
  <si>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</si>
  <si>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</si>
  <si>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</si>
  <si>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</si>
  <si>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</si>
  <si>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</si>
  <si>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</si>
  <si>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</si>
  <si>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</si>
  <si>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</si>
  <si>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</si>
  <si>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</si>
  <si>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</si>
  <si>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</si>
  <si>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</si>
  <si>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</si>
  <si>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</si>
  <si>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</si>
  <si>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</si>
  <si>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</si>
  <si>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</si>
  <si>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</si>
  <si>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</si>
  <si>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</si>
  <si>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</si>
  <si>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</si>
  <si>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</si>
  <si>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</si>
  <si>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</si>
  <si>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</si>
  <si>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</si>
  <si>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</si>
  <si>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 xml:space="preserve">feel will result in an increase in enrollment. </t>
  </si>
  <si>
    <t xml:space="preserve">Our new CDL program is operating at full capacity and will </t>
  </si>
  <si>
    <t>increase our projected enrollment.</t>
  </si>
  <si>
    <t xml:space="preserve">Florida Gateway College has many scholarship opportunities that we feel </t>
  </si>
  <si>
    <t>Based on FY 20-21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</si>
</sst>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80" fillId="32" borderId="303" xfId="0" applyNumberFormat="1" applyFont="1" applyFill="1" applyBorder="1" applyAlignment="1" applyProtection="1">
      <alignment horizontal="right"/>
    </xf>
    <xf numFmtId="37" fontId="180" fillId="32" borderId="304" xfId="0" applyNumberFormat="1" applyFont="1" applyFill="1" applyBorder="1" applyAlignment="1" applyProtection="1">
      <alignment horizontal="right"/>
    </xf>
    <xf numFmtId="37" fontId="181" fillId="0" borderId="307" xfId="0" applyNumberFormat="1" applyFont="1" applyFill="1" applyBorder="1" applyProtection="1"/>
    <xf numFmtId="37" fontId="181" fillId="0" borderId="308" xfId="0" applyNumberFormat="1" applyFont="1" applyFill="1" applyBorder="1" applyProtection="1"/>
    <xf numFmtId="172" fontId="181" fillId="0" borderId="303" xfId="0" applyNumberFormat="1" applyFont="1" applyFill="1" applyBorder="1" applyAlignment="1" applyProtection="1">
      <alignment horizontal="center"/>
    </xf>
    <xf numFmtId="37" fontId="181" fillId="0" borderId="309" xfId="0" applyNumberFormat="1" applyFont="1" applyFill="1" applyBorder="1" applyProtection="1"/>
    <xf numFmtId="37" fontId="181" fillId="0" borderId="310" xfId="0" applyNumberFormat="1" applyFont="1" applyFill="1" applyBorder="1" applyProtection="1"/>
    <xf numFmtId="172" fontId="181" fillId="0" borderId="304" xfId="0" applyNumberFormat="1" applyFont="1" applyFill="1" applyBorder="1" applyAlignment="1" applyProtection="1">
      <alignment horizontal="center"/>
    </xf>
    <xf numFmtId="37" fontId="182" fillId="0" borderId="172"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2"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729</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763</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3" t="s">
        <v>16</v>
      </c>
      <c r="B5" s="1322" t="s">
        <v>776</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796</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759</v>
      </c>
      <c r="B40" s="1162" t="s">
        <v>794</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778</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777</v>
      </c>
      <c r="C46" s="781"/>
      <c r="D46" s="781">
        <v>315500</v>
      </c>
      <c r="E46" s="782">
        <f t="shared" si="1"/>
        <v>315500</v>
      </c>
      <c r="H46" s="24"/>
    </row>
    <row r="47" spans="1:21" ht="84.75" customHeight="1">
      <c r="A47" s="1170" t="s">
        <v>25</v>
      </c>
      <c r="B47" s="1252" t="s">
        <v>780</v>
      </c>
      <c r="C47" s="1253"/>
      <c r="D47" s="1253">
        <v>447123</v>
      </c>
      <c r="E47" s="782">
        <f t="shared" si="1"/>
        <v>447123</v>
      </c>
      <c r="H47" s="24"/>
    </row>
    <row r="48" spans="1:21" ht="84.75" customHeight="1">
      <c r="A48" s="1170" t="s">
        <v>21</v>
      </c>
      <c r="B48" s="1252" t="s">
        <v>779</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782</v>
      </c>
      <c r="C50" s="1253"/>
      <c r="D50" s="1253">
        <v>1000000</v>
      </c>
      <c r="E50" s="782">
        <f t="shared" si="1"/>
        <v>1000000</v>
      </c>
      <c r="H50" s="24"/>
    </row>
    <row r="51" spans="1:8" ht="62.45" customHeight="1">
      <c r="A51" s="1170" t="s">
        <v>35</v>
      </c>
      <c r="B51" s="1252" t="s">
        <v>781</v>
      </c>
      <c r="C51" s="1253"/>
      <c r="D51" s="1253">
        <v>600050</v>
      </c>
      <c r="E51" s="782">
        <f t="shared" si="1"/>
        <v>600050</v>
      </c>
      <c r="H51" s="24"/>
    </row>
    <row r="52" spans="1:8" ht="62.45" customHeight="1">
      <c r="A52" s="1170" t="s">
        <v>36</v>
      </c>
      <c r="B52" s="1252" t="s">
        <v>783</v>
      </c>
      <c r="C52" s="1253"/>
      <c r="D52" s="1253">
        <v>400000</v>
      </c>
      <c r="E52" s="782">
        <f t="shared" si="1"/>
        <v>400000</v>
      </c>
      <c r="H52" s="24"/>
    </row>
    <row r="53" spans="1:8" ht="62.45" customHeight="1">
      <c r="A53" s="1170" t="s">
        <v>37</v>
      </c>
      <c r="B53" s="1252" t="s">
        <v>784</v>
      </c>
      <c r="C53" s="1253"/>
      <c r="D53" s="1253">
        <v>500000</v>
      </c>
      <c r="E53" s="782">
        <f t="shared" si="1"/>
        <v>500000</v>
      </c>
      <c r="H53" s="24"/>
    </row>
    <row r="54" spans="1:8" ht="62.45" customHeight="1">
      <c r="A54" s="1170" t="s">
        <v>39</v>
      </c>
      <c r="B54" s="1252" t="s">
        <v>785</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786</v>
      </c>
      <c r="B56" s="1252" t="s">
        <v>787</v>
      </c>
      <c r="C56" s="1253"/>
      <c r="D56" s="1253">
        <v>765645</v>
      </c>
      <c r="E56" s="782">
        <f t="shared" si="1"/>
        <v>765645</v>
      </c>
      <c r="H56" s="24"/>
    </row>
    <row r="57" spans="1:8" ht="42">
      <c r="A57" s="1329" t="s">
        <v>788</v>
      </c>
      <c r="B57" s="1252" t="s">
        <v>789</v>
      </c>
      <c r="C57" s="1253"/>
      <c r="D57" s="1253">
        <v>5000000</v>
      </c>
      <c r="E57" s="782">
        <f t="shared" si="1"/>
        <v>5000000</v>
      </c>
      <c r="H57" s="24"/>
    </row>
    <row r="58" spans="1:8" ht="42">
      <c r="A58" s="1328" t="s">
        <v>727</v>
      </c>
      <c r="B58" s="1252" t="s">
        <v>790</v>
      </c>
      <c r="C58" s="1253"/>
      <c r="D58" s="1253">
        <v>756722</v>
      </c>
      <c r="E58" s="782">
        <f t="shared" si="1"/>
        <v>756722</v>
      </c>
      <c r="H58" s="24"/>
    </row>
    <row r="59" spans="1:8" ht="63">
      <c r="A59" s="1173" t="s">
        <v>43</v>
      </c>
      <c r="B59" s="783" t="s">
        <v>791</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792</v>
      </c>
      <c r="C61" s="1253"/>
      <c r="D61" s="1253">
        <v>50000</v>
      </c>
      <c r="E61" s="782">
        <f t="shared" si="1"/>
        <v>50000</v>
      </c>
      <c r="H61" s="24"/>
    </row>
    <row r="62" spans="1:8" ht="86.25" customHeight="1" thickBot="1">
      <c r="A62" s="1328" t="s">
        <v>49</v>
      </c>
      <c r="B62" s="730" t="s">
        <v>793</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7" t="s">
        <v>728</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81" t="s">
        <v>767</v>
      </c>
      <c r="C75" s="1282"/>
      <c r="D75" s="1282"/>
      <c r="E75" s="1283"/>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768</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761</v>
      </c>
      <c r="B114" s="1257" t="s">
        <v>774</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769</v>
      </c>
      <c r="U116" s="41"/>
      <c r="V116" s="42"/>
      <c r="W116" s="43"/>
      <c r="X116" s="44"/>
      <c r="Y116" s="72"/>
      <c r="Z116" s="1290"/>
      <c r="AA116" s="1291"/>
      <c r="AB116" s="1292"/>
      <c r="AC116" s="22"/>
      <c r="AD116" s="729" t="s">
        <v>770</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771</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772</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773</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E105" sqref="E105"/>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737</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32</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807</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0.15559845879803896</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2850</v>
      </c>
      <c r="E44" s="138">
        <f>+'EXHIBIT C'!F10</f>
        <v>2904</v>
      </c>
      <c r="F44" s="139">
        <f t="shared" ref="F44:F50" si="0">IF(D44=0,"0",(E44/D44-1))</f>
        <v>1.8947368421052602E-2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26600.737894501231</v>
      </c>
      <c r="E45" s="142">
        <f>+'EXHIBIT C'!F11</f>
        <v>29005</v>
      </c>
      <c r="F45" s="810">
        <f t="shared" si="0"/>
        <v>9.0383286171763055E-2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10183.844416562108</v>
      </c>
      <c r="E46" s="814">
        <f>+'EXHIBIT C'!F12</f>
        <v>11611</v>
      </c>
      <c r="F46" s="810">
        <f t="shared" si="0"/>
        <v>0.14013917780567153</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8836.3919597989952</v>
      </c>
      <c r="E47" s="814">
        <f>+'EXHIBIT C'!F13</f>
        <v>9990</v>
      </c>
      <c r="F47" s="810">
        <f t="shared" si="0"/>
        <v>0.13055193176687085</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1412.3076923076924</v>
      </c>
      <c r="E48" s="814">
        <f>+'EXHIBIT C'!F14</f>
        <v>1161</v>
      </c>
      <c r="F48" s="810">
        <f t="shared" si="0"/>
        <v>-0.17794117647058827</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455.6521739130435</v>
      </c>
      <c r="E49" s="817">
        <f>+'EXHIBIT C'!F15</f>
        <v>444</v>
      </c>
      <c r="F49" s="818">
        <f t="shared" si="0"/>
        <v>-2.5572519083969514E-2</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50338.934137083066</v>
      </c>
      <c r="E50" s="145">
        <f>+'EXHIBIT C'!F17</f>
        <v>55115</v>
      </c>
      <c r="F50" s="146">
        <f t="shared" si="0"/>
        <v>9.4878168256617101E-2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t="s">
        <v>811</v>
      </c>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808</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t="s">
        <v>809</v>
      </c>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t="s">
        <v>810</v>
      </c>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214.23039617995971</v>
      </c>
      <c r="E69" s="159">
        <f>+'EXHIBIT C'!D20</f>
        <v>207</v>
      </c>
      <c r="F69" s="821">
        <f t="shared" si="2"/>
        <v>-3.3750561586442518E-2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152.78544542032623</v>
      </c>
      <c r="E70" s="824">
        <f>+'EXHIBIT C'!D21</f>
        <v>113</v>
      </c>
      <c r="F70" s="821">
        <f t="shared" si="2"/>
        <v>-0.26040075552270681</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45.37688442211055</v>
      </c>
      <c r="E71" s="824">
        <f>+'EXHIBIT C'!D22</f>
        <v>90</v>
      </c>
      <c r="F71" s="821">
        <f t="shared" si="2"/>
        <v>0.9833887043189371</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27.692307692307693</v>
      </c>
      <c r="E72" s="824">
        <f>+'EXHIBIT C'!D23</f>
        <v>12</v>
      </c>
      <c r="F72" s="821">
        <f t="shared" si="2"/>
        <v>-0.56666666666666665</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24.34782608695652</v>
      </c>
      <c r="E73" s="826">
        <f>+'EXHIBIT C'!D24</f>
        <v>12</v>
      </c>
      <c r="F73" s="827">
        <f t="shared" si="2"/>
        <v>-0.50714285714285712</v>
      </c>
      <c r="G73" s="828" t="str">
        <f t="shared" si="3"/>
        <v>YES</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464.4328598016607</v>
      </c>
      <c r="E74" s="161">
        <f>SUM(E68:E73)</f>
        <v>434</v>
      </c>
      <c r="F74" s="162">
        <f t="shared" si="2"/>
        <v>-6.5526930662609173E-2</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t="s">
        <v>812</v>
      </c>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20"/>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20"/>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12328495.215399999</v>
      </c>
      <c r="E102" s="833">
        <f>+'EXHIBIT D'!G75</f>
        <v>12328495.215399999</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230394</v>
      </c>
      <c r="E103" s="833">
        <f>'EXHIBIT D'!G77</f>
        <v>230394</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2894280</v>
      </c>
      <c r="E104" s="833">
        <f>'EXHIBIT D'!G81</f>
        <v>2894280</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1891058</v>
      </c>
      <c r="E105" s="174">
        <f>'EXHIBIT D'!G76</f>
        <v>1891058</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17344227.215399999</v>
      </c>
      <c r="E106" s="176">
        <f>SUM(E102:E105)</f>
        <v>17344227.215399999</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739</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5016935</v>
      </c>
      <c r="D119" s="988" t="s">
        <v>740</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5016935</v>
      </c>
      <c r="D120" s="991" t="s">
        <v>741</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802</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10625000</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10675000</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-50000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50000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91.789944903581272</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t="str">
        <f>IF('EXHIBIT G'!D129=0,"No Credit Hours or Not Applicable",('EXHIBIT G'!D129/'EXHIBIT C'!D19))</f>
        <v>No Credit Hours or Not Applicable</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803</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804</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806</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zoomScale="70" zoomScaleNormal="70" zoomScaleSheetLayoutView="90" zoomScalePageLayoutView="70" workbookViewId="0">
      <selection activeCell="E15" sqref="E15"/>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736</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Florida Gateway College</v>
      </c>
      <c r="D8" s="1039"/>
      <c r="E8" s="1039"/>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v>-3635000</v>
      </c>
    </row>
    <row r="14" spans="2:7" ht="25.35" customHeight="1">
      <c r="B14" s="37" t="s">
        <v>185</v>
      </c>
      <c r="D14" s="112"/>
      <c r="E14" s="719">
        <v>10625000</v>
      </c>
    </row>
    <row r="15" spans="2:7" ht="25.35" customHeight="1">
      <c r="B15" s="112"/>
      <c r="C15" s="24"/>
      <c r="D15" s="112"/>
      <c r="E15" s="200"/>
    </row>
    <row r="16" spans="2:7" ht="25.35" customHeight="1">
      <c r="B16" s="24" t="s">
        <v>744</v>
      </c>
      <c r="C16" s="112"/>
      <c r="D16" s="35"/>
      <c r="E16" s="720">
        <f>+E14+E13</f>
        <v>6990000</v>
      </c>
    </row>
    <row r="17" spans="2:7" ht="25.35" customHeight="1">
      <c r="B17" s="112"/>
      <c r="C17" s="35"/>
      <c r="D17" s="112"/>
      <c r="E17" s="201"/>
    </row>
    <row r="18" spans="2:7" ht="25.35" customHeight="1">
      <c r="B18" s="37" t="s">
        <v>186</v>
      </c>
      <c r="C18" s="112"/>
      <c r="D18" s="112"/>
      <c r="E18" s="213">
        <f>+'EXHIBIT D'!G144-SUM(+'EXHIBIT D'!G132+'EXHIBIT D'!G133+'EXHIBIT D'!G134+'EXHIBIT D'!G135)</f>
        <v>24752832.215399999</v>
      </c>
      <c r="G18" s="202"/>
    </row>
    <row r="19" spans="2:7" ht="25.35" customHeight="1">
      <c r="B19" s="37" t="s">
        <v>187</v>
      </c>
      <c r="D19" s="112"/>
      <c r="E19" s="720">
        <f>+'EXHIBIT D'!G132+'EXHIBIT D'!G133+'EXHIBIT D'!G134+'EXHIBIT D'!G135</f>
        <v>500000</v>
      </c>
    </row>
    <row r="20" spans="2:7" ht="25.35" customHeight="1">
      <c r="B20" s="112"/>
      <c r="D20" s="112"/>
      <c r="E20" s="208"/>
    </row>
    <row r="21" spans="2:7" ht="25.35" customHeight="1">
      <c r="B21" s="37" t="s">
        <v>188</v>
      </c>
      <c r="C21" s="112"/>
      <c r="D21" s="112"/>
      <c r="E21" s="721">
        <f>+E19+E18</f>
        <v>25252832.215399999</v>
      </c>
    </row>
    <row r="22" spans="2:7" ht="25.35" customHeight="1">
      <c r="B22" s="112"/>
      <c r="C22" s="112"/>
      <c r="D22" s="112"/>
      <c r="E22" s="208"/>
    </row>
    <row r="23" spans="2:7" ht="25.35" customHeight="1">
      <c r="B23" s="112" t="s">
        <v>189</v>
      </c>
      <c r="C23" s="112"/>
      <c r="D23" s="112"/>
      <c r="E23" s="721">
        <f>+E21+E16</f>
        <v>32242832.215399999</v>
      </c>
    </row>
    <row r="24" spans="2:7" ht="25.35" customHeight="1">
      <c r="B24" s="112"/>
      <c r="C24" s="112"/>
      <c r="D24" s="112"/>
      <c r="E24" s="208"/>
    </row>
    <row r="25" spans="2:7" ht="25.35" customHeight="1">
      <c r="B25" s="37" t="s">
        <v>190</v>
      </c>
      <c r="C25" s="112"/>
      <c r="D25" s="112"/>
      <c r="E25" s="214">
        <f>'EXHIBIT D'!G260-SUM(+'EXHIBIT D'!G231+'EXHIBIT D'!G232+'EXHIBIT D'!G233+'EXHIBIT D'!G234+'EXHIBIT D'!G235)</f>
        <v>23954326</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23954326</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8288506.2153999992</v>
      </c>
      <c r="E32" s="203"/>
    </row>
    <row r="33" spans="2:10" ht="25.35" customHeight="1">
      <c r="B33" s="24" t="s">
        <v>194</v>
      </c>
      <c r="C33" s="112"/>
      <c r="D33" s="723">
        <f>+'EXHIBIT D'!G188</f>
        <v>50000</v>
      </c>
      <c r="E33" s="203"/>
      <c r="J33" s="149"/>
    </row>
    <row r="34" spans="2:10" ht="25.35" customHeight="1">
      <c r="B34" s="112"/>
      <c r="D34" s="112"/>
      <c r="E34" s="203"/>
      <c r="J34" s="205"/>
    </row>
    <row r="35" spans="2:10" ht="25.35" customHeight="1">
      <c r="B35" s="37" t="s">
        <v>746</v>
      </c>
      <c r="C35" s="112"/>
      <c r="D35" s="112"/>
      <c r="E35" s="206">
        <f>+D32+D33</f>
        <v>8338506.2153999992</v>
      </c>
      <c r="J35" s="149"/>
    </row>
    <row r="36" spans="2:10" ht="25.35" customHeight="1">
      <c r="B36" s="37" t="s">
        <v>747</v>
      </c>
      <c r="C36" s="112"/>
      <c r="D36" s="112"/>
      <c r="E36" s="721">
        <f>-'EXHIBIT D'!G276</f>
        <v>10675000</v>
      </c>
      <c r="J36" s="207"/>
    </row>
    <row r="37" spans="2:10" ht="25.35" customHeight="1">
      <c r="D37" s="112"/>
      <c r="E37" s="206"/>
      <c r="J37" s="149"/>
    </row>
    <row r="38" spans="2:10" ht="25.35" customHeight="1">
      <c r="B38" s="112" t="s">
        <v>748</v>
      </c>
      <c r="D38" s="112"/>
      <c r="E38" s="720">
        <f>+E35-E36</f>
        <v>-2336493.7846000008</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5016935</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0.15559845879803896</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abSelected="1" zoomScale="50" zoomScaleNormal="50" zoomScalePageLayoutView="50" workbookViewId="0">
      <selection activeCell="C30" sqref="C30"/>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752</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Florida Gateway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191">
        <v>4.59</v>
      </c>
      <c r="D14" s="1191">
        <v>9.18</v>
      </c>
      <c r="E14" s="1191">
        <v>9.18</v>
      </c>
      <c r="F14" s="1191">
        <v>4.59</v>
      </c>
      <c r="G14" s="844">
        <f>SUM(B14:F14)</f>
        <v>119.33000000000001</v>
      </c>
      <c r="H14" s="474">
        <f>G14*30</f>
        <v>3579.9000000000005</v>
      </c>
      <c r="I14" s="24"/>
    </row>
    <row r="15" spans="1:18" s="37" customFormat="1" ht="20.100000000000001" customHeight="1">
      <c r="A15" s="112" t="s">
        <v>212</v>
      </c>
      <c r="B15" s="1192">
        <v>78.94</v>
      </c>
      <c r="C15" s="1192">
        <v>5.53</v>
      </c>
      <c r="D15" s="1192">
        <v>6.25</v>
      </c>
      <c r="E15" s="1192">
        <v>7.89</v>
      </c>
      <c r="F15" s="1192">
        <v>3.71</v>
      </c>
      <c r="G15" s="844">
        <f>SUM(B15:F15)</f>
        <v>102.32</v>
      </c>
      <c r="H15" s="437">
        <f>G15*30</f>
        <v>3069.6</v>
      </c>
      <c r="I15" s="24"/>
    </row>
    <row r="16" spans="1:18" s="37" customFormat="1" ht="20.100000000000001" customHeight="1" thickBot="1">
      <c r="A16" s="35" t="s">
        <v>82</v>
      </c>
      <c r="B16" s="1193">
        <v>69.900000000000006</v>
      </c>
      <c r="C16" s="1193">
        <v>6.99</v>
      </c>
      <c r="D16" s="1194"/>
      <c r="E16" s="1193">
        <v>3.5</v>
      </c>
      <c r="F16" s="1193">
        <v>3.5</v>
      </c>
      <c r="G16" s="438">
        <f>SUM(B16:F16)</f>
        <v>83.89</v>
      </c>
      <c r="H16" s="845">
        <f>G16*30</f>
        <v>2516.6999999999998</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275.37</v>
      </c>
      <c r="D29" s="1191">
        <v>18.36</v>
      </c>
      <c r="E29" s="676">
        <f>D14</f>
        <v>9.18</v>
      </c>
      <c r="F29" s="1191">
        <v>36.72</v>
      </c>
      <c r="G29" s="1191">
        <v>18.36</v>
      </c>
      <c r="H29" s="448">
        <f>SUM(B29:G29)</f>
        <v>449.78000000000009</v>
      </c>
      <c r="I29" s="468">
        <f>H29*30</f>
        <v>13493.400000000003</v>
      </c>
      <c r="J29" s="24"/>
    </row>
    <row r="30" spans="1:11" s="37" customFormat="1" ht="20.100000000000001" customHeight="1">
      <c r="A30" s="112" t="str">
        <f t="shared" si="0"/>
        <v>LOWER LEVEL - CREDIT (A &amp; P, PSV, DEVELOPMENTAL EDUCATION AND EPI)</v>
      </c>
      <c r="B30" s="848">
        <f t="shared" si="0"/>
        <v>78.94</v>
      </c>
      <c r="C30" s="1195">
        <v>236.82</v>
      </c>
      <c r="D30" s="1195">
        <v>22.1</v>
      </c>
      <c r="E30" s="849">
        <f>D15</f>
        <v>6.25</v>
      </c>
      <c r="F30" s="1195">
        <v>31.58</v>
      </c>
      <c r="G30" s="1195">
        <v>14.88</v>
      </c>
      <c r="H30" s="844">
        <f>SUM(B30:G30)</f>
        <v>390.57</v>
      </c>
      <c r="I30" s="437">
        <f>H30*30</f>
        <v>11717.1</v>
      </c>
    </row>
    <row r="31" spans="1:11" s="37" customFormat="1" ht="20.100000000000001" customHeight="1" thickBot="1">
      <c r="A31" s="112" t="str">
        <f t="shared" si="0"/>
        <v>CAREER CERTIFICATE AND APPLIED TECHNOLOGY DIPLOMA</v>
      </c>
      <c r="B31" s="527">
        <f t="shared" si="0"/>
        <v>69.900000000000006</v>
      </c>
      <c r="C31" s="1192">
        <v>209.7</v>
      </c>
      <c r="D31" s="1192">
        <v>27.96</v>
      </c>
      <c r="E31" s="405"/>
      <c r="F31" s="1192">
        <v>13.98</v>
      </c>
      <c r="G31" s="1192">
        <v>13.98</v>
      </c>
      <c r="H31" s="438">
        <f>SUM(B31:G31)</f>
        <v>335.52000000000004</v>
      </c>
      <c r="I31" s="845">
        <f>H31*30</f>
        <v>10065.6</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753</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2" zoomScale="50" zoomScaleNormal="50" zoomScaleSheetLayoutView="50" zoomScalePageLayoutView="50" workbookViewId="0">
      <selection activeCell="D16" sqref="D16"/>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754</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Florida Gateway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2914</v>
      </c>
      <c r="E10" s="680">
        <v>10</v>
      </c>
      <c r="F10" s="681">
        <f t="shared" ref="F10:F15" si="0">+D10-E10</f>
        <v>2904</v>
      </c>
      <c r="G10" s="681">
        <f>'EXHIBIT B'!B14</f>
        <v>91.79</v>
      </c>
      <c r="H10" s="682">
        <f>ROUND(+F10*G10,0)</f>
        <v>266558</v>
      </c>
      <c r="I10" s="149"/>
      <c r="J10" s="149"/>
    </row>
    <row r="11" spans="1:10" ht="20.100000000000001" customHeight="1">
      <c r="A11" s="855" t="s">
        <v>205</v>
      </c>
      <c r="B11" s="855" t="s">
        <v>133</v>
      </c>
      <c r="C11" s="856" t="s">
        <v>233</v>
      </c>
      <c r="D11" s="854">
        <v>43305</v>
      </c>
      <c r="E11" s="854">
        <v>14300</v>
      </c>
      <c r="F11" s="857">
        <f t="shared" si="0"/>
        <v>29005</v>
      </c>
      <c r="G11" s="857">
        <f>+'EXHIBIT B'!B15</f>
        <v>78.94</v>
      </c>
      <c r="H11" s="858">
        <f t="shared" ref="H11:H15" si="1">ROUND(+F11*G11,0)</f>
        <v>2289655</v>
      </c>
      <c r="I11" s="149"/>
      <c r="J11" s="149"/>
    </row>
    <row r="12" spans="1:10" ht="20.100000000000001" customHeight="1">
      <c r="A12" s="855" t="s">
        <v>205</v>
      </c>
      <c r="B12" s="855" t="s">
        <v>134</v>
      </c>
      <c r="C12" s="856" t="s">
        <v>234</v>
      </c>
      <c r="D12" s="854">
        <v>12261</v>
      </c>
      <c r="E12" s="854">
        <v>650</v>
      </c>
      <c r="F12" s="857">
        <f t="shared" si="0"/>
        <v>11611</v>
      </c>
      <c r="G12" s="857">
        <f>+'EXHIBIT B'!B15</f>
        <v>78.94</v>
      </c>
      <c r="H12" s="858">
        <f t="shared" si="1"/>
        <v>916572</v>
      </c>
      <c r="I12" s="149"/>
      <c r="J12" s="149"/>
    </row>
    <row r="13" spans="1:10" ht="20.100000000000001" customHeight="1">
      <c r="A13" s="855" t="s">
        <v>205</v>
      </c>
      <c r="B13" s="855" t="s">
        <v>82</v>
      </c>
      <c r="C13" s="856" t="s">
        <v>235</v>
      </c>
      <c r="D13" s="859">
        <v>10110</v>
      </c>
      <c r="E13" s="859">
        <v>120</v>
      </c>
      <c r="F13" s="857">
        <f t="shared" si="0"/>
        <v>9990</v>
      </c>
      <c r="G13" s="857">
        <f>+'EXHIBIT B'!B16</f>
        <v>69.900000000000006</v>
      </c>
      <c r="H13" s="858">
        <f t="shared" si="1"/>
        <v>698301</v>
      </c>
      <c r="I13" s="149"/>
      <c r="J13" s="149"/>
    </row>
    <row r="14" spans="1:10" ht="20.100000000000001" customHeight="1">
      <c r="A14" s="855" t="s">
        <v>205</v>
      </c>
      <c r="B14" s="855" t="s">
        <v>135</v>
      </c>
      <c r="C14" s="856" t="s">
        <v>236</v>
      </c>
      <c r="D14" s="854">
        <v>1281</v>
      </c>
      <c r="E14" s="854">
        <v>120</v>
      </c>
      <c r="F14" s="857">
        <f t="shared" si="0"/>
        <v>1161</v>
      </c>
      <c r="G14" s="857">
        <f>+'EXHIBIT B'!B15</f>
        <v>78.94</v>
      </c>
      <c r="H14" s="858">
        <f t="shared" si="1"/>
        <v>91649</v>
      </c>
      <c r="I14" s="149"/>
      <c r="J14" s="149"/>
    </row>
    <row r="15" spans="1:10" ht="20.100000000000001" customHeight="1" thickBot="1">
      <c r="A15" s="860" t="s">
        <v>205</v>
      </c>
      <c r="B15" s="860" t="s">
        <v>136</v>
      </c>
      <c r="C15" s="861">
        <v>40160</v>
      </c>
      <c r="D15" s="862">
        <v>444</v>
      </c>
      <c r="E15" s="862">
        <v>0</v>
      </c>
      <c r="F15" s="863">
        <f t="shared" si="0"/>
        <v>444</v>
      </c>
      <c r="G15" s="863">
        <f>+'EXHIBIT B'!B15</f>
        <v>78.94</v>
      </c>
      <c r="H15" s="864">
        <f t="shared" si="1"/>
        <v>35049</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70315</v>
      </c>
      <c r="E17" s="386">
        <f>SUM(E10:E15)</f>
        <v>15200</v>
      </c>
      <c r="F17" s="387">
        <f>SUM(F10:F15)</f>
        <v>55115</v>
      </c>
      <c r="G17" s="387"/>
      <c r="H17" s="388">
        <f>SUM(H10:H15)</f>
        <v>4297784</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0</v>
      </c>
      <c r="E19" s="867">
        <f>'EXHIBIT B'!C29</f>
        <v>275.37</v>
      </c>
      <c r="F19" s="868">
        <f t="shared" ref="F19:F24" si="2">ROUND(+D19*E19,0)</f>
        <v>0</v>
      </c>
      <c r="G19" s="390"/>
      <c r="H19" s="390"/>
    </row>
    <row r="20" spans="1:10" ht="20.100000000000001" customHeight="1">
      <c r="A20" s="869" t="s">
        <v>220</v>
      </c>
      <c r="B20" s="869" t="s">
        <v>133</v>
      </c>
      <c r="C20" s="870" t="s">
        <v>240</v>
      </c>
      <c r="D20" s="877">
        <v>207</v>
      </c>
      <c r="E20" s="871">
        <f>+'EXHIBIT B'!C30</f>
        <v>236.82</v>
      </c>
      <c r="F20" s="872">
        <f t="shared" si="2"/>
        <v>49022</v>
      </c>
      <c r="G20" s="391"/>
      <c r="H20" s="391"/>
    </row>
    <row r="21" spans="1:10" ht="20.100000000000001" customHeight="1">
      <c r="A21" s="869" t="s">
        <v>220</v>
      </c>
      <c r="B21" s="869" t="s">
        <v>134</v>
      </c>
      <c r="C21" s="870" t="s">
        <v>241</v>
      </c>
      <c r="D21" s="877">
        <v>113</v>
      </c>
      <c r="E21" s="871">
        <f>+'EXHIBIT B'!C30</f>
        <v>236.82</v>
      </c>
      <c r="F21" s="872">
        <f t="shared" si="2"/>
        <v>26761</v>
      </c>
      <c r="G21" s="391"/>
      <c r="H21" s="391"/>
    </row>
    <row r="22" spans="1:10" ht="20.100000000000001" customHeight="1">
      <c r="A22" s="869" t="s">
        <v>220</v>
      </c>
      <c r="B22" s="869" t="s">
        <v>82</v>
      </c>
      <c r="C22" s="870" t="s">
        <v>242</v>
      </c>
      <c r="D22" s="877">
        <v>90</v>
      </c>
      <c r="E22" s="871">
        <f>+'EXHIBIT B'!C31</f>
        <v>209.7</v>
      </c>
      <c r="F22" s="872">
        <f t="shared" si="2"/>
        <v>18873</v>
      </c>
      <c r="G22" s="391"/>
      <c r="H22" s="391"/>
    </row>
    <row r="23" spans="1:10" ht="20.100000000000001" customHeight="1">
      <c r="A23" s="869" t="s">
        <v>220</v>
      </c>
      <c r="B23" s="869" t="s">
        <v>135</v>
      </c>
      <c r="C23" s="870" t="s">
        <v>243</v>
      </c>
      <c r="D23" s="877">
        <v>12</v>
      </c>
      <c r="E23" s="871">
        <f>+'EXHIBIT B'!C30</f>
        <v>236.82</v>
      </c>
      <c r="F23" s="872">
        <f t="shared" si="2"/>
        <v>2842</v>
      </c>
      <c r="G23" s="391"/>
      <c r="H23" s="391"/>
    </row>
    <row r="24" spans="1:10" ht="20.100000000000001" customHeight="1" thickBot="1">
      <c r="A24" s="745" t="s">
        <v>220</v>
      </c>
      <c r="B24" s="745" t="s">
        <v>136</v>
      </c>
      <c r="C24" s="746">
        <v>40360</v>
      </c>
      <c r="D24" s="1197">
        <v>12</v>
      </c>
      <c r="E24" s="747">
        <f>+'EXHIBIT B'!C30</f>
        <v>236.82</v>
      </c>
      <c r="F24" s="748">
        <f t="shared" si="2"/>
        <v>2842</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434</v>
      </c>
      <c r="E26" s="875"/>
      <c r="F26" s="876">
        <f>SUM(F19:F24)</f>
        <v>100340</v>
      </c>
      <c r="G26" s="395"/>
      <c r="H26" s="395"/>
    </row>
    <row r="27" spans="1:10" ht="20.100000000000001" customHeight="1" thickBot="1">
      <c r="A27" s="396" t="s">
        <v>244</v>
      </c>
      <c r="B27" s="396"/>
      <c r="C27" s="396"/>
      <c r="D27" s="396"/>
      <c r="E27" s="396"/>
      <c r="F27" s="397"/>
      <c r="G27" s="683"/>
      <c r="H27" s="398">
        <f>H17+F26</f>
        <v>4398124</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4398124</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8">
        <v>0</v>
      </c>
      <c r="C54" s="1200"/>
      <c r="D54" s="1201"/>
      <c r="E54" s="1200"/>
      <c r="F54" s="1201"/>
    </row>
    <row r="55" spans="1:10" ht="24.95" customHeight="1">
      <c r="A55" s="884"/>
      <c r="B55" s="877">
        <v>0</v>
      </c>
      <c r="C55" s="1202"/>
      <c r="D55" s="1203"/>
      <c r="E55" s="1202"/>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0</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726</v>
      </c>
      <c r="B63" s="1199">
        <v>500000</v>
      </c>
      <c r="C63" s="1200"/>
      <c r="D63" s="1201">
        <v>3</v>
      </c>
      <c r="E63" s="1200">
        <v>1</v>
      </c>
      <c r="F63" s="1201"/>
      <c r="I63" s="149"/>
    </row>
    <row r="64" spans="1:10" ht="24.95" customHeight="1">
      <c r="A64" s="884"/>
      <c r="B64" s="877">
        <v>0</v>
      </c>
      <c r="C64" s="1202"/>
      <c r="D64" s="1203"/>
      <c r="E64" s="1202"/>
      <c r="F64" s="1203"/>
      <c r="I64" s="149"/>
    </row>
    <row r="65" spans="1:9" ht="24.95" customHeight="1">
      <c r="A65" s="884"/>
      <c r="B65" s="877">
        <v>0</v>
      </c>
      <c r="C65" s="1202"/>
      <c r="D65" s="1203"/>
      <c r="E65" s="1202"/>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500000</v>
      </c>
      <c r="C69" s="1210"/>
      <c r="D69" s="1211"/>
      <c r="E69" s="1210"/>
      <c r="F69" s="1211"/>
    </row>
    <row r="70" spans="1:9" ht="24.95" customHeight="1" thickBot="1">
      <c r="A70" s="374" t="s">
        <v>270</v>
      </c>
      <c r="B70" s="375">
        <f>+B69+B60</f>
        <v>500000</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Florida Gateway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82"/>
  <sheetViews>
    <sheetView showGridLines="0" topLeftCell="A240" zoomScale="70" zoomScaleNormal="70" zoomScaleSheetLayoutView="70" zoomScalePageLayoutView="70" workbookViewId="0">
      <selection activeCell="G77" sqref="G77"/>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Florida Gateway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755</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266558</v>
      </c>
      <c r="H12" s="219"/>
    </row>
    <row r="13" spans="1:8" ht="20.100000000000001" customHeight="1">
      <c r="A13" s="625" t="s">
        <v>205</v>
      </c>
      <c r="B13" s="226"/>
      <c r="C13" s="219" t="s">
        <v>133</v>
      </c>
      <c r="D13" s="226"/>
      <c r="E13" s="226"/>
      <c r="F13" s="232" t="s">
        <v>233</v>
      </c>
      <c r="G13" s="231">
        <f>+'EXHIBIT C'!H11+'EXHIBIT C(2)'!E14</f>
        <v>2289655</v>
      </c>
      <c r="H13" s="219"/>
    </row>
    <row r="14" spans="1:8" ht="20.100000000000001" customHeight="1">
      <c r="A14" s="625" t="s">
        <v>205</v>
      </c>
      <c r="B14" s="226"/>
      <c r="C14" s="226" t="s">
        <v>134</v>
      </c>
      <c r="D14" s="226"/>
      <c r="E14" s="226"/>
      <c r="F14" s="232" t="s">
        <v>234</v>
      </c>
      <c r="G14" s="649">
        <f>+'EXHIBIT C'!H12+'EXHIBIT C(2)'!E15</f>
        <v>916572</v>
      </c>
      <c r="H14" s="219"/>
    </row>
    <row r="15" spans="1:8" ht="20.100000000000001" customHeight="1">
      <c r="A15" s="625" t="s">
        <v>205</v>
      </c>
      <c r="B15" s="226"/>
      <c r="C15" s="233" t="s">
        <v>287</v>
      </c>
      <c r="D15" s="226"/>
      <c r="E15" s="226"/>
      <c r="F15" s="232" t="s">
        <v>235</v>
      </c>
      <c r="G15" s="649">
        <f>+'EXHIBIT C'!H13+'EXHIBIT C(2)'!E16</f>
        <v>698301</v>
      </c>
      <c r="H15" s="219"/>
    </row>
    <row r="16" spans="1:8" ht="20.100000000000001" customHeight="1">
      <c r="A16" s="625" t="s">
        <v>205</v>
      </c>
      <c r="B16" s="226"/>
      <c r="C16" s="233" t="s">
        <v>288</v>
      </c>
      <c r="D16" s="226"/>
      <c r="E16" s="226"/>
      <c r="F16" s="232" t="s">
        <v>236</v>
      </c>
      <c r="G16" s="650">
        <f>+'EXHIBIT C'!H14+'EXHIBIT C(2)'!E17</f>
        <v>91649</v>
      </c>
      <c r="H16" s="219"/>
    </row>
    <row r="17" spans="1:8" ht="20.100000000000001" customHeight="1">
      <c r="A17" s="625" t="s">
        <v>205</v>
      </c>
      <c r="B17" s="226"/>
      <c r="C17" s="219" t="s">
        <v>136</v>
      </c>
      <c r="D17" s="226"/>
      <c r="E17" s="226"/>
      <c r="F17" s="235">
        <v>40160</v>
      </c>
      <c r="G17" s="650">
        <f>+'EXHIBIT C'!H15+'EXHIBIT C(2)'!E18</f>
        <v>35049</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4297784</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0</v>
      </c>
      <c r="H21" s="662"/>
    </row>
    <row r="22" spans="1:8" ht="20.100000000000001" customHeight="1">
      <c r="A22" s="626" t="s">
        <v>220</v>
      </c>
      <c r="B22" s="226"/>
      <c r="C22" s="219" t="s">
        <v>133</v>
      </c>
      <c r="D22" s="226"/>
      <c r="E22" s="226"/>
      <c r="F22" s="232" t="s">
        <v>240</v>
      </c>
      <c r="G22" s="237">
        <f>+'EXHIBIT C'!F20+'EXHIBIT C(2)'!E23</f>
        <v>49022</v>
      </c>
      <c r="H22" s="219"/>
    </row>
    <row r="23" spans="1:8" ht="20.100000000000001" customHeight="1">
      <c r="A23" s="626" t="s">
        <v>220</v>
      </c>
      <c r="B23" s="226"/>
      <c r="C23" s="226" t="s">
        <v>134</v>
      </c>
      <c r="D23" s="226"/>
      <c r="E23" s="226"/>
      <c r="F23" s="232" t="s">
        <v>241</v>
      </c>
      <c r="G23" s="242">
        <f>+'EXHIBIT C'!F21+'EXHIBIT C(2)'!E24</f>
        <v>26761</v>
      </c>
      <c r="H23" s="219"/>
    </row>
    <row r="24" spans="1:8" ht="20.100000000000001" customHeight="1">
      <c r="A24" s="626" t="s">
        <v>220</v>
      </c>
      <c r="B24" s="226"/>
      <c r="C24" s="233" t="s">
        <v>287</v>
      </c>
      <c r="D24" s="226"/>
      <c r="E24" s="226"/>
      <c r="F24" s="232" t="s">
        <v>242</v>
      </c>
      <c r="G24" s="242">
        <f>+'EXHIBIT C'!F22+'EXHIBIT C(2)'!E25</f>
        <v>18873</v>
      </c>
      <c r="H24" s="219"/>
    </row>
    <row r="25" spans="1:8" ht="20.100000000000001" customHeight="1">
      <c r="A25" s="626" t="s">
        <v>220</v>
      </c>
      <c r="B25" s="226"/>
      <c r="C25" s="233" t="s">
        <v>288</v>
      </c>
      <c r="D25" s="226"/>
      <c r="E25" s="226"/>
      <c r="F25" s="232" t="s">
        <v>243</v>
      </c>
      <c r="G25" s="242">
        <f>+'EXHIBIT C'!F23+'EXHIBIT C(2)'!E26</f>
        <v>2842</v>
      </c>
      <c r="H25" s="219"/>
    </row>
    <row r="26" spans="1:8" ht="20.100000000000001" customHeight="1">
      <c r="A26" s="626" t="s">
        <v>220</v>
      </c>
      <c r="B26" s="226"/>
      <c r="C26" s="219" t="s">
        <v>136</v>
      </c>
      <c r="D26" s="226"/>
      <c r="E26" s="226"/>
      <c r="F26" s="235">
        <v>40360</v>
      </c>
      <c r="G26" s="242">
        <f>+'EXHIBIT C'!F24+'EXHIBIT C(2)'!E27</f>
        <v>2842</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100340</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4398124</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55000</v>
      </c>
      <c r="H47" s="662"/>
    </row>
    <row r="48" spans="1:8" ht="20.100000000000001" customHeight="1">
      <c r="A48" s="625" t="s">
        <v>302</v>
      </c>
      <c r="B48" s="219"/>
      <c r="C48" s="243"/>
      <c r="D48" s="243"/>
      <c r="E48" s="243"/>
      <c r="F48" s="244" t="s">
        <v>303</v>
      </c>
      <c r="G48" s="569">
        <v>50000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600000</v>
      </c>
      <c r="H50" s="219"/>
    </row>
    <row r="51" spans="1:8" ht="20.100000000000001" customHeight="1">
      <c r="A51" s="625" t="s">
        <v>308</v>
      </c>
      <c r="B51" s="226"/>
      <c r="C51" s="226"/>
      <c r="D51" s="226"/>
      <c r="E51" s="226"/>
      <c r="F51" s="230">
        <v>40450</v>
      </c>
      <c r="G51" s="569">
        <v>360000</v>
      </c>
      <c r="H51" s="219"/>
    </row>
    <row r="52" spans="1:8" ht="20.100000000000001" customHeight="1">
      <c r="A52" s="625" t="s">
        <v>309</v>
      </c>
      <c r="B52" s="226"/>
      <c r="C52" s="226"/>
      <c r="D52" s="226"/>
      <c r="E52" s="226"/>
      <c r="F52" s="245" t="s">
        <v>310</v>
      </c>
      <c r="G52" s="569">
        <v>0</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225000</v>
      </c>
      <c r="H58" s="219"/>
    </row>
    <row r="59" spans="1:8" ht="20.100000000000001" customHeight="1">
      <c r="A59" s="626" t="s">
        <v>323</v>
      </c>
      <c r="B59" s="229"/>
      <c r="C59" s="229"/>
      <c r="D59" s="229"/>
      <c r="E59" s="229"/>
      <c r="F59" s="245" t="s">
        <v>324</v>
      </c>
      <c r="G59" s="569">
        <f>55000+8500+1000+4500+30000</f>
        <v>99000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5787124</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800000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800000</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12328495.215399999</v>
      </c>
      <c r="H75" s="219"/>
    </row>
    <row r="76" spans="1:8" ht="20.100000000000001" customHeight="1">
      <c r="A76" s="625" t="s">
        <v>799</v>
      </c>
      <c r="B76" s="226"/>
      <c r="C76" s="226"/>
      <c r="D76" s="226"/>
      <c r="E76" s="226"/>
      <c r="F76" s="235">
        <v>42130</v>
      </c>
      <c r="G76" s="652">
        <v>1891058</v>
      </c>
      <c r="H76" s="219"/>
    </row>
    <row r="77" spans="1:8" ht="20.100000000000001" customHeight="1">
      <c r="A77" s="628" t="s">
        <v>341</v>
      </c>
      <c r="B77" s="629"/>
      <c r="C77" s="629"/>
      <c r="D77" s="629"/>
      <c r="E77" s="629"/>
      <c r="F77" s="248" t="s">
        <v>342</v>
      </c>
      <c r="G77" s="653">
        <v>230394</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200000</v>
      </c>
      <c r="H80" s="219"/>
    </row>
    <row r="81" spans="1:10" ht="20.100000000000001" customHeight="1">
      <c r="A81" s="625" t="s">
        <v>349</v>
      </c>
      <c r="B81" s="226"/>
      <c r="C81" s="226"/>
      <c r="D81" s="226"/>
      <c r="E81" s="226"/>
      <c r="F81" s="232" t="s">
        <v>350</v>
      </c>
      <c r="G81" s="651">
        <f>'CHECK SHEET'!D104</f>
        <v>2894280</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17544227.215399999</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160000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160000</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0</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200000</v>
      </c>
      <c r="H109" s="219"/>
    </row>
    <row r="110" spans="1:8" ht="20.100000000000001" customHeight="1">
      <c r="A110" s="625" t="s">
        <v>376</v>
      </c>
      <c r="B110" s="226"/>
      <c r="C110" s="226"/>
      <c r="D110" s="226"/>
      <c r="E110" s="226"/>
      <c r="F110" s="232" t="s">
        <v>377</v>
      </c>
      <c r="G110" s="570">
        <v>166000</v>
      </c>
      <c r="H110" s="219"/>
    </row>
    <row r="111" spans="1:8" ht="20.100000000000001" customHeight="1">
      <c r="A111" s="625" t="s">
        <v>378</v>
      </c>
      <c r="B111" s="226"/>
      <c r="C111" s="226"/>
      <c r="D111" s="226"/>
      <c r="E111" s="226"/>
      <c r="F111" s="232" t="s">
        <v>379</v>
      </c>
      <c r="G111" s="570">
        <v>10000</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7">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376000</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35000</v>
      </c>
      <c r="H123" s="219"/>
    </row>
    <row r="124" spans="1:8" ht="20.100000000000001" customHeight="1">
      <c r="A124" s="625" t="s">
        <v>391</v>
      </c>
      <c r="B124" s="226"/>
      <c r="C124" s="226"/>
      <c r="D124" s="226"/>
      <c r="E124" s="226"/>
      <c r="F124" s="232" t="s">
        <v>392</v>
      </c>
      <c r="G124" s="570">
        <v>3000</v>
      </c>
      <c r="H124" s="219"/>
    </row>
    <row r="125" spans="1:8" ht="20.100000000000001" customHeight="1">
      <c r="A125" s="625" t="s">
        <v>393</v>
      </c>
      <c r="B125" s="226"/>
      <c r="C125" s="226"/>
      <c r="D125" s="226"/>
      <c r="E125" s="226"/>
      <c r="F125" s="232" t="s">
        <v>394</v>
      </c>
      <c r="G125" s="570">
        <f>50+600</f>
        <v>650</v>
      </c>
      <c r="H125" s="219"/>
    </row>
    <row r="126" spans="1:8" ht="20.100000000000001" customHeight="1">
      <c r="A126" s="625" t="s">
        <v>395</v>
      </c>
      <c r="B126" s="226"/>
      <c r="C126" s="226"/>
      <c r="D126" s="226"/>
      <c r="E126" s="226"/>
      <c r="F126" s="232" t="s">
        <v>396</v>
      </c>
      <c r="G126" s="570">
        <f>14000+27681</f>
        <v>41681</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80331</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500000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5000</v>
      </c>
      <c r="H136" s="219"/>
    </row>
    <row r="137" spans="1:8" ht="20.100000000000001" customHeight="1">
      <c r="A137" s="625" t="s">
        <v>407</v>
      </c>
      <c r="B137" s="226"/>
      <c r="C137" s="226"/>
      <c r="D137" s="226"/>
      <c r="E137" s="226"/>
      <c r="F137" s="235">
        <v>49520</v>
      </c>
      <c r="G137" s="570">
        <v>0</v>
      </c>
      <c r="H137" s="219"/>
    </row>
    <row r="138" spans="1:8" ht="20.100000000000001" customHeight="1">
      <c r="A138" s="1254" t="s">
        <v>735</v>
      </c>
      <c r="B138" s="226"/>
      <c r="C138" s="226"/>
      <c r="D138" s="226"/>
      <c r="E138" s="226"/>
      <c r="F138" s="1255" t="s">
        <v>734</v>
      </c>
      <c r="G138" s="570">
        <v>0</v>
      </c>
      <c r="H138" s="219"/>
    </row>
    <row r="139" spans="1:8" ht="20.100000000000001" customHeight="1">
      <c r="A139" s="625" t="s">
        <v>408</v>
      </c>
      <c r="B139" s="226"/>
      <c r="C139" s="226"/>
      <c r="D139" s="226"/>
      <c r="E139" s="226"/>
      <c r="F139" s="232" t="s">
        <v>409</v>
      </c>
      <c r="G139" s="570">
        <v>100</v>
      </c>
      <c r="H139" s="219"/>
    </row>
    <row r="140" spans="1:8" ht="20.100000000000001" customHeight="1">
      <c r="A140" s="625" t="s">
        <v>410</v>
      </c>
      <c r="B140" s="226"/>
      <c r="C140" s="226"/>
      <c r="D140" s="226"/>
      <c r="E140" s="226"/>
      <c r="F140" s="232" t="s">
        <v>411</v>
      </c>
      <c r="G140" s="570">
        <v>50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505150</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25252832.215399999</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628662</v>
      </c>
      <c r="H148" s="219"/>
    </row>
    <row r="149" spans="1:8" ht="20.100000000000001" customHeight="1">
      <c r="A149" s="625" t="s">
        <v>417</v>
      </c>
      <c r="B149" s="219"/>
      <c r="C149" s="219"/>
      <c r="D149" s="219"/>
      <c r="E149" s="219"/>
      <c r="F149" s="232" t="s">
        <v>418</v>
      </c>
      <c r="G149" s="574">
        <v>464921</v>
      </c>
      <c r="H149" s="219"/>
    </row>
    <row r="150" spans="1:8" ht="20.100000000000001" customHeight="1">
      <c r="A150" s="625" t="s">
        <v>419</v>
      </c>
      <c r="B150" s="219"/>
      <c r="C150" s="219"/>
      <c r="D150" s="219"/>
      <c r="E150" s="219"/>
      <c r="F150" s="232" t="s">
        <v>420</v>
      </c>
      <c r="G150" s="574">
        <f>4523270+167001+1185932</f>
        <v>5876203</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0</v>
      </c>
      <c r="H153" s="219"/>
    </row>
    <row r="154" spans="1:8" ht="20.100000000000001" customHeight="1">
      <c r="A154" s="625" t="s">
        <v>427</v>
      </c>
      <c r="B154" s="226"/>
      <c r="C154" s="226"/>
      <c r="D154" s="226"/>
      <c r="E154" s="226"/>
      <c r="F154" s="232" t="s">
        <v>428</v>
      </c>
      <c r="G154" s="574">
        <f>790557+13750</f>
        <v>804307</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39675</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955769</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417987</v>
      </c>
      <c r="H166" s="219"/>
    </row>
    <row r="167" spans="1:8" ht="20.100000000000001" customHeight="1">
      <c r="A167" s="625" t="s">
        <v>452</v>
      </c>
      <c r="B167" s="226"/>
      <c r="C167" s="226"/>
      <c r="D167" s="226"/>
      <c r="E167" s="226"/>
      <c r="F167" s="232" t="s">
        <v>453</v>
      </c>
      <c r="G167" s="574">
        <v>0</v>
      </c>
      <c r="H167" s="219"/>
    </row>
    <row r="168" spans="1:8" ht="20.100000000000001" customHeight="1">
      <c r="A168" s="625" t="s">
        <v>454</v>
      </c>
      <c r="B168" s="226"/>
      <c r="C168" s="226"/>
      <c r="D168" s="226"/>
      <c r="E168" s="226"/>
      <c r="F168" s="232" t="s">
        <v>455</v>
      </c>
      <c r="G168" s="574">
        <f>1782833+232657</f>
        <v>2015490</v>
      </c>
      <c r="H168" s="219"/>
    </row>
    <row r="169" spans="1:8" ht="20.100000000000001" customHeight="1">
      <c r="A169" s="625" t="s">
        <v>456</v>
      </c>
      <c r="B169" s="226"/>
      <c r="C169" s="226"/>
      <c r="D169" s="226"/>
      <c r="E169" s="226"/>
      <c r="F169" s="232" t="s">
        <v>457</v>
      </c>
      <c r="G169" s="574">
        <v>2000</v>
      </c>
      <c r="H169" s="219"/>
    </row>
    <row r="170" spans="1:8" ht="20.100000000000001" customHeight="1">
      <c r="A170" s="625" t="s">
        <v>458</v>
      </c>
      <c r="B170" s="226"/>
      <c r="C170" s="226"/>
      <c r="D170" s="226"/>
      <c r="E170" s="226"/>
      <c r="F170" s="232" t="s">
        <v>459</v>
      </c>
      <c r="G170" s="574">
        <v>0</v>
      </c>
      <c r="H170" s="219"/>
    </row>
    <row r="171" spans="1:8" ht="20.100000000000001" customHeight="1">
      <c r="A171" s="625" t="s">
        <v>460</v>
      </c>
      <c r="B171" s="226"/>
      <c r="C171" s="226"/>
      <c r="D171" s="226"/>
      <c r="E171" s="226"/>
      <c r="F171" s="232" t="s">
        <v>461</v>
      </c>
      <c r="G171" s="574">
        <v>12000</v>
      </c>
      <c r="H171" s="219"/>
    </row>
    <row r="172" spans="1:8" ht="20.100000000000001" customHeight="1">
      <c r="A172" s="625" t="s">
        <v>462</v>
      </c>
      <c r="B172" s="226"/>
      <c r="C172" s="226"/>
      <c r="D172" s="226"/>
      <c r="E172" s="226"/>
      <c r="F172" s="232" t="s">
        <v>463</v>
      </c>
      <c r="G172" s="574">
        <f>750+1582350</f>
        <v>1583100</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f>53379+50000</f>
        <v>103379</v>
      </c>
      <c r="H178" s="219"/>
    </row>
    <row r="179" spans="1:8" ht="20.100000000000001" customHeight="1">
      <c r="A179" s="625" t="s">
        <v>473</v>
      </c>
      <c r="B179" s="226"/>
      <c r="C179" s="226"/>
      <c r="D179" s="226"/>
      <c r="E179" s="226"/>
      <c r="F179" s="232" t="s">
        <v>474</v>
      </c>
      <c r="G179" s="574">
        <f>11689+162960</f>
        <v>174649</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f>32640</f>
        <v>32640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f>642306+152476</f>
        <v>794782</v>
      </c>
      <c r="H186" s="219"/>
    </row>
    <row r="187" spans="1:8" ht="20.100000000000001" customHeight="1">
      <c r="A187" s="625" t="s">
        <v>489</v>
      </c>
      <c r="B187" s="226"/>
      <c r="C187" s="226"/>
      <c r="D187" s="226"/>
      <c r="E187" s="226"/>
      <c r="F187" s="232" t="s">
        <v>490</v>
      </c>
      <c r="G187" s="574">
        <v>1420621</v>
      </c>
      <c r="H187" s="219"/>
    </row>
    <row r="188" spans="1:8" ht="20.100000000000001" customHeight="1">
      <c r="A188" s="625" t="s">
        <v>491</v>
      </c>
      <c r="B188" s="226"/>
      <c r="C188" s="226"/>
      <c r="D188" s="226"/>
      <c r="E188" s="226"/>
      <c r="F188" s="232" t="s">
        <v>492</v>
      </c>
      <c r="G188" s="574">
        <v>50000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f>43983+9120</f>
        <v>53103</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f>1942273+11464+58296+973+2497</f>
        <v>2015503</v>
      </c>
      <c r="H192" s="219"/>
    </row>
    <row r="193" spans="1:8" ht="20.100000000000001" customHeight="1">
      <c r="A193" s="625" t="s">
        <v>500</v>
      </c>
      <c r="B193" s="226"/>
      <c r="C193" s="226"/>
      <c r="D193" s="226"/>
      <c r="E193" s="226"/>
      <c r="F193" s="232" t="s">
        <v>501</v>
      </c>
      <c r="G193" s="574">
        <v>25000</v>
      </c>
      <c r="H193" s="219"/>
    </row>
    <row r="194" spans="1:8" ht="20.100000000000001" customHeight="1">
      <c r="A194" s="625" t="s">
        <v>502</v>
      </c>
      <c r="B194" s="226"/>
      <c r="C194" s="226"/>
      <c r="D194" s="226"/>
      <c r="E194" s="226"/>
      <c r="F194" s="232" t="s">
        <v>503</v>
      </c>
      <c r="G194" s="574">
        <v>150000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17619791</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311905</v>
      </c>
      <c r="H200" s="219"/>
    </row>
    <row r="201" spans="1:8" ht="20.100000000000001" customHeight="1">
      <c r="A201" s="625" t="s">
        <v>508</v>
      </c>
      <c r="B201" s="226"/>
      <c r="C201" s="226"/>
      <c r="D201" s="226"/>
      <c r="E201" s="226"/>
      <c r="F201" s="232" t="s">
        <v>509</v>
      </c>
      <c r="G201" s="574">
        <v>41875</v>
      </c>
      <c r="H201" s="219"/>
    </row>
    <row r="202" spans="1:8" ht="20.100000000000001" customHeight="1">
      <c r="A202" s="625" t="s">
        <v>510</v>
      </c>
      <c r="B202" s="226"/>
      <c r="C202" s="226"/>
      <c r="D202" s="226"/>
      <c r="E202" s="226"/>
      <c r="F202" s="232" t="s">
        <v>511</v>
      </c>
      <c r="G202" s="574">
        <v>135670</v>
      </c>
      <c r="H202" s="219"/>
    </row>
    <row r="203" spans="1:8" ht="20.100000000000001" customHeight="1">
      <c r="A203" s="625" t="s">
        <v>512</v>
      </c>
      <c r="B203" s="226"/>
      <c r="C203" s="226"/>
      <c r="D203" s="226"/>
      <c r="E203" s="226"/>
      <c r="F203" s="232" t="s">
        <v>513</v>
      </c>
      <c r="G203" s="574">
        <v>97805</v>
      </c>
      <c r="H203" s="219"/>
    </row>
    <row r="204" spans="1:8" ht="20.100000000000001" customHeight="1">
      <c r="A204" s="625" t="s">
        <v>514</v>
      </c>
      <c r="B204" s="226"/>
      <c r="C204" s="226"/>
      <c r="D204" s="226"/>
      <c r="E204" s="226"/>
      <c r="F204" s="232" t="s">
        <v>515</v>
      </c>
      <c r="G204" s="574">
        <v>836493</v>
      </c>
      <c r="H204" s="219"/>
    </row>
    <row r="205" spans="1:8" ht="20.100000000000001" customHeight="1">
      <c r="A205" s="625" t="s">
        <v>516</v>
      </c>
      <c r="B205" s="226"/>
      <c r="C205" s="226"/>
      <c r="D205" s="226"/>
      <c r="E205" s="226"/>
      <c r="F205" s="232" t="s">
        <v>517</v>
      </c>
      <c r="G205" s="574">
        <v>68475</v>
      </c>
      <c r="H205" s="219"/>
    </row>
    <row r="206" spans="1:8" ht="20.100000000000001" customHeight="1">
      <c r="A206" s="625" t="s">
        <v>733</v>
      </c>
      <c r="B206" s="226"/>
      <c r="C206" s="226"/>
      <c r="D206" s="226"/>
      <c r="E206" s="226"/>
      <c r="F206" s="1250">
        <v>63100</v>
      </c>
      <c r="G206" s="574">
        <v>0</v>
      </c>
      <c r="H206" s="219"/>
    </row>
    <row r="207" spans="1:8" ht="20.100000000000001" customHeight="1">
      <c r="A207" s="625" t="s">
        <v>518</v>
      </c>
      <c r="B207" s="226"/>
      <c r="C207" s="226"/>
      <c r="D207" s="226"/>
      <c r="E207" s="226"/>
      <c r="F207" s="232" t="s">
        <v>519</v>
      </c>
      <c r="G207" s="574">
        <v>609768</v>
      </c>
      <c r="H207" s="219"/>
    </row>
    <row r="208" spans="1:8" ht="20.100000000000001" customHeight="1">
      <c r="A208" s="625" t="s">
        <v>520</v>
      </c>
      <c r="B208" s="226"/>
      <c r="C208" s="226"/>
      <c r="D208" s="226"/>
      <c r="E208" s="226"/>
      <c r="F208" s="232" t="s">
        <v>521</v>
      </c>
      <c r="G208" s="574">
        <v>598500</v>
      </c>
      <c r="H208" s="219"/>
    </row>
    <row r="209" spans="1:8" ht="20.100000000000001" customHeight="1">
      <c r="A209" s="625" t="s">
        <v>522</v>
      </c>
      <c r="B209" s="226"/>
      <c r="C209" s="226"/>
      <c r="D209" s="226"/>
      <c r="E209" s="226"/>
      <c r="F209" s="232" t="s">
        <v>523</v>
      </c>
      <c r="G209" s="574">
        <v>0</v>
      </c>
      <c r="H209" s="219"/>
    </row>
    <row r="210" spans="1:8" ht="20.100000000000001" customHeight="1">
      <c r="A210" s="625" t="s">
        <v>524</v>
      </c>
      <c r="B210" s="226"/>
      <c r="C210" s="226"/>
      <c r="D210" s="226"/>
      <c r="E210" s="226"/>
      <c r="F210" s="232" t="s">
        <v>525</v>
      </c>
      <c r="G210" s="574">
        <v>0</v>
      </c>
      <c r="H210" s="219"/>
    </row>
    <row r="211" spans="1:8" ht="20.100000000000001" customHeight="1">
      <c r="A211" s="625" t="s">
        <v>526</v>
      </c>
      <c r="B211" s="226"/>
      <c r="C211" s="226"/>
      <c r="D211" s="226"/>
      <c r="E211" s="226"/>
      <c r="F211" s="232" t="s">
        <v>527</v>
      </c>
      <c r="G211" s="574">
        <v>0</v>
      </c>
      <c r="H211" s="219"/>
    </row>
    <row r="212" spans="1:8" ht="20.100000000000001" customHeight="1">
      <c r="A212" s="625" t="s">
        <v>528</v>
      </c>
      <c r="B212" s="226"/>
      <c r="C212" s="226"/>
      <c r="D212" s="226"/>
      <c r="E212" s="226"/>
      <c r="F212" s="232" t="s">
        <v>529</v>
      </c>
      <c r="G212" s="574">
        <v>0</v>
      </c>
      <c r="H212" s="219"/>
    </row>
    <row r="213" spans="1:8" ht="20.100000000000001" customHeight="1">
      <c r="A213" s="625" t="s">
        <v>530</v>
      </c>
      <c r="B213" s="226"/>
      <c r="C213" s="226"/>
      <c r="D213" s="226"/>
      <c r="E213" s="226"/>
      <c r="F213" s="232" t="s">
        <v>531</v>
      </c>
      <c r="G213" s="574">
        <v>0</v>
      </c>
      <c r="H213" s="219"/>
    </row>
    <row r="214" spans="1:8" ht="20.100000000000001" customHeight="1">
      <c r="A214" s="625" t="s">
        <v>532</v>
      </c>
      <c r="B214" s="219"/>
      <c r="C214" s="219"/>
      <c r="D214" s="219"/>
      <c r="E214" s="219"/>
      <c r="F214" s="232" t="s">
        <v>533</v>
      </c>
      <c r="G214" s="574">
        <v>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1903329</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231500</v>
      </c>
      <c r="H219" s="219"/>
    </row>
    <row r="220" spans="1:8" ht="20.100000000000001" customHeight="1">
      <c r="A220" s="625" t="s">
        <v>542</v>
      </c>
      <c r="B220" s="226"/>
      <c r="C220" s="226"/>
      <c r="D220" s="226"/>
      <c r="E220" s="226"/>
      <c r="F220" s="232" t="s">
        <v>543</v>
      </c>
      <c r="G220" s="574">
        <v>451446</v>
      </c>
      <c r="H220" s="219"/>
    </row>
    <row r="221" spans="1:8" ht="20.100000000000001" customHeight="1">
      <c r="A221" s="625" t="s">
        <v>544</v>
      </c>
      <c r="B221" s="219"/>
      <c r="C221" s="219"/>
      <c r="D221" s="219"/>
      <c r="E221" s="219"/>
      <c r="F221" s="253" t="s">
        <v>545</v>
      </c>
      <c r="G221" s="574">
        <v>108932</v>
      </c>
      <c r="H221" s="219"/>
    </row>
    <row r="222" spans="1:8" ht="20.100000000000001" customHeight="1">
      <c r="A222" s="625" t="s">
        <v>546</v>
      </c>
      <c r="B222" s="226"/>
      <c r="C222" s="226"/>
      <c r="D222" s="226"/>
      <c r="E222" s="226"/>
      <c r="F222" s="232" t="s">
        <v>547</v>
      </c>
      <c r="G222" s="574">
        <v>47125</v>
      </c>
      <c r="H222" s="219"/>
    </row>
    <row r="223" spans="1:8" ht="20.100000000000001" customHeight="1">
      <c r="A223" s="625" t="s">
        <v>548</v>
      </c>
      <c r="B223" s="226"/>
      <c r="C223" s="226"/>
      <c r="D223" s="226"/>
      <c r="E223" s="226"/>
      <c r="F223" s="232" t="s">
        <v>549</v>
      </c>
      <c r="G223" s="574">
        <v>231022</v>
      </c>
      <c r="H223" s="219"/>
    </row>
    <row r="224" spans="1:8" ht="20.100000000000001" customHeight="1">
      <c r="A224" s="626" t="s">
        <v>550</v>
      </c>
      <c r="B224" s="229"/>
      <c r="C224" s="229"/>
      <c r="D224" s="229"/>
      <c r="E224" s="229"/>
      <c r="F224" s="245" t="s">
        <v>551</v>
      </c>
      <c r="G224" s="574">
        <v>104165</v>
      </c>
      <c r="H224" s="219"/>
    </row>
    <row r="225" spans="1:9" ht="20.100000000000001" customHeight="1">
      <c r="A225" s="625" t="s">
        <v>552</v>
      </c>
      <c r="B225" s="226"/>
      <c r="C225" s="226"/>
      <c r="D225" s="226"/>
      <c r="E225" s="226"/>
      <c r="F225" s="250" t="s">
        <v>553</v>
      </c>
      <c r="G225" s="574">
        <v>3000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52000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65925</v>
      </c>
      <c r="H236" s="219"/>
      <c r="I236" s="268"/>
    </row>
    <row r="237" spans="1:9" ht="20.100000000000001" customHeight="1">
      <c r="A237" s="625" t="s">
        <v>575</v>
      </c>
      <c r="B237" s="226"/>
      <c r="C237" s="226"/>
      <c r="D237" s="226"/>
      <c r="E237" s="226"/>
      <c r="F237" s="232" t="s">
        <v>576</v>
      </c>
      <c r="G237" s="574">
        <v>200</v>
      </c>
      <c r="H237" s="219"/>
    </row>
    <row r="238" spans="1:9" ht="20.100000000000001" customHeight="1">
      <c r="A238" s="625" t="s">
        <v>577</v>
      </c>
      <c r="B238" s="226"/>
      <c r="C238" s="226"/>
      <c r="D238" s="226"/>
      <c r="E238" s="226"/>
      <c r="F238" s="232" t="s">
        <v>578</v>
      </c>
      <c r="G238" s="1338">
        <v>184400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6083535</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191000</v>
      </c>
      <c r="H245" s="219"/>
    </row>
    <row r="246" spans="1:10" ht="20.100000000000001" customHeight="1">
      <c r="A246" s="625" t="s">
        <v>584</v>
      </c>
      <c r="B246" s="226"/>
      <c r="C246" s="226"/>
      <c r="D246" s="226"/>
      <c r="E246" s="226"/>
      <c r="F246" s="232" t="s">
        <v>585</v>
      </c>
      <c r="G246" s="574">
        <v>10000</v>
      </c>
      <c r="H246" s="219"/>
    </row>
    <row r="247" spans="1:10" ht="20.100000000000001" customHeight="1">
      <c r="A247" s="626" t="s">
        <v>586</v>
      </c>
      <c r="B247" s="229"/>
      <c r="C247" s="229"/>
      <c r="D247" s="229"/>
      <c r="E247" s="229"/>
      <c r="F247" s="1296" t="s">
        <v>587</v>
      </c>
      <c r="G247" s="574">
        <v>0</v>
      </c>
      <c r="H247" s="662"/>
      <c r="I247" s="222"/>
    </row>
    <row r="248" spans="1:10" ht="20.100000000000001" customHeight="1">
      <c r="A248" s="1310" t="s">
        <v>764</v>
      </c>
      <c r="B248" s="1311"/>
      <c r="C248" s="1311"/>
      <c r="D248" s="1311"/>
      <c r="E248" s="1311"/>
      <c r="F248" s="1339">
        <v>73001</v>
      </c>
      <c r="G248" s="574">
        <v>0</v>
      </c>
      <c r="H248" s="662"/>
      <c r="I248" s="222"/>
    </row>
    <row r="249" spans="1:10" ht="20.100000000000001" customHeight="1">
      <c r="A249" s="1310" t="s">
        <v>765</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50000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251000</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23954326</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200000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5016935</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5216935</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v>-10675000</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-5458065</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B11" sqref="B11"/>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Florida Gateway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756</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f>2469667+14747784</f>
        <v>17217451</v>
      </c>
      <c r="C10" s="577">
        <f>846349</f>
        <v>846349</v>
      </c>
      <c r="D10" s="577">
        <v>0</v>
      </c>
      <c r="E10" s="480">
        <f>SUM(B10:D10)</f>
        <v>18063800</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f>43400</f>
        <v>43400</v>
      </c>
      <c r="C14" s="579">
        <v>410396</v>
      </c>
      <c r="D14" s="579">
        <v>90000</v>
      </c>
      <c r="E14" s="481">
        <f t="shared" ref="E14:E20" si="0">SUM(B14:D14)</f>
        <v>543796</v>
      </c>
      <c r="F14" s="457"/>
    </row>
    <row r="15" spans="1:8" s="37" customFormat="1" ht="20.100000000000001" customHeight="1">
      <c r="A15" s="479" t="s">
        <v>625</v>
      </c>
      <c r="B15" s="578">
        <f>29100</f>
        <v>29100</v>
      </c>
      <c r="C15" s="567">
        <v>95970</v>
      </c>
      <c r="D15" s="567">
        <v>0</v>
      </c>
      <c r="E15" s="481">
        <f>SUM(B15:D15)</f>
        <v>125070</v>
      </c>
      <c r="F15" s="457"/>
    </row>
    <row r="16" spans="1:8" s="37" customFormat="1" ht="20.100000000000001" customHeight="1">
      <c r="A16" s="479" t="s">
        <v>626</v>
      </c>
      <c r="B16" s="578">
        <f>61590</f>
        <v>61590</v>
      </c>
      <c r="C16" s="567">
        <f>581370</f>
        <v>581370</v>
      </c>
      <c r="D16" s="567">
        <v>0</v>
      </c>
      <c r="E16" s="481">
        <f t="shared" si="0"/>
        <v>642960</v>
      </c>
      <c r="F16" s="457"/>
    </row>
    <row r="17" spans="1:6" s="37" customFormat="1" ht="20.100000000000001" customHeight="1">
      <c r="A17" s="479" t="s">
        <v>627</v>
      </c>
      <c r="B17" s="578">
        <v>68250</v>
      </c>
      <c r="C17" s="567">
        <f>1711111</f>
        <v>1711111</v>
      </c>
      <c r="D17" s="567">
        <v>0</v>
      </c>
      <c r="E17" s="481">
        <f t="shared" si="0"/>
        <v>1779361</v>
      </c>
      <c r="F17" s="457"/>
    </row>
    <row r="18" spans="1:6" s="37" customFormat="1" ht="20.100000000000001" customHeight="1">
      <c r="A18" s="479" t="s">
        <v>628</v>
      </c>
      <c r="B18" s="578">
        <f>50000</f>
        <v>50000</v>
      </c>
      <c r="C18" s="567">
        <v>2253939</v>
      </c>
      <c r="D18" s="567">
        <v>111000</v>
      </c>
      <c r="E18" s="481">
        <f t="shared" si="0"/>
        <v>2414939</v>
      </c>
      <c r="F18" s="457"/>
    </row>
    <row r="19" spans="1:6" s="37" customFormat="1" ht="20.100000000000001" customHeight="1">
      <c r="A19" s="479" t="s">
        <v>629</v>
      </c>
      <c r="B19" s="578">
        <v>0</v>
      </c>
      <c r="C19" s="567">
        <v>0</v>
      </c>
      <c r="D19" s="567">
        <v>0</v>
      </c>
      <c r="E19" s="481">
        <f t="shared" si="0"/>
        <v>0</v>
      </c>
      <c r="F19" s="457"/>
    </row>
    <row r="20" spans="1:6" s="37" customFormat="1" ht="20.100000000000001" customHeight="1" thickBot="1">
      <c r="A20" s="479" t="s">
        <v>630</v>
      </c>
      <c r="B20" s="578">
        <v>150000</v>
      </c>
      <c r="C20" s="568">
        <v>184400</v>
      </c>
      <c r="D20" s="568">
        <v>50000</v>
      </c>
      <c r="E20" s="481">
        <f t="shared" si="0"/>
        <v>384400</v>
      </c>
      <c r="F20" s="457"/>
    </row>
    <row r="21" spans="1:6" s="37" customFormat="1" ht="24" customHeight="1" thickBot="1">
      <c r="A21" s="377" t="s">
        <v>50</v>
      </c>
      <c r="B21" s="458">
        <f>SUM(B10:B20)</f>
        <v>17619791</v>
      </c>
      <c r="C21" s="461">
        <f>SUM(C10:C20)</f>
        <v>6083535</v>
      </c>
      <c r="D21" s="461">
        <f>SUM(D10:D20)</f>
        <v>251000</v>
      </c>
      <c r="E21" s="460">
        <f>SUM(E10:E20)</f>
        <v>23954326</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6"/>
  <sheetViews>
    <sheetView showGridLines="0" topLeftCell="A120" zoomScale="60" zoomScaleNormal="60" zoomScaleSheetLayoutView="50" zoomScalePageLayoutView="60" workbookViewId="0">
      <selection activeCell="D134" sqref="D134"/>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Florida Gateway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756</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738</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55281</v>
      </c>
      <c r="E12" s="925">
        <v>0</v>
      </c>
      <c r="F12" s="926">
        <f t="shared" si="0"/>
        <v>55281</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f>58200+43650+97623+30056</f>
        <v>229529</v>
      </c>
      <c r="E15" s="925">
        <v>0</v>
      </c>
      <c r="F15" s="926">
        <f t="shared" si="0"/>
        <v>229529</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f>8250</f>
        <v>8250</v>
      </c>
      <c r="E16" s="925">
        <v>0</v>
      </c>
      <c r="F16" s="926">
        <f t="shared" si="0"/>
        <v>8250</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805</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0</v>
      </c>
      <c r="E30" s="925">
        <v>0</v>
      </c>
      <c r="F30" s="926">
        <f t="shared" si="0"/>
        <v>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202560</v>
      </c>
      <c r="E34" s="925">
        <v>0</v>
      </c>
      <c r="F34" s="926">
        <f t="shared" si="0"/>
        <v>202560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0</v>
      </c>
      <c r="E48" s="925">
        <v>0</v>
      </c>
      <c r="F48" s="926">
        <f t="shared" si="0"/>
        <v>0</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0</v>
      </c>
      <c r="E49" s="925">
        <v>0</v>
      </c>
      <c r="F49" s="926">
        <f t="shared" si="0"/>
        <v>0</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0</v>
      </c>
      <c r="E54" s="925">
        <v>0</v>
      </c>
      <c r="F54" s="926">
        <f t="shared" si="0"/>
        <v>0</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495620</v>
      </c>
      <c r="E57" s="346">
        <f>SUM(E10:E56)</f>
        <v>0</v>
      </c>
      <c r="F57" s="346">
        <f t="shared" si="0"/>
        <v>495620</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12013</v>
      </c>
      <c r="E64" s="580">
        <v>0</v>
      </c>
      <c r="F64" s="304">
        <f t="shared" si="0"/>
        <v>12013</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400</v>
      </c>
      <c r="E65" s="925">
        <v>0</v>
      </c>
      <c r="F65" s="926">
        <f t="shared" si="0"/>
        <v>400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1250</v>
      </c>
      <c r="E67" s="925">
        <v>0</v>
      </c>
      <c r="F67" s="926">
        <f t="shared" si="0"/>
        <v>1250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733</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8122</v>
      </c>
      <c r="E80" s="925">
        <v>0</v>
      </c>
      <c r="F80" s="926">
        <f t="shared" si="0"/>
        <v>8122</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7800</v>
      </c>
      <c r="E83" s="925">
        <v>0</v>
      </c>
      <c r="F83" s="926">
        <f t="shared" si="1"/>
        <v>7800</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17085</v>
      </c>
      <c r="E84" s="925">
        <v>0</v>
      </c>
      <c r="F84" s="926">
        <f t="shared" si="1"/>
        <v>17085</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650</v>
      </c>
      <c r="E87" s="925">
        <v>0</v>
      </c>
      <c r="F87" s="926">
        <f t="shared" si="1"/>
        <v>650</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47320</v>
      </c>
      <c r="E103" s="342">
        <f>SUM(E64:E102)</f>
        <v>0</v>
      </c>
      <c r="F103" s="342">
        <f t="shared" si="1"/>
        <v>47320</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764</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765</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732</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542940</v>
      </c>
      <c r="E123" s="342">
        <f>+E57+E103+E121</f>
        <v>0</v>
      </c>
      <c r="F123" s="342">
        <f>SUM(D123:E123)</f>
        <v>542940</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266558</v>
      </c>
      <c r="E128" s="925">
        <v>0</v>
      </c>
      <c r="F128" s="926">
        <f t="shared" ref="F128:F138" si="3">+D128+E128</f>
        <v>266558</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0</v>
      </c>
      <c r="E129" s="925">
        <v>0</v>
      </c>
      <c r="F129" s="926">
        <f t="shared" si="3"/>
        <v>0</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730</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276382</v>
      </c>
      <c r="E134" s="925">
        <v>0</v>
      </c>
      <c r="F134" s="926">
        <f t="shared" si="3"/>
        <v>276382</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542940</v>
      </c>
      <c r="E139" s="334">
        <f>SUM(E127:E138)</f>
        <v>0</v>
      </c>
      <c r="F139" s="335">
        <f>SUM(F127:F138)</f>
        <v>542940</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800</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757</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758</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Michelle Holloway</cp:lastModifiedBy>
  <cp:revision/>
  <cp:lastPrinted>2022-06-20T18:27:32Z</cp:lastPrinted>
  <dcterms:created xsi:type="dcterms:W3CDTF">2005-03-22T15:46:43Z</dcterms:created>
  <dcterms:modified xsi:type="dcterms:W3CDTF">2022-06-28T15:14:29Z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